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7" r:id="rId1"/>
    <sheet name="51#" sheetId="2" r:id="rId2"/>
    <sheet name="52#" sheetId="3" r:id="rId3"/>
    <sheet name="53#" sheetId="4" r:id="rId4"/>
    <sheet name="56#" sheetId="5" r:id="rId5"/>
    <sheet name="57#" sheetId="6" r:id="rId6"/>
  </sheets>
  <calcPr calcId="144525"/>
</workbook>
</file>

<file path=xl/sharedStrings.xml><?xml version="1.0" encoding="utf-8"?>
<sst xmlns="http://schemas.openxmlformats.org/spreadsheetml/2006/main" count="296" uniqueCount="63">
  <si>
    <t>定额测算汇总表</t>
  </si>
  <si>
    <t>序号</t>
  </si>
  <si>
    <t>分项名称</t>
  </si>
  <si>
    <t>施工内容</t>
  </si>
  <si>
    <t>51#</t>
  </si>
  <si>
    <t>52#</t>
  </si>
  <si>
    <t>53#</t>
  </si>
  <si>
    <t>56#</t>
  </si>
  <si>
    <t>57#</t>
  </si>
  <si>
    <t>50#</t>
  </si>
  <si>
    <t>55#</t>
  </si>
  <si>
    <t>合计工程量</t>
  </si>
  <si>
    <t>单位</t>
  </si>
  <si>
    <t>单价</t>
  </si>
  <si>
    <t>合价</t>
  </si>
  <si>
    <t>备注</t>
  </si>
  <si>
    <t>植筋</t>
  </si>
  <si>
    <t>个</t>
  </si>
  <si>
    <t>钢筋直径6-10</t>
  </si>
  <si>
    <t>植筋打孔</t>
  </si>
  <si>
    <t>门垛拆除</t>
  </si>
  <si>
    <t>门垛制安</t>
  </si>
  <si>
    <t>m3</t>
  </si>
  <si>
    <t>门垛重新制安</t>
  </si>
  <si>
    <t>砌体重砌</t>
  </si>
  <si>
    <t>砌体砌筑</t>
  </si>
  <si>
    <t>砌体拆除</t>
  </si>
  <si>
    <t>砌体重新砌筑</t>
  </si>
  <si>
    <t>过梁</t>
  </si>
  <si>
    <t>过梁拆除</t>
  </si>
  <si>
    <t>过梁重新制安</t>
  </si>
  <si>
    <t>垃圾清理及外运</t>
  </si>
  <si>
    <t>一</t>
  </si>
  <si>
    <t>总包部分合计</t>
  </si>
  <si>
    <t>二</t>
  </si>
  <si>
    <t>入户门增加</t>
  </si>
  <si>
    <t>樘</t>
  </si>
  <si>
    <t>三</t>
  </si>
  <si>
    <t>合计（元）</t>
  </si>
  <si>
    <t>51#定额测算汇总表</t>
  </si>
  <si>
    <t>楼号</t>
  </si>
  <si>
    <t>施工层数</t>
  </si>
  <si>
    <t>施工数量</t>
  </si>
  <si>
    <t>7-10层</t>
  </si>
  <si>
    <t>钢筋直径6和10</t>
  </si>
  <si>
    <t>7-27层</t>
  </si>
  <si>
    <t>合计</t>
  </si>
  <si>
    <t>52#定额测算汇总表</t>
  </si>
  <si>
    <t>每层工程量</t>
  </si>
  <si>
    <t>3-11层</t>
  </si>
  <si>
    <t>钢筋直径6</t>
  </si>
  <si>
    <t>3层</t>
  </si>
  <si>
    <t>53#定额测算汇总表</t>
  </si>
  <si>
    <t>9层</t>
  </si>
  <si>
    <t>4层</t>
  </si>
  <si>
    <t>56#定额测算汇总表</t>
  </si>
  <si>
    <t>2-25层</t>
  </si>
  <si>
    <t>2-31层</t>
  </si>
  <si>
    <t>57#定额测算汇总表</t>
  </si>
  <si>
    <t>3-21层</t>
  </si>
  <si>
    <t>3-10层</t>
  </si>
  <si>
    <t>10层已支模完毕</t>
  </si>
  <si>
    <t>3-18层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</si>
</sst>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5" fillId="10" borderId="10" applyNumberFormat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2" fontId="0" fillId="0" borderId="1" xfId="0" applyNumberForma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O15" sqref="O15"/>
    </sheetView>
  </sheetViews>
  <sheetFormatPr defaultColWidth="9" defaultRowHeight="13.5"/>
  <cols>
    <col min="1" max="1" width="6.66666666666667" style="21" customWidth="1"/>
    <col min="2" max="3" width="16.225" style="21" customWidth="1"/>
    <col min="4" max="10" width="10.775" style="21" customWidth="1"/>
    <col min="11" max="11" width="13.4416666666667" style="21" customWidth="1"/>
    <col min="12" max="13" width="9" style="21"/>
    <col min="14" max="14" width="13.225" style="21" customWidth="1"/>
    <col min="15" max="15" width="23.4416666666667" style="21" customWidth="1"/>
    <col min="16" max="16384" width="9" style="21"/>
  </cols>
  <sheetData>
    <row r="1" s="21" customFormat="1" ht="37.8" customHeight="1" spans="1: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="22" customFormat="1" ht="27.6" customHeight="1" spans="1:1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</row>
    <row r="3" s="3" customFormat="1" ht="25" customHeight="1" spans="1:15">
      <c r="A3" s="11">
        <v>1</v>
      </c>
      <c r="B3" s="25" t="s">
        <v>16</v>
      </c>
      <c r="C3" s="10" t="s">
        <v>16</v>
      </c>
      <c r="D3" s="16">
        <f>'51#'!G3</f>
        <v>416</v>
      </c>
      <c r="E3" s="16">
        <f>'52#'!G3</f>
        <v>1740</v>
      </c>
      <c r="F3" s="16">
        <f>'53#'!G3</f>
        <v>540</v>
      </c>
      <c r="G3" s="16">
        <f>'56#'!G3</f>
        <v>3168</v>
      </c>
      <c r="H3" s="16">
        <f>'57#'!G3</f>
        <v>2666</v>
      </c>
      <c r="I3" s="16"/>
      <c r="J3" s="16"/>
      <c r="K3" s="16">
        <f>SUM(D3:H3)</f>
        <v>8530</v>
      </c>
      <c r="L3" s="11" t="s">
        <v>17</v>
      </c>
      <c r="M3" s="11">
        <v>3</v>
      </c>
      <c r="N3" s="29">
        <f t="shared" ref="N3:N14" si="0">K3*M3</f>
        <v>25590</v>
      </c>
      <c r="O3" s="10" t="s">
        <v>18</v>
      </c>
    </row>
    <row r="4" s="3" customFormat="1" ht="25" customHeight="1" spans="1:15">
      <c r="A4" s="11">
        <v>2</v>
      </c>
      <c r="B4" s="26"/>
      <c r="C4" s="11" t="s">
        <v>19</v>
      </c>
      <c r="D4" s="16">
        <f>'51#'!G4</f>
        <v>416</v>
      </c>
      <c r="E4" s="16">
        <f>'52#'!G4</f>
        <v>1740</v>
      </c>
      <c r="F4" s="16">
        <f>'53#'!G4</f>
        <v>540</v>
      </c>
      <c r="G4" s="16">
        <f>'56#'!G4</f>
        <v>3168</v>
      </c>
      <c r="H4" s="16">
        <f>'57#'!G4</f>
        <v>2666</v>
      </c>
      <c r="I4" s="16"/>
      <c r="J4" s="16"/>
      <c r="K4" s="16">
        <f t="shared" ref="K4:K13" si="1">SUM(D4:H4)</f>
        <v>8530</v>
      </c>
      <c r="L4" s="11" t="s">
        <v>17</v>
      </c>
      <c r="M4" s="11">
        <v>1</v>
      </c>
      <c r="N4" s="29">
        <f t="shared" si="0"/>
        <v>8530</v>
      </c>
      <c r="O4" s="10"/>
    </row>
    <row r="5" s="3" customFormat="1" ht="25" customHeight="1" spans="1:15">
      <c r="A5" s="11">
        <v>3</v>
      </c>
      <c r="B5" s="25" t="s">
        <v>20</v>
      </c>
      <c r="C5" s="11" t="s">
        <v>21</v>
      </c>
      <c r="D5" s="16"/>
      <c r="E5" s="16"/>
      <c r="F5" s="16"/>
      <c r="G5" s="16"/>
      <c r="H5" s="16"/>
      <c r="I5" s="16"/>
      <c r="J5" s="16"/>
      <c r="K5" s="16"/>
      <c r="L5" s="11" t="s">
        <v>22</v>
      </c>
      <c r="M5" s="11"/>
      <c r="N5" s="29"/>
      <c r="O5" s="10"/>
    </row>
    <row r="6" s="3" customFormat="1" ht="25" customHeight="1" spans="1:15">
      <c r="A6" s="11">
        <v>4</v>
      </c>
      <c r="B6" s="27"/>
      <c r="C6" s="11" t="s">
        <v>20</v>
      </c>
      <c r="D6" s="16">
        <f>'51#'!G6</f>
        <v>12.096</v>
      </c>
      <c r="E6" s="16">
        <f>'52#'!G6</f>
        <v>0.576</v>
      </c>
      <c r="F6" s="16">
        <f>'53#'!G6</f>
        <v>0.2</v>
      </c>
      <c r="G6" s="16">
        <f>'56#'!G6</f>
        <v>30.51</v>
      </c>
      <c r="H6" s="16">
        <f>'57#'!G6</f>
        <v>4.608</v>
      </c>
      <c r="I6" s="16"/>
      <c r="J6" s="16"/>
      <c r="K6" s="16">
        <f t="shared" si="1"/>
        <v>47.99</v>
      </c>
      <c r="L6" s="11" t="s">
        <v>22</v>
      </c>
      <c r="M6" s="11">
        <v>800</v>
      </c>
      <c r="N6" s="29">
        <f t="shared" si="0"/>
        <v>38392</v>
      </c>
      <c r="O6" s="10"/>
    </row>
    <row r="7" s="3" customFormat="1" ht="25" customHeight="1" spans="1:15">
      <c r="A7" s="11">
        <v>5</v>
      </c>
      <c r="B7" s="26"/>
      <c r="C7" s="11" t="s">
        <v>23</v>
      </c>
      <c r="D7" s="16">
        <f>'51#'!G7</f>
        <v>8.064</v>
      </c>
      <c r="E7" s="16">
        <f>'52#'!G7</f>
        <v>0.384</v>
      </c>
      <c r="F7" s="16">
        <f>'53#'!G7</f>
        <v>0.1</v>
      </c>
      <c r="G7" s="16">
        <f>'56#'!G7</f>
        <v>20.34</v>
      </c>
      <c r="H7" s="16">
        <f>'57#'!G7</f>
        <v>3.072</v>
      </c>
      <c r="I7" s="16"/>
      <c r="J7" s="16"/>
      <c r="K7" s="16">
        <f t="shared" si="1"/>
        <v>31.96</v>
      </c>
      <c r="L7" s="11" t="s">
        <v>22</v>
      </c>
      <c r="M7" s="11">
        <v>3486.33</v>
      </c>
      <c r="N7" s="29">
        <f t="shared" si="0"/>
        <v>111423.1068</v>
      </c>
      <c r="O7" s="10"/>
    </row>
    <row r="8" s="3" customFormat="1" ht="25" customHeight="1" spans="1:15">
      <c r="A8" s="11">
        <v>6</v>
      </c>
      <c r="B8" s="25" t="s">
        <v>24</v>
      </c>
      <c r="C8" s="11" t="s">
        <v>25</v>
      </c>
      <c r="D8" s="16"/>
      <c r="E8" s="16"/>
      <c r="F8" s="16"/>
      <c r="G8" s="16"/>
      <c r="H8" s="16"/>
      <c r="I8" s="16"/>
      <c r="J8" s="16"/>
      <c r="K8" s="16"/>
      <c r="L8" s="11" t="s">
        <v>22</v>
      </c>
      <c r="M8" s="11"/>
      <c r="N8" s="29"/>
      <c r="O8" s="10"/>
    </row>
    <row r="9" s="3" customFormat="1" ht="25" customHeight="1" spans="1:15">
      <c r="A9" s="11">
        <v>7</v>
      </c>
      <c r="B9" s="27"/>
      <c r="C9" s="11" t="s">
        <v>26</v>
      </c>
      <c r="D9" s="16">
        <f>'51#'!G9</f>
        <v>7.5264</v>
      </c>
      <c r="E9" s="16">
        <f>'52#'!G9</f>
        <v>22.7232</v>
      </c>
      <c r="F9" s="16">
        <f>'53#'!G9</f>
        <v>2.8048</v>
      </c>
      <c r="G9" s="16">
        <f>'56#'!G9</f>
        <v>17.736</v>
      </c>
      <c r="H9" s="16">
        <f>'57#'!G9</f>
        <v>35.52</v>
      </c>
      <c r="I9" s="16"/>
      <c r="J9" s="16"/>
      <c r="K9" s="16">
        <f t="shared" si="1"/>
        <v>86.3104</v>
      </c>
      <c r="L9" s="11" t="s">
        <v>22</v>
      </c>
      <c r="M9" s="11">
        <v>110</v>
      </c>
      <c r="N9" s="29">
        <f t="shared" si="0"/>
        <v>9494.144</v>
      </c>
      <c r="O9" s="10"/>
    </row>
    <row r="10" s="3" customFormat="1" ht="25" customHeight="1" spans="1:15">
      <c r="A10" s="11">
        <v>8</v>
      </c>
      <c r="B10" s="26"/>
      <c r="C10" s="11" t="s">
        <v>27</v>
      </c>
      <c r="D10" s="16">
        <f>'51#'!G10</f>
        <v>7.872</v>
      </c>
      <c r="E10" s="16">
        <f>'52#'!G10</f>
        <v>23.76</v>
      </c>
      <c r="F10" s="16">
        <f>'53#'!G10</f>
        <v>2.7368</v>
      </c>
      <c r="G10" s="16">
        <f>'56#'!G10</f>
        <v>18</v>
      </c>
      <c r="H10" s="16">
        <f>'57#'!G10</f>
        <v>37.632</v>
      </c>
      <c r="I10" s="16"/>
      <c r="J10" s="16"/>
      <c r="K10" s="16">
        <f t="shared" si="1"/>
        <v>90.0008</v>
      </c>
      <c r="L10" s="11" t="s">
        <v>22</v>
      </c>
      <c r="M10" s="11">
        <v>600</v>
      </c>
      <c r="N10" s="29">
        <f t="shared" si="0"/>
        <v>54000.48</v>
      </c>
      <c r="O10" s="10"/>
    </row>
    <row r="11" s="3" customFormat="1" ht="25" customHeight="1" spans="1:15">
      <c r="A11" s="11">
        <v>9</v>
      </c>
      <c r="B11" s="27" t="s">
        <v>28</v>
      </c>
      <c r="C11" s="11" t="s">
        <v>29</v>
      </c>
      <c r="D11" s="16">
        <f>'51#'!G11</f>
        <v>0.9216</v>
      </c>
      <c r="E11" s="16">
        <f>'52#'!G11</f>
        <v>1.5768</v>
      </c>
      <c r="F11" s="16">
        <f>'53#'!G11</f>
        <v>0.1152</v>
      </c>
      <c r="G11" s="16">
        <f>'56#'!G11</f>
        <v>4.896</v>
      </c>
      <c r="H11" s="16">
        <f>'57#'!G11</f>
        <v>1.674</v>
      </c>
      <c r="I11" s="16"/>
      <c r="J11" s="16"/>
      <c r="K11" s="16">
        <f t="shared" si="1"/>
        <v>9.1836</v>
      </c>
      <c r="L11" s="11" t="s">
        <v>22</v>
      </c>
      <c r="M11" s="11">
        <v>800</v>
      </c>
      <c r="N11" s="29">
        <f t="shared" si="0"/>
        <v>7346.88</v>
      </c>
      <c r="O11" s="10"/>
    </row>
    <row r="12" s="3" customFormat="1" ht="25" customHeight="1" spans="1:15">
      <c r="A12" s="11">
        <v>10</v>
      </c>
      <c r="B12" s="26"/>
      <c r="C12" s="11" t="s">
        <v>30</v>
      </c>
      <c r="D12" s="16">
        <f>'51#'!G12</f>
        <v>0.9216</v>
      </c>
      <c r="E12" s="16">
        <f>'52#'!G12</f>
        <v>1.5768</v>
      </c>
      <c r="F12" s="16">
        <f>'53#'!G12</f>
        <v>0.1152</v>
      </c>
      <c r="G12" s="16">
        <f>'56#'!G12</f>
        <v>4.896</v>
      </c>
      <c r="H12" s="16">
        <f>'57#'!G12</f>
        <v>1.674</v>
      </c>
      <c r="I12" s="16"/>
      <c r="J12" s="16"/>
      <c r="K12" s="16">
        <f t="shared" si="1"/>
        <v>9.1836</v>
      </c>
      <c r="L12" s="11" t="s">
        <v>22</v>
      </c>
      <c r="M12" s="11">
        <v>3486.33</v>
      </c>
      <c r="N12" s="29">
        <f t="shared" si="0"/>
        <v>32017.060188</v>
      </c>
      <c r="O12" s="10"/>
    </row>
    <row r="13" s="3" customFormat="1" ht="25" customHeight="1" spans="1:15">
      <c r="A13" s="11">
        <v>11</v>
      </c>
      <c r="B13" s="26" t="s">
        <v>31</v>
      </c>
      <c r="C13" s="11"/>
      <c r="D13" s="16">
        <f>D6+D9+D11</f>
        <v>20.544</v>
      </c>
      <c r="E13" s="16">
        <f>E6+E9+E11</f>
        <v>24.876</v>
      </c>
      <c r="F13" s="16">
        <f>F6+F9+F11</f>
        <v>3.12</v>
      </c>
      <c r="G13" s="16">
        <f>G6+G9+G11</f>
        <v>53.142</v>
      </c>
      <c r="H13" s="16">
        <f>H6+H9+H11</f>
        <v>41.802</v>
      </c>
      <c r="I13" s="16"/>
      <c r="J13" s="16"/>
      <c r="K13" s="16">
        <f t="shared" si="1"/>
        <v>143.484</v>
      </c>
      <c r="L13" s="11" t="s">
        <v>22</v>
      </c>
      <c r="M13" s="11">
        <v>100</v>
      </c>
      <c r="N13" s="29">
        <f t="shared" si="0"/>
        <v>14348.4</v>
      </c>
      <c r="O13" s="10"/>
    </row>
    <row r="14" s="3" customFormat="1" ht="25" customHeight="1" spans="1:15">
      <c r="A14" s="11" t="s">
        <v>32</v>
      </c>
      <c r="B14" s="26" t="s">
        <v>33</v>
      </c>
      <c r="C14" s="11"/>
      <c r="D14" s="16"/>
      <c r="E14" s="16"/>
      <c r="F14" s="16"/>
      <c r="G14" s="16"/>
      <c r="H14" s="16"/>
      <c r="I14" s="16"/>
      <c r="J14" s="16"/>
      <c r="K14" s="16"/>
      <c r="L14" s="11"/>
      <c r="M14" s="11"/>
      <c r="N14" s="29">
        <f>SUM(N3:N13)</f>
        <v>301142.070988</v>
      </c>
      <c r="O14" s="10"/>
    </row>
    <row r="15" s="3" customFormat="1" ht="25" customHeight="1" spans="1:15">
      <c r="A15" s="11" t="s">
        <v>34</v>
      </c>
      <c r="B15" s="26" t="s">
        <v>35</v>
      </c>
      <c r="C15" s="11"/>
      <c r="D15" s="16">
        <v>244</v>
      </c>
      <c r="E15" s="16">
        <v>180</v>
      </c>
      <c r="F15" s="16">
        <v>127</v>
      </c>
      <c r="G15" s="16">
        <v>256</v>
      </c>
      <c r="H15" s="16">
        <v>212</v>
      </c>
      <c r="I15" s="16">
        <v>3920</v>
      </c>
      <c r="J15" s="16">
        <v>280</v>
      </c>
      <c r="K15" s="16">
        <f>SUM(D15:J15)</f>
        <v>5219</v>
      </c>
      <c r="L15" s="11" t="s">
        <v>36</v>
      </c>
      <c r="M15" s="11">
        <v>100</v>
      </c>
      <c r="N15" s="29">
        <f>K15*M15</f>
        <v>521900</v>
      </c>
      <c r="O15" s="10"/>
    </row>
    <row r="16" s="3" customFormat="1" ht="26.4" customHeight="1" spans="1:15">
      <c r="A16" s="11" t="s">
        <v>37</v>
      </c>
      <c r="B16" s="11" t="s">
        <v>38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30">
        <f>N14+N15</f>
        <v>823042.070988</v>
      </c>
      <c r="O16" s="11"/>
    </row>
    <row r="17" ht="16" customHeight="1" spans="1:1">
      <c r="A17" s="28"/>
    </row>
  </sheetData>
  <mergeCells count="5">
    <mergeCell ref="A1:O1"/>
    <mergeCell ref="B3:B4"/>
    <mergeCell ref="B5:B7"/>
    <mergeCell ref="B8:B10"/>
    <mergeCell ref="B11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4" sqref="F4"/>
    </sheetView>
  </sheetViews>
  <sheetFormatPr defaultColWidth="9" defaultRowHeight="13.5"/>
  <cols>
    <col min="1" max="1" width="6.66666666666667" style="5" customWidth="1"/>
    <col min="2" max="2" width="11" style="5" customWidth="1"/>
    <col min="3" max="3" width="16.225" style="5" customWidth="1"/>
    <col min="4" max="4" width="22.1083333333333" style="1" customWidth="1"/>
    <col min="5" max="5" width="13" style="1" customWidth="1"/>
    <col min="6" max="6" width="14.5583333333333" style="1" customWidth="1"/>
    <col min="7" max="7" width="14.8916666666667" style="1" customWidth="1"/>
    <col min="8" max="9" width="9" style="1"/>
    <col min="10" max="10" width="13.225" style="1" customWidth="1"/>
    <col min="11" max="11" width="23.4416666666667" style="1" customWidth="1"/>
    <col min="12" max="16383" width="9" style="1"/>
  </cols>
  <sheetData>
    <row r="1" s="1" customFormat="1" ht="37.8" customHeight="1" spans="1:11">
      <c r="A1" s="6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7.6" customHeight="1" spans="1:11">
      <c r="A2" s="7" t="s">
        <v>1</v>
      </c>
      <c r="B2" s="7" t="s">
        <v>40</v>
      </c>
      <c r="C2" s="7" t="s">
        <v>2</v>
      </c>
      <c r="D2" s="7" t="s">
        <v>3</v>
      </c>
      <c r="E2" s="7" t="s">
        <v>41</v>
      </c>
      <c r="F2" s="7" t="s">
        <v>42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="3" customFormat="1" ht="25" customHeight="1" spans="1:11">
      <c r="A3" s="8">
        <v>1</v>
      </c>
      <c r="B3" s="9" t="s">
        <v>4</v>
      </c>
      <c r="C3" s="9" t="s">
        <v>16</v>
      </c>
      <c r="D3" s="10" t="s">
        <v>16</v>
      </c>
      <c r="E3" s="11" t="s">
        <v>43</v>
      </c>
      <c r="F3" s="12">
        <f>10*4+4*2*8</f>
        <v>104</v>
      </c>
      <c r="G3" s="13">
        <f>F3*4</f>
        <v>416</v>
      </c>
      <c r="H3" s="8" t="s">
        <v>17</v>
      </c>
      <c r="I3" s="11">
        <v>3</v>
      </c>
      <c r="J3" s="13">
        <f t="shared" ref="J3:J13" si="0">G3*I3</f>
        <v>1248</v>
      </c>
      <c r="K3" s="10" t="s">
        <v>44</v>
      </c>
    </row>
    <row r="4" s="3" customFormat="1" ht="25" customHeight="1" spans="1:11">
      <c r="A4" s="8">
        <v>2</v>
      </c>
      <c r="B4" s="14"/>
      <c r="C4" s="15"/>
      <c r="D4" s="11" t="s">
        <v>19</v>
      </c>
      <c r="E4" s="11" t="s">
        <v>43</v>
      </c>
      <c r="F4" s="12">
        <f>10*4+4*2*8</f>
        <v>104</v>
      </c>
      <c r="G4" s="13">
        <f>F4*4</f>
        <v>416</v>
      </c>
      <c r="H4" s="8" t="s">
        <v>17</v>
      </c>
      <c r="I4" s="11">
        <v>1</v>
      </c>
      <c r="J4" s="13">
        <f t="shared" si="0"/>
        <v>416</v>
      </c>
      <c r="K4" s="10"/>
    </row>
    <row r="5" s="3" customFormat="1" ht="25" customHeight="1" spans="1:11">
      <c r="A5" s="8">
        <v>3</v>
      </c>
      <c r="B5" s="14"/>
      <c r="C5" s="9" t="s">
        <v>20</v>
      </c>
      <c r="D5" s="11" t="s">
        <v>21</v>
      </c>
      <c r="E5" s="11"/>
      <c r="F5" s="16"/>
      <c r="G5" s="13"/>
      <c r="H5" s="8" t="s">
        <v>22</v>
      </c>
      <c r="I5" s="11"/>
      <c r="J5" s="13"/>
      <c r="K5" s="10"/>
    </row>
    <row r="6" s="3" customFormat="1" ht="25" customHeight="1" spans="1:11">
      <c r="A6" s="8">
        <v>4</v>
      </c>
      <c r="B6" s="14"/>
      <c r="C6" s="14"/>
      <c r="D6" s="11" t="s">
        <v>20</v>
      </c>
      <c r="E6" s="17" t="s">
        <v>45</v>
      </c>
      <c r="F6" s="12">
        <f>(0.15*0.2*2.4+0.15*0.2*2.4)*4</f>
        <v>0.576</v>
      </c>
      <c r="G6" s="13">
        <f>F6*21</f>
        <v>12.096</v>
      </c>
      <c r="H6" s="8" t="s">
        <v>22</v>
      </c>
      <c r="I6" s="11">
        <v>798.16</v>
      </c>
      <c r="J6" s="13">
        <f t="shared" si="0"/>
        <v>9654.54336</v>
      </c>
      <c r="K6" s="10"/>
    </row>
    <row r="7" s="3" customFormat="1" ht="25" customHeight="1" spans="1:11">
      <c r="A7" s="8">
        <v>5</v>
      </c>
      <c r="B7" s="14"/>
      <c r="C7" s="15"/>
      <c r="D7" s="11" t="s">
        <v>23</v>
      </c>
      <c r="E7" s="11" t="s">
        <v>45</v>
      </c>
      <c r="F7" s="16">
        <f>(0.1*0.2*2.4+0.1*0.2*2.4)*4</f>
        <v>0.384</v>
      </c>
      <c r="G7" s="13">
        <f>F7*21</f>
        <v>8.064</v>
      </c>
      <c r="H7" s="8" t="s">
        <v>22</v>
      </c>
      <c r="I7" s="11">
        <v>3486.33</v>
      </c>
      <c r="J7" s="13">
        <f t="shared" si="0"/>
        <v>28113.76512</v>
      </c>
      <c r="K7" s="10"/>
    </row>
    <row r="8" s="3" customFormat="1" ht="25" customHeight="1" spans="1:11">
      <c r="A8" s="8">
        <v>6</v>
      </c>
      <c r="B8" s="14"/>
      <c r="C8" s="9" t="s">
        <v>24</v>
      </c>
      <c r="D8" s="11" t="s">
        <v>25</v>
      </c>
      <c r="E8" s="11"/>
      <c r="F8" s="16"/>
      <c r="G8" s="13"/>
      <c r="H8" s="8" t="s">
        <v>22</v>
      </c>
      <c r="I8" s="11"/>
      <c r="J8" s="13"/>
      <c r="K8" s="10"/>
    </row>
    <row r="9" s="3" customFormat="1" ht="25" customHeight="1" spans="1:11">
      <c r="A9" s="8">
        <v>7</v>
      </c>
      <c r="B9" s="14"/>
      <c r="C9" s="14"/>
      <c r="D9" s="11" t="s">
        <v>26</v>
      </c>
      <c r="E9" s="11" t="s">
        <v>43</v>
      </c>
      <c r="F9" s="12">
        <f>((1*0.2*2.4-0.2*2.1*1)+(1.85*0.2*2.4-0.2*2.1*1))*4-F11</f>
        <v>1.8816</v>
      </c>
      <c r="G9" s="13">
        <f>F9*4</f>
        <v>7.5264</v>
      </c>
      <c r="H9" s="8" t="s">
        <v>22</v>
      </c>
      <c r="I9" s="11">
        <v>101.59</v>
      </c>
      <c r="J9" s="13">
        <f t="shared" si="0"/>
        <v>764.606976</v>
      </c>
      <c r="K9" s="10"/>
    </row>
    <row r="10" s="3" customFormat="1" ht="25" customHeight="1" spans="1:11">
      <c r="A10" s="8">
        <v>8</v>
      </c>
      <c r="B10" s="14"/>
      <c r="C10" s="15"/>
      <c r="D10" s="11" t="s">
        <v>27</v>
      </c>
      <c r="E10" s="11" t="s">
        <v>43</v>
      </c>
      <c r="F10" s="12">
        <f>((1.1*0.2*2.4-0.2*2.1*1.1)+(1.85*0.2*2.4-0.2*2.1*1.1))*4</f>
        <v>1.968</v>
      </c>
      <c r="G10" s="13">
        <f>F10*4</f>
        <v>7.872</v>
      </c>
      <c r="H10" s="8" t="s">
        <v>22</v>
      </c>
      <c r="I10" s="11">
        <v>579.95</v>
      </c>
      <c r="J10" s="13">
        <f t="shared" si="0"/>
        <v>4565.3664</v>
      </c>
      <c r="K10" s="10"/>
    </row>
    <row r="11" s="3" customFormat="1" ht="25" customHeight="1" spans="1:11">
      <c r="A11" s="8">
        <v>9</v>
      </c>
      <c r="B11" s="14"/>
      <c r="C11" s="14" t="s">
        <v>28</v>
      </c>
      <c r="D11" s="11" t="s">
        <v>29</v>
      </c>
      <c r="E11" s="11" t="s">
        <v>43</v>
      </c>
      <c r="F11" s="12">
        <f>0.1152*2</f>
        <v>0.2304</v>
      </c>
      <c r="G11" s="13">
        <f>F11*4</f>
        <v>0.9216</v>
      </c>
      <c r="H11" s="8" t="s">
        <v>22</v>
      </c>
      <c r="I11" s="11">
        <v>798.16</v>
      </c>
      <c r="J11" s="13">
        <f t="shared" si="0"/>
        <v>735.584256</v>
      </c>
      <c r="K11" s="10"/>
    </row>
    <row r="12" s="3" customFormat="1" ht="25" customHeight="1" spans="1:11">
      <c r="A12" s="8">
        <v>10</v>
      </c>
      <c r="B12" s="14"/>
      <c r="C12" s="15"/>
      <c r="D12" s="11" t="s">
        <v>30</v>
      </c>
      <c r="E12" s="11" t="s">
        <v>43</v>
      </c>
      <c r="F12" s="16">
        <f>F11</f>
        <v>0.2304</v>
      </c>
      <c r="G12" s="13">
        <f>F12*4</f>
        <v>0.9216</v>
      </c>
      <c r="H12" s="8" t="s">
        <v>22</v>
      </c>
      <c r="I12" s="11">
        <v>3486.33</v>
      </c>
      <c r="J12" s="13">
        <f t="shared" si="0"/>
        <v>3213.001728</v>
      </c>
      <c r="K12" s="10"/>
    </row>
    <row r="13" s="3" customFormat="1" ht="25" customHeight="1" spans="1:11">
      <c r="A13" s="8">
        <v>11</v>
      </c>
      <c r="B13" s="14"/>
      <c r="C13" s="15" t="s">
        <v>31</v>
      </c>
      <c r="D13" s="11"/>
      <c r="E13" s="11"/>
      <c r="F13" s="11"/>
      <c r="G13" s="13">
        <f>G6+G9+G11</f>
        <v>20.544</v>
      </c>
      <c r="H13" s="8" t="s">
        <v>22</v>
      </c>
      <c r="I13" s="11">
        <v>100</v>
      </c>
      <c r="J13" s="13">
        <f t="shared" si="0"/>
        <v>2054.4</v>
      </c>
      <c r="K13" s="10"/>
    </row>
    <row r="14" s="4" customFormat="1" ht="26.4" customHeight="1" spans="1:11">
      <c r="A14" s="8">
        <v>12</v>
      </c>
      <c r="B14" s="15"/>
      <c r="C14" s="8" t="s">
        <v>46</v>
      </c>
      <c r="D14" s="8"/>
      <c r="E14" s="8"/>
      <c r="F14" s="8"/>
      <c r="G14" s="19"/>
      <c r="H14" s="19"/>
      <c r="I14" s="19"/>
      <c r="J14" s="20">
        <f>SUM(J3:J13)</f>
        <v>50765.26784</v>
      </c>
      <c r="K14" s="19"/>
    </row>
  </sheetData>
  <mergeCells count="6">
    <mergeCell ref="A1:K1"/>
    <mergeCell ref="B3:B14"/>
    <mergeCell ref="C3:C4"/>
    <mergeCell ref="C5:C7"/>
    <mergeCell ref="C8:C10"/>
    <mergeCell ref="C11:C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0" sqref="F10"/>
    </sheetView>
  </sheetViews>
  <sheetFormatPr defaultColWidth="9" defaultRowHeight="13.5"/>
  <cols>
    <col min="1" max="1" width="6.66666666666667" style="5" customWidth="1"/>
    <col min="2" max="2" width="11" style="5" customWidth="1"/>
    <col min="3" max="3" width="16.225" style="5" customWidth="1"/>
    <col min="4" max="4" width="22.1083333333333" style="1" customWidth="1"/>
    <col min="5" max="5" width="13" style="1" customWidth="1"/>
    <col min="6" max="6" width="14.5583333333333" style="1" customWidth="1"/>
    <col min="7" max="7" width="14.8916666666667" style="1" customWidth="1"/>
    <col min="8" max="9" width="9" style="1"/>
    <col min="10" max="10" width="13.225" style="1" customWidth="1"/>
    <col min="11" max="11" width="23.4416666666667" style="1" customWidth="1"/>
    <col min="12" max="16383" width="9" style="1"/>
  </cols>
  <sheetData>
    <row r="1" s="1" customFormat="1" ht="37.8" customHeight="1" spans="1:11">
      <c r="A1" s="6" t="s">
        <v>47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7.6" customHeight="1" spans="1:11">
      <c r="A2" s="7" t="s">
        <v>1</v>
      </c>
      <c r="B2" s="7" t="s">
        <v>40</v>
      </c>
      <c r="C2" s="7" t="s">
        <v>2</v>
      </c>
      <c r="D2" s="7" t="s">
        <v>3</v>
      </c>
      <c r="E2" s="7" t="s">
        <v>41</v>
      </c>
      <c r="F2" s="7" t="s">
        <v>48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="3" customFormat="1" ht="25" customHeight="1" spans="1:11">
      <c r="A3" s="8">
        <v>1</v>
      </c>
      <c r="B3" s="9" t="s">
        <v>5</v>
      </c>
      <c r="C3" s="9" t="s">
        <v>16</v>
      </c>
      <c r="D3" s="10" t="s">
        <v>16</v>
      </c>
      <c r="E3" s="11" t="s">
        <v>49</v>
      </c>
      <c r="F3" s="12"/>
      <c r="G3" s="13">
        <v>1740</v>
      </c>
      <c r="H3" s="8" t="s">
        <v>17</v>
      </c>
      <c r="I3" s="11">
        <v>3</v>
      </c>
      <c r="J3" s="13">
        <f t="shared" ref="J3:J13" si="0">G3*I3</f>
        <v>5220</v>
      </c>
      <c r="K3" s="10" t="s">
        <v>50</v>
      </c>
    </row>
    <row r="4" s="3" customFormat="1" ht="25" customHeight="1" spans="1:11">
      <c r="A4" s="8">
        <v>2</v>
      </c>
      <c r="B4" s="14"/>
      <c r="C4" s="15"/>
      <c r="D4" s="11" t="s">
        <v>19</v>
      </c>
      <c r="E4" s="11" t="s">
        <v>49</v>
      </c>
      <c r="F4" s="12"/>
      <c r="G4" s="13">
        <v>1740</v>
      </c>
      <c r="H4" s="8" t="s">
        <v>17</v>
      </c>
      <c r="I4" s="11">
        <v>1</v>
      </c>
      <c r="J4" s="13">
        <f t="shared" si="0"/>
        <v>1740</v>
      </c>
      <c r="K4" s="10"/>
    </row>
    <row r="5" s="3" customFormat="1" ht="25" customHeight="1" spans="1:11">
      <c r="A5" s="8">
        <v>3</v>
      </c>
      <c r="B5" s="14"/>
      <c r="C5" s="9" t="s">
        <v>20</v>
      </c>
      <c r="D5" s="11" t="s">
        <v>21</v>
      </c>
      <c r="E5" s="11"/>
      <c r="F5" s="16"/>
      <c r="G5" s="13"/>
      <c r="H5" s="8" t="s">
        <v>22</v>
      </c>
      <c r="I5" s="11"/>
      <c r="J5" s="13"/>
      <c r="K5" s="10"/>
    </row>
    <row r="6" s="3" customFormat="1" ht="25" customHeight="1" spans="1:11">
      <c r="A6" s="8">
        <v>4</v>
      </c>
      <c r="B6" s="14"/>
      <c r="C6" s="14"/>
      <c r="D6" s="11" t="s">
        <v>20</v>
      </c>
      <c r="E6" s="17" t="s">
        <v>51</v>
      </c>
      <c r="F6" s="12">
        <f>(0.15*0.2*2.4+0.15*0.2*2.4)*4</f>
        <v>0.576</v>
      </c>
      <c r="G6" s="13">
        <f>F6*1</f>
        <v>0.576</v>
      </c>
      <c r="H6" s="8" t="s">
        <v>22</v>
      </c>
      <c r="I6" s="11">
        <v>798.16</v>
      </c>
      <c r="J6" s="13">
        <f t="shared" si="0"/>
        <v>459.74016</v>
      </c>
      <c r="K6" s="10"/>
    </row>
    <row r="7" s="3" customFormat="1" ht="25" customHeight="1" spans="1:11">
      <c r="A7" s="8">
        <v>5</v>
      </c>
      <c r="B7" s="14"/>
      <c r="C7" s="15"/>
      <c r="D7" s="11" t="s">
        <v>23</v>
      </c>
      <c r="E7" s="11" t="s">
        <v>51</v>
      </c>
      <c r="F7" s="16">
        <f>(0.1*0.2*2.4+0.1*0.2*2.4)*4</f>
        <v>0.384</v>
      </c>
      <c r="G7" s="13">
        <f>F7*1</f>
        <v>0.384</v>
      </c>
      <c r="H7" s="8" t="s">
        <v>22</v>
      </c>
      <c r="I7" s="11">
        <v>3486.33</v>
      </c>
      <c r="J7" s="13">
        <f t="shared" si="0"/>
        <v>1338.75072</v>
      </c>
      <c r="K7" s="10"/>
    </row>
    <row r="8" s="3" customFormat="1" ht="25" customHeight="1" spans="1:11">
      <c r="A8" s="8">
        <v>6</v>
      </c>
      <c r="B8" s="14"/>
      <c r="C8" s="9" t="s">
        <v>24</v>
      </c>
      <c r="D8" s="11" t="s">
        <v>25</v>
      </c>
      <c r="E8" s="11"/>
      <c r="F8" s="16"/>
      <c r="G8" s="13"/>
      <c r="H8" s="8" t="s">
        <v>22</v>
      </c>
      <c r="I8" s="11"/>
      <c r="J8" s="13"/>
      <c r="K8" s="10"/>
    </row>
    <row r="9" s="3" customFormat="1" ht="25" customHeight="1" spans="1:11">
      <c r="A9" s="8">
        <v>7</v>
      </c>
      <c r="B9" s="14"/>
      <c r="C9" s="14"/>
      <c r="D9" s="11" t="s">
        <v>26</v>
      </c>
      <c r="E9" s="11" t="s">
        <v>49</v>
      </c>
      <c r="F9" s="12">
        <f>((1*0.2*2.4-0.2*2.1*1)*4+(3.3*0.2*2.5-0.2*2.1*1)*2)-F11</f>
        <v>2.5248</v>
      </c>
      <c r="G9" s="13">
        <f>F9*9</f>
        <v>22.7232</v>
      </c>
      <c r="H9" s="8" t="s">
        <v>22</v>
      </c>
      <c r="I9" s="11">
        <v>101.59</v>
      </c>
      <c r="J9" s="13">
        <f t="shared" si="0"/>
        <v>2308.449888</v>
      </c>
      <c r="K9" s="10"/>
    </row>
    <row r="10" s="3" customFormat="1" ht="25" customHeight="1" spans="1:11">
      <c r="A10" s="8">
        <v>8</v>
      </c>
      <c r="B10" s="14"/>
      <c r="C10" s="15"/>
      <c r="D10" s="11" t="s">
        <v>27</v>
      </c>
      <c r="E10" s="11" t="s">
        <v>49</v>
      </c>
      <c r="F10" s="12">
        <f>((1.1*0.2*2.4-0.2*2.1*1.1)*4+(3.3*0.2*2.5-0.2*2.1*1.1)*2)</f>
        <v>2.64</v>
      </c>
      <c r="G10" s="13">
        <f>F10*9</f>
        <v>23.76</v>
      </c>
      <c r="H10" s="8" t="s">
        <v>22</v>
      </c>
      <c r="I10" s="11">
        <v>579.95</v>
      </c>
      <c r="J10" s="13">
        <f t="shared" si="0"/>
        <v>13779.612</v>
      </c>
      <c r="K10" s="10"/>
    </row>
    <row r="11" s="3" customFormat="1" ht="25" customHeight="1" spans="1:11">
      <c r="A11" s="8">
        <v>9</v>
      </c>
      <c r="B11" s="14"/>
      <c r="C11" s="14" t="s">
        <v>28</v>
      </c>
      <c r="D11" s="11" t="s">
        <v>29</v>
      </c>
      <c r="E11" s="11" t="s">
        <v>49</v>
      </c>
      <c r="F11" s="12">
        <f>0.0876*2</f>
        <v>0.1752</v>
      </c>
      <c r="G11" s="13">
        <f>F11*9</f>
        <v>1.5768</v>
      </c>
      <c r="H11" s="8" t="s">
        <v>22</v>
      </c>
      <c r="I11" s="11">
        <v>798.16</v>
      </c>
      <c r="J11" s="13">
        <f t="shared" si="0"/>
        <v>1258.538688</v>
      </c>
      <c r="K11" s="10"/>
    </row>
    <row r="12" s="3" customFormat="1" ht="25" customHeight="1" spans="1:11">
      <c r="A12" s="8">
        <v>10</v>
      </c>
      <c r="B12" s="14"/>
      <c r="C12" s="15"/>
      <c r="D12" s="11" t="s">
        <v>30</v>
      </c>
      <c r="E12" s="11" t="s">
        <v>49</v>
      </c>
      <c r="F12" s="16">
        <f>F11</f>
        <v>0.1752</v>
      </c>
      <c r="G12" s="13">
        <f>F12*9</f>
        <v>1.5768</v>
      </c>
      <c r="H12" s="8" t="s">
        <v>22</v>
      </c>
      <c r="I12" s="11">
        <v>3486.33</v>
      </c>
      <c r="J12" s="13">
        <f t="shared" si="0"/>
        <v>5497.245144</v>
      </c>
      <c r="K12" s="10"/>
    </row>
    <row r="13" s="3" customFormat="1" ht="25" customHeight="1" spans="1:11">
      <c r="A13" s="8">
        <v>11</v>
      </c>
      <c r="B13" s="14"/>
      <c r="C13" s="15" t="s">
        <v>31</v>
      </c>
      <c r="D13" s="11"/>
      <c r="E13" s="11"/>
      <c r="F13" s="16"/>
      <c r="G13" s="13">
        <f>G6+G9+G11</f>
        <v>24.876</v>
      </c>
      <c r="H13" s="8" t="s">
        <v>22</v>
      </c>
      <c r="I13" s="11">
        <v>100</v>
      </c>
      <c r="J13" s="13">
        <f t="shared" si="0"/>
        <v>2487.6</v>
      </c>
      <c r="K13" s="10"/>
    </row>
    <row r="14" s="4" customFormat="1" ht="26.4" customHeight="1" spans="1:11">
      <c r="A14" s="8">
        <v>12</v>
      </c>
      <c r="B14" s="15"/>
      <c r="C14" s="8" t="s">
        <v>46</v>
      </c>
      <c r="D14" s="8"/>
      <c r="E14" s="8"/>
      <c r="F14" s="18"/>
      <c r="G14" s="19"/>
      <c r="H14" s="19"/>
      <c r="I14" s="19"/>
      <c r="J14" s="20">
        <f>SUM(J3:J13)</f>
        <v>34089.9366</v>
      </c>
      <c r="K14" s="19"/>
    </row>
  </sheetData>
  <mergeCells count="6">
    <mergeCell ref="A1:K1"/>
    <mergeCell ref="B3:B14"/>
    <mergeCell ref="C3:C4"/>
    <mergeCell ref="C5:C7"/>
    <mergeCell ref="C8:C10"/>
    <mergeCell ref="C11:C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11" sqref="J11"/>
    </sheetView>
  </sheetViews>
  <sheetFormatPr defaultColWidth="9" defaultRowHeight="13.5"/>
  <cols>
    <col min="1" max="1" width="6.66666666666667" style="5" customWidth="1"/>
    <col min="2" max="2" width="11" style="5" customWidth="1"/>
    <col min="3" max="3" width="16.225" style="5" customWidth="1"/>
    <col min="4" max="4" width="22.1083333333333" style="1" customWidth="1"/>
    <col min="5" max="5" width="13" style="1" customWidth="1"/>
    <col min="6" max="6" width="14.5583333333333" style="1" customWidth="1"/>
    <col min="7" max="7" width="14.8916666666667" style="1" customWidth="1"/>
    <col min="8" max="9" width="9" style="1"/>
    <col min="10" max="10" width="13.225" style="1" customWidth="1"/>
    <col min="11" max="11" width="23.4416666666667" style="1" customWidth="1"/>
    <col min="12" max="16383" width="9" style="1"/>
  </cols>
  <sheetData>
    <row r="1" s="1" customFormat="1" ht="37.8" customHeight="1" spans="1:11">
      <c r="A1" s="6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7.6" customHeight="1" spans="1:11">
      <c r="A2" s="7" t="s">
        <v>1</v>
      </c>
      <c r="B2" s="7" t="s">
        <v>40</v>
      </c>
      <c r="C2" s="7" t="s">
        <v>2</v>
      </c>
      <c r="D2" s="7" t="s">
        <v>3</v>
      </c>
      <c r="E2" s="7" t="s">
        <v>41</v>
      </c>
      <c r="F2" s="7" t="s">
        <v>48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="3" customFormat="1" ht="25" customHeight="1" spans="1:11">
      <c r="A3" s="8">
        <v>1</v>
      </c>
      <c r="B3" s="9" t="s">
        <v>6</v>
      </c>
      <c r="C3" s="9" t="s">
        <v>16</v>
      </c>
      <c r="D3" s="10" t="s">
        <v>16</v>
      </c>
      <c r="E3" s="11" t="s">
        <v>53</v>
      </c>
      <c r="F3" s="12"/>
      <c r="G3" s="13">
        <v>540</v>
      </c>
      <c r="H3" s="8" t="s">
        <v>17</v>
      </c>
      <c r="I3" s="11">
        <v>3</v>
      </c>
      <c r="J3" s="13">
        <f t="shared" ref="J3:J13" si="0">G3*I3</f>
        <v>1620</v>
      </c>
      <c r="K3" s="10" t="s">
        <v>50</v>
      </c>
    </row>
    <row r="4" s="3" customFormat="1" ht="25" customHeight="1" spans="1:11">
      <c r="A4" s="8">
        <v>2</v>
      </c>
      <c r="B4" s="14"/>
      <c r="C4" s="15"/>
      <c r="D4" s="11" t="s">
        <v>19</v>
      </c>
      <c r="E4" s="11" t="s">
        <v>53</v>
      </c>
      <c r="F4" s="12"/>
      <c r="G4" s="13">
        <v>540</v>
      </c>
      <c r="H4" s="8" t="s">
        <v>17</v>
      </c>
      <c r="I4" s="11">
        <v>1</v>
      </c>
      <c r="J4" s="13">
        <f t="shared" si="0"/>
        <v>540</v>
      </c>
      <c r="K4" s="10"/>
    </row>
    <row r="5" s="3" customFormat="1" ht="25" customHeight="1" spans="1:11">
      <c r="A5" s="8">
        <v>3</v>
      </c>
      <c r="B5" s="14"/>
      <c r="C5" s="9" t="s">
        <v>20</v>
      </c>
      <c r="D5" s="11" t="s">
        <v>21</v>
      </c>
      <c r="E5" s="11"/>
      <c r="F5" s="16"/>
      <c r="G5" s="13"/>
      <c r="H5" s="8" t="s">
        <v>22</v>
      </c>
      <c r="I5" s="11"/>
      <c r="J5" s="13"/>
      <c r="K5" s="10"/>
    </row>
    <row r="6" s="3" customFormat="1" ht="25" customHeight="1" spans="1:11">
      <c r="A6" s="8">
        <v>4</v>
      </c>
      <c r="B6" s="14"/>
      <c r="C6" s="14"/>
      <c r="D6" s="11" t="s">
        <v>20</v>
      </c>
      <c r="E6" s="11" t="s">
        <v>54</v>
      </c>
      <c r="F6" s="12">
        <f>0.2*0.2*2.5*2</f>
        <v>0.2</v>
      </c>
      <c r="G6" s="13">
        <f>F6*1</f>
        <v>0.2</v>
      </c>
      <c r="H6" s="8" t="s">
        <v>22</v>
      </c>
      <c r="I6" s="11">
        <v>798.16</v>
      </c>
      <c r="J6" s="13">
        <f t="shared" si="0"/>
        <v>159.632</v>
      </c>
      <c r="K6" s="10"/>
    </row>
    <row r="7" s="3" customFormat="1" ht="25" customHeight="1" spans="1:11">
      <c r="A7" s="8">
        <v>5</v>
      </c>
      <c r="B7" s="14"/>
      <c r="C7" s="15"/>
      <c r="D7" s="11" t="s">
        <v>23</v>
      </c>
      <c r="E7" s="11" t="s">
        <v>54</v>
      </c>
      <c r="F7" s="12">
        <f>0.1*0.2*2.5*2</f>
        <v>0.1</v>
      </c>
      <c r="G7" s="13">
        <f>F7*1</f>
        <v>0.1</v>
      </c>
      <c r="H7" s="8" t="s">
        <v>22</v>
      </c>
      <c r="I7" s="11">
        <v>3486.33</v>
      </c>
      <c r="J7" s="13">
        <f t="shared" si="0"/>
        <v>348.633</v>
      </c>
      <c r="K7" s="10"/>
    </row>
    <row r="8" s="3" customFormat="1" ht="25" customHeight="1" spans="1:11">
      <c r="A8" s="8">
        <v>6</v>
      </c>
      <c r="B8" s="14"/>
      <c r="C8" s="9" t="s">
        <v>24</v>
      </c>
      <c r="D8" s="11" t="s">
        <v>25</v>
      </c>
      <c r="E8" s="11"/>
      <c r="F8" s="16"/>
      <c r="G8" s="13"/>
      <c r="H8" s="8" t="s">
        <v>22</v>
      </c>
      <c r="I8" s="11"/>
      <c r="J8" s="13"/>
      <c r="K8" s="10"/>
    </row>
    <row r="9" s="3" customFormat="1" ht="25" customHeight="1" spans="1:11">
      <c r="A9" s="8">
        <v>7</v>
      </c>
      <c r="B9" s="14"/>
      <c r="C9" s="14"/>
      <c r="D9" s="11" t="s">
        <v>26</v>
      </c>
      <c r="E9" s="11" t="s">
        <v>54</v>
      </c>
      <c r="F9" s="12">
        <f>((1*0.2*2.5-0.2*2.1*1)*2+(3.6*0.2*2.5-0.2*2.1*1)*2)-F11</f>
        <v>2.8048</v>
      </c>
      <c r="G9" s="13">
        <f>F9</f>
        <v>2.8048</v>
      </c>
      <c r="H9" s="8" t="s">
        <v>22</v>
      </c>
      <c r="I9" s="11">
        <v>101.59</v>
      </c>
      <c r="J9" s="13">
        <f t="shared" si="0"/>
        <v>284.939632</v>
      </c>
      <c r="K9" s="10"/>
    </row>
    <row r="10" s="3" customFormat="1" ht="25" customHeight="1" spans="1:11">
      <c r="A10" s="8">
        <v>8</v>
      </c>
      <c r="B10" s="14"/>
      <c r="C10" s="15"/>
      <c r="D10" s="11" t="s">
        <v>27</v>
      </c>
      <c r="E10" s="11" t="s">
        <v>54</v>
      </c>
      <c r="F10" s="12">
        <f>((1.1*0.2*2.5-0.2*2.1*1.1)*2+(3.6*0.2*2.5-0.2*2.1*1.1)*2)-F12</f>
        <v>2.7368</v>
      </c>
      <c r="G10" s="13">
        <f>F10</f>
        <v>2.7368</v>
      </c>
      <c r="H10" s="8" t="s">
        <v>22</v>
      </c>
      <c r="I10" s="11">
        <v>579.95</v>
      </c>
      <c r="J10" s="13">
        <f t="shared" si="0"/>
        <v>1587.20716</v>
      </c>
      <c r="K10" s="10"/>
    </row>
    <row r="11" s="3" customFormat="1" ht="25" customHeight="1" spans="1:11">
      <c r="A11" s="8">
        <v>9</v>
      </c>
      <c r="B11" s="14"/>
      <c r="C11" s="14" t="s">
        <v>28</v>
      </c>
      <c r="D11" s="11" t="s">
        <v>29</v>
      </c>
      <c r="E11" s="11" t="s">
        <v>54</v>
      </c>
      <c r="F11" s="12">
        <f>0.1152</f>
        <v>0.1152</v>
      </c>
      <c r="G11" s="13">
        <f>F11</f>
        <v>0.1152</v>
      </c>
      <c r="H11" s="8" t="s">
        <v>22</v>
      </c>
      <c r="I11" s="11">
        <v>798.16</v>
      </c>
      <c r="J11" s="13">
        <f t="shared" si="0"/>
        <v>91.948032</v>
      </c>
      <c r="K11" s="10"/>
    </row>
    <row r="12" s="3" customFormat="1" ht="25" customHeight="1" spans="1:11">
      <c r="A12" s="8">
        <v>10</v>
      </c>
      <c r="B12" s="14"/>
      <c r="C12" s="15"/>
      <c r="D12" s="11" t="s">
        <v>30</v>
      </c>
      <c r="E12" s="11" t="s">
        <v>54</v>
      </c>
      <c r="F12" s="12">
        <f>0.1152</f>
        <v>0.1152</v>
      </c>
      <c r="G12" s="13">
        <f>F12</f>
        <v>0.1152</v>
      </c>
      <c r="H12" s="8" t="s">
        <v>22</v>
      </c>
      <c r="I12" s="11">
        <v>3486.33</v>
      </c>
      <c r="J12" s="13">
        <f t="shared" si="0"/>
        <v>401.625216</v>
      </c>
      <c r="K12" s="10"/>
    </row>
    <row r="13" s="3" customFormat="1" ht="25" customHeight="1" spans="1:11">
      <c r="A13" s="8">
        <v>11</v>
      </c>
      <c r="B13" s="14"/>
      <c r="C13" s="15" t="s">
        <v>31</v>
      </c>
      <c r="D13" s="11"/>
      <c r="E13" s="11"/>
      <c r="F13" s="16"/>
      <c r="G13" s="13">
        <f>G6+G9+G11</f>
        <v>3.12</v>
      </c>
      <c r="H13" s="8" t="s">
        <v>22</v>
      </c>
      <c r="I13" s="11">
        <v>100</v>
      </c>
      <c r="J13" s="13">
        <f t="shared" si="0"/>
        <v>312</v>
      </c>
      <c r="K13" s="10"/>
    </row>
    <row r="14" s="4" customFormat="1" ht="26.4" customHeight="1" spans="1:11">
      <c r="A14" s="8">
        <v>12</v>
      </c>
      <c r="B14" s="15"/>
      <c r="C14" s="8" t="s">
        <v>46</v>
      </c>
      <c r="D14" s="8"/>
      <c r="E14" s="8"/>
      <c r="F14" s="18"/>
      <c r="G14" s="19"/>
      <c r="H14" s="19"/>
      <c r="I14" s="19"/>
      <c r="J14" s="20">
        <f>SUM(J3:J13)</f>
        <v>5345.98504</v>
      </c>
      <c r="K14" s="19"/>
    </row>
  </sheetData>
  <mergeCells count="6">
    <mergeCell ref="A1:K1"/>
    <mergeCell ref="B3:B14"/>
    <mergeCell ref="C3:C4"/>
    <mergeCell ref="C5:C7"/>
    <mergeCell ref="C8:C10"/>
    <mergeCell ref="C11:C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J11" sqref="J11"/>
    </sheetView>
  </sheetViews>
  <sheetFormatPr defaultColWidth="9" defaultRowHeight="13.5"/>
  <cols>
    <col min="1" max="1" width="6.66666666666667" style="5" customWidth="1"/>
    <col min="2" max="2" width="11" style="5" customWidth="1"/>
    <col min="3" max="3" width="16.225" style="5" customWidth="1"/>
    <col min="4" max="4" width="22.1083333333333" style="1" customWidth="1"/>
    <col min="5" max="5" width="13" style="1" customWidth="1"/>
    <col min="6" max="6" width="14.5583333333333" style="1" customWidth="1"/>
    <col min="7" max="7" width="14.8916666666667" style="1" customWidth="1"/>
    <col min="8" max="9" width="9" style="1"/>
    <col min="10" max="10" width="13.225" style="1" customWidth="1"/>
    <col min="11" max="11" width="23.4416666666667" style="1" customWidth="1"/>
    <col min="12" max="16383" width="9" style="1"/>
  </cols>
  <sheetData>
    <row r="1" s="1" customFormat="1" ht="37.8" customHeight="1" spans="1:11">
      <c r="A1" s="6" t="s">
        <v>55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7.6" customHeight="1" spans="1:11">
      <c r="A2" s="7" t="s">
        <v>1</v>
      </c>
      <c r="B2" s="7" t="s">
        <v>40</v>
      </c>
      <c r="C2" s="7" t="s">
        <v>2</v>
      </c>
      <c r="D2" s="7" t="s">
        <v>3</v>
      </c>
      <c r="E2" s="7" t="s">
        <v>41</v>
      </c>
      <c r="F2" s="7" t="s">
        <v>48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="3" customFormat="1" ht="25" customHeight="1" spans="1:11">
      <c r="A3" s="8">
        <v>1</v>
      </c>
      <c r="B3" s="9" t="s">
        <v>7</v>
      </c>
      <c r="C3" s="9" t="s">
        <v>16</v>
      </c>
      <c r="D3" s="10" t="s">
        <v>16</v>
      </c>
      <c r="E3" s="11" t="s">
        <v>56</v>
      </c>
      <c r="F3" s="12">
        <f>20+4*2*14</f>
        <v>132</v>
      </c>
      <c r="G3" s="13">
        <f>F3*24</f>
        <v>3168</v>
      </c>
      <c r="H3" s="8" t="s">
        <v>17</v>
      </c>
      <c r="I3" s="11">
        <v>3</v>
      </c>
      <c r="J3" s="13">
        <f t="shared" ref="J3:J13" si="0">G3*I3</f>
        <v>9504</v>
      </c>
      <c r="K3" s="10" t="s">
        <v>50</v>
      </c>
    </row>
    <row r="4" s="3" customFormat="1" ht="25" customHeight="1" spans="1:11">
      <c r="A4" s="8">
        <v>2</v>
      </c>
      <c r="B4" s="14"/>
      <c r="C4" s="15"/>
      <c r="D4" s="11" t="s">
        <v>19</v>
      </c>
      <c r="E4" s="11" t="s">
        <v>56</v>
      </c>
      <c r="F4" s="12">
        <f>20+4*2*14</f>
        <v>132</v>
      </c>
      <c r="G4" s="13">
        <f>F4*24</f>
        <v>3168</v>
      </c>
      <c r="H4" s="8" t="s">
        <v>17</v>
      </c>
      <c r="I4" s="11">
        <v>1</v>
      </c>
      <c r="J4" s="13">
        <f t="shared" si="0"/>
        <v>3168</v>
      </c>
      <c r="K4" s="10"/>
    </row>
    <row r="5" s="3" customFormat="1" ht="25" customHeight="1" spans="1:11">
      <c r="A5" s="8">
        <v>3</v>
      </c>
      <c r="B5" s="14"/>
      <c r="C5" s="9" t="s">
        <v>20</v>
      </c>
      <c r="D5" s="11" t="s">
        <v>21</v>
      </c>
      <c r="E5" s="11"/>
      <c r="F5" s="16"/>
      <c r="G5" s="13"/>
      <c r="H5" s="8" t="s">
        <v>22</v>
      </c>
      <c r="I5" s="11"/>
      <c r="J5" s="13"/>
      <c r="K5" s="10"/>
    </row>
    <row r="6" s="3" customFormat="1" ht="25" customHeight="1" spans="1:11">
      <c r="A6" s="8">
        <v>4</v>
      </c>
      <c r="B6" s="14"/>
      <c r="C6" s="14"/>
      <c r="D6" s="11" t="s">
        <v>20</v>
      </c>
      <c r="E6" s="11" t="s">
        <v>57</v>
      </c>
      <c r="F6" s="10">
        <f>(0.15*0.2*2.4)*8+(0.15*0.2*2.45)*6</f>
        <v>1.017</v>
      </c>
      <c r="G6" s="13">
        <f>F6*30</f>
        <v>30.51</v>
      </c>
      <c r="H6" s="8" t="s">
        <v>22</v>
      </c>
      <c r="I6" s="11">
        <v>798.16</v>
      </c>
      <c r="J6" s="13">
        <f t="shared" si="0"/>
        <v>24351.8616</v>
      </c>
      <c r="K6" s="10"/>
    </row>
    <row r="7" s="3" customFormat="1" ht="25" customHeight="1" spans="1:11">
      <c r="A7" s="8">
        <v>5</v>
      </c>
      <c r="B7" s="14"/>
      <c r="C7" s="15"/>
      <c r="D7" s="11" t="s">
        <v>23</v>
      </c>
      <c r="E7" s="11" t="s">
        <v>57</v>
      </c>
      <c r="F7" s="10">
        <f>(0.1*0.2*2.4)*8+(0.1*0.2*2.45)*6</f>
        <v>0.678</v>
      </c>
      <c r="G7" s="13">
        <f>F7*30</f>
        <v>20.34</v>
      </c>
      <c r="H7" s="8" t="s">
        <v>22</v>
      </c>
      <c r="I7" s="11">
        <v>3486.33</v>
      </c>
      <c r="J7" s="13">
        <f t="shared" si="0"/>
        <v>70911.9522</v>
      </c>
      <c r="K7" s="10"/>
    </row>
    <row r="8" s="3" customFormat="1" ht="25" customHeight="1" spans="1:11">
      <c r="A8" s="8">
        <v>6</v>
      </c>
      <c r="B8" s="14"/>
      <c r="C8" s="9" t="s">
        <v>24</v>
      </c>
      <c r="D8" s="11" t="s">
        <v>25</v>
      </c>
      <c r="E8" s="11"/>
      <c r="F8" s="16"/>
      <c r="G8" s="13"/>
      <c r="H8" s="8" t="s">
        <v>22</v>
      </c>
      <c r="I8" s="11"/>
      <c r="J8" s="13"/>
      <c r="K8" s="10"/>
    </row>
    <row r="9" s="3" customFormat="1" ht="25" customHeight="1" spans="1:11">
      <c r="A9" s="8">
        <v>7</v>
      </c>
      <c r="B9" s="14"/>
      <c r="C9" s="14"/>
      <c r="D9" s="11" t="s">
        <v>26</v>
      </c>
      <c r="E9" s="11" t="s">
        <v>56</v>
      </c>
      <c r="F9" s="12">
        <f>((1*0.2*2.5-0.2*2.1*1)*4+(1*0.2*2.45-0.2*2.1*1)*2+(1.35*0.2*2.45-0.2*1*2.1)*2)-F11</f>
        <v>0.739</v>
      </c>
      <c r="G9" s="13">
        <f>F9*24</f>
        <v>17.736</v>
      </c>
      <c r="H9" s="8" t="s">
        <v>22</v>
      </c>
      <c r="I9" s="11">
        <v>101.59</v>
      </c>
      <c r="J9" s="13">
        <f t="shared" si="0"/>
        <v>1801.80024</v>
      </c>
      <c r="K9" s="10"/>
    </row>
    <row r="10" s="3" customFormat="1" ht="25" customHeight="1" spans="1:11">
      <c r="A10" s="8">
        <v>8</v>
      </c>
      <c r="B10" s="14"/>
      <c r="C10" s="15"/>
      <c r="D10" s="11" t="s">
        <v>27</v>
      </c>
      <c r="E10" s="11" t="s">
        <v>56</v>
      </c>
      <c r="F10" s="12">
        <f>((1.1*0.2*2.5-0.2*2.1*1.1)*4+(1.1*0.2*2.45-0.2*2.1*1.1)*2+(1.4*0.2*2.45-0.2*2.1*1.1)*2)-F12</f>
        <v>0.75</v>
      </c>
      <c r="G10" s="13">
        <f>F10*24</f>
        <v>18</v>
      </c>
      <c r="H10" s="8" t="s">
        <v>22</v>
      </c>
      <c r="I10" s="11">
        <v>579.95</v>
      </c>
      <c r="J10" s="13">
        <f t="shared" si="0"/>
        <v>10439.1</v>
      </c>
      <c r="K10" s="10"/>
    </row>
    <row r="11" s="3" customFormat="1" ht="25" customHeight="1" spans="1:11">
      <c r="A11" s="8">
        <v>9</v>
      </c>
      <c r="B11" s="14"/>
      <c r="C11" s="14" t="s">
        <v>28</v>
      </c>
      <c r="D11" s="11" t="s">
        <v>29</v>
      </c>
      <c r="E11" s="11" t="s">
        <v>56</v>
      </c>
      <c r="F11" s="12">
        <f>0.102*2</f>
        <v>0.204</v>
      </c>
      <c r="G11" s="13">
        <f>F11*24</f>
        <v>4.896</v>
      </c>
      <c r="H11" s="8" t="s">
        <v>22</v>
      </c>
      <c r="I11" s="11">
        <v>798.16</v>
      </c>
      <c r="J11" s="13">
        <f t="shared" si="0"/>
        <v>3907.79136</v>
      </c>
      <c r="K11" s="10"/>
    </row>
    <row r="12" s="3" customFormat="1" ht="25" customHeight="1" spans="1:11">
      <c r="A12" s="8">
        <v>10</v>
      </c>
      <c r="B12" s="14"/>
      <c r="C12" s="15"/>
      <c r="D12" s="11" t="s">
        <v>30</v>
      </c>
      <c r="E12" s="11" t="s">
        <v>56</v>
      </c>
      <c r="F12" s="12">
        <f>0.102*2</f>
        <v>0.204</v>
      </c>
      <c r="G12" s="13">
        <f>F12*24</f>
        <v>4.896</v>
      </c>
      <c r="H12" s="8" t="s">
        <v>22</v>
      </c>
      <c r="I12" s="11">
        <v>3486.33</v>
      </c>
      <c r="J12" s="13">
        <f t="shared" si="0"/>
        <v>17069.07168</v>
      </c>
      <c r="K12" s="10"/>
    </row>
    <row r="13" s="3" customFormat="1" ht="25" customHeight="1" spans="1:11">
      <c r="A13" s="8">
        <v>11</v>
      </c>
      <c r="B13" s="14"/>
      <c r="C13" s="15" t="s">
        <v>31</v>
      </c>
      <c r="D13" s="11"/>
      <c r="E13" s="11"/>
      <c r="F13" s="16"/>
      <c r="G13" s="13">
        <f>G6+G9+G11</f>
        <v>53.142</v>
      </c>
      <c r="H13" s="8" t="s">
        <v>22</v>
      </c>
      <c r="I13" s="11">
        <v>100</v>
      </c>
      <c r="J13" s="13">
        <f t="shared" si="0"/>
        <v>5314.2</v>
      </c>
      <c r="K13" s="10"/>
    </row>
    <row r="14" s="4" customFormat="1" ht="26.4" customHeight="1" spans="1:11">
      <c r="A14" s="8">
        <v>12</v>
      </c>
      <c r="B14" s="15"/>
      <c r="C14" s="8" t="s">
        <v>46</v>
      </c>
      <c r="D14" s="8"/>
      <c r="E14" s="8"/>
      <c r="F14" s="18"/>
      <c r="G14" s="19"/>
      <c r="H14" s="19"/>
      <c r="I14" s="19"/>
      <c r="J14" s="20">
        <f>SUM(J3:J13)</f>
        <v>146467.77708</v>
      </c>
      <c r="K14" s="19"/>
    </row>
  </sheetData>
  <mergeCells count="6">
    <mergeCell ref="A1:K1"/>
    <mergeCell ref="B3:B14"/>
    <mergeCell ref="C3:C4"/>
    <mergeCell ref="C5:C7"/>
    <mergeCell ref="C8:C10"/>
    <mergeCell ref="C11:C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6" sqref="E6"/>
    </sheetView>
  </sheetViews>
  <sheetFormatPr defaultColWidth="9" defaultRowHeight="13.5"/>
  <cols>
    <col min="1" max="1" width="6.66666666666667" style="5" customWidth="1"/>
    <col min="2" max="2" width="11" style="5" customWidth="1"/>
    <col min="3" max="3" width="16.225" style="5" customWidth="1"/>
    <col min="4" max="4" width="22.1083333333333" style="1" customWidth="1"/>
    <col min="5" max="5" width="13" style="1" customWidth="1"/>
    <col min="6" max="6" width="14.5583333333333" style="1" customWidth="1"/>
    <col min="7" max="7" width="14.8916666666667" style="1" customWidth="1"/>
    <col min="8" max="9" width="9" style="1"/>
    <col min="10" max="10" width="13.225" style="1" customWidth="1"/>
    <col min="11" max="11" width="23.4416666666667" style="1" customWidth="1"/>
    <col min="12" max="16383" width="9" style="1"/>
  </cols>
  <sheetData>
    <row r="1" s="1" customFormat="1" ht="37.8" customHeight="1" spans="1:11">
      <c r="A1" s="6" t="s">
        <v>58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7.6" customHeight="1" spans="1:11">
      <c r="A2" s="7" t="s">
        <v>1</v>
      </c>
      <c r="B2" s="7" t="s">
        <v>40</v>
      </c>
      <c r="C2" s="7" t="s">
        <v>2</v>
      </c>
      <c r="D2" s="7" t="s">
        <v>3</v>
      </c>
      <c r="E2" s="7" t="s">
        <v>41</v>
      </c>
      <c r="F2" s="7" t="s">
        <v>48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</row>
    <row r="3" s="3" customFormat="1" ht="25" customHeight="1" spans="1:11">
      <c r="A3" s="8">
        <v>1</v>
      </c>
      <c r="B3" s="9" t="s">
        <v>8</v>
      </c>
      <c r="C3" s="9" t="s">
        <v>16</v>
      </c>
      <c r="D3" s="10" t="s">
        <v>16</v>
      </c>
      <c r="E3" s="11" t="s">
        <v>59</v>
      </c>
      <c r="F3" s="12"/>
      <c r="G3" s="13">
        <v>2666</v>
      </c>
      <c r="H3" s="8" t="s">
        <v>17</v>
      </c>
      <c r="I3" s="11">
        <v>3</v>
      </c>
      <c r="J3" s="13">
        <f t="shared" ref="J3:J13" si="0">G3*I3</f>
        <v>7998</v>
      </c>
      <c r="K3" s="10" t="s">
        <v>50</v>
      </c>
    </row>
    <row r="4" s="3" customFormat="1" ht="25" customHeight="1" spans="1:11">
      <c r="A4" s="8">
        <v>2</v>
      </c>
      <c r="B4" s="14"/>
      <c r="C4" s="15"/>
      <c r="D4" s="11" t="s">
        <v>19</v>
      </c>
      <c r="E4" s="11" t="s">
        <v>59</v>
      </c>
      <c r="F4" s="12"/>
      <c r="G4" s="13">
        <v>2666</v>
      </c>
      <c r="H4" s="8" t="s">
        <v>17</v>
      </c>
      <c r="I4" s="11">
        <v>1</v>
      </c>
      <c r="J4" s="13">
        <f t="shared" si="0"/>
        <v>2666</v>
      </c>
      <c r="K4" s="10"/>
    </row>
    <row r="5" s="3" customFormat="1" ht="25" customHeight="1" spans="1:11">
      <c r="A5" s="8">
        <v>3</v>
      </c>
      <c r="B5" s="14"/>
      <c r="C5" s="9" t="s">
        <v>20</v>
      </c>
      <c r="D5" s="11" t="s">
        <v>21</v>
      </c>
      <c r="E5" s="11"/>
      <c r="F5" s="16"/>
      <c r="G5" s="13"/>
      <c r="H5" s="8" t="s">
        <v>22</v>
      </c>
      <c r="I5" s="11"/>
      <c r="J5" s="13"/>
      <c r="K5" s="10"/>
    </row>
    <row r="6" s="3" customFormat="1" ht="25" customHeight="1" spans="1:11">
      <c r="A6" s="8">
        <v>4</v>
      </c>
      <c r="B6" s="14"/>
      <c r="C6" s="14"/>
      <c r="D6" s="11" t="s">
        <v>20</v>
      </c>
      <c r="E6" s="17" t="s">
        <v>60</v>
      </c>
      <c r="F6" s="12">
        <f>(0.15*0.2*2.4+0.15*0.2*2.4)*4</f>
        <v>0.576</v>
      </c>
      <c r="G6" s="13">
        <f>F6*8</f>
        <v>4.608</v>
      </c>
      <c r="H6" s="8" t="s">
        <v>22</v>
      </c>
      <c r="I6" s="11">
        <v>798.16</v>
      </c>
      <c r="J6" s="13">
        <f t="shared" si="0"/>
        <v>3677.92128</v>
      </c>
      <c r="K6" s="10" t="s">
        <v>61</v>
      </c>
    </row>
    <row r="7" s="3" customFormat="1" ht="25" customHeight="1" spans="1:11">
      <c r="A7" s="8">
        <v>5</v>
      </c>
      <c r="B7" s="14"/>
      <c r="C7" s="15"/>
      <c r="D7" s="11" t="s">
        <v>23</v>
      </c>
      <c r="E7" s="11" t="s">
        <v>60</v>
      </c>
      <c r="F7" s="16">
        <f>(0.1*0.2*2.4+0.1*0.2*2.4)*4</f>
        <v>0.384</v>
      </c>
      <c r="G7" s="13">
        <f>F7*8</f>
        <v>3.072</v>
      </c>
      <c r="H7" s="8" t="s">
        <v>22</v>
      </c>
      <c r="I7" s="11">
        <v>3486.33</v>
      </c>
      <c r="J7" s="13">
        <f t="shared" si="0"/>
        <v>10710.00576</v>
      </c>
      <c r="K7" s="10"/>
    </row>
    <row r="8" s="3" customFormat="1" ht="25" customHeight="1" spans="1:11">
      <c r="A8" s="8">
        <v>6</v>
      </c>
      <c r="B8" s="14"/>
      <c r="C8" s="9" t="s">
        <v>24</v>
      </c>
      <c r="D8" s="11" t="s">
        <v>25</v>
      </c>
      <c r="E8" s="11"/>
      <c r="F8" s="16"/>
      <c r="G8" s="13"/>
      <c r="H8" s="8" t="s">
        <v>22</v>
      </c>
      <c r="I8" s="11"/>
      <c r="J8" s="13"/>
      <c r="K8" s="10"/>
    </row>
    <row r="9" s="3" customFormat="1" ht="25" customHeight="1" spans="1:11">
      <c r="A9" s="8">
        <v>7</v>
      </c>
      <c r="B9" s="14"/>
      <c r="C9" s="14"/>
      <c r="D9" s="11" t="s">
        <v>26</v>
      </c>
      <c r="E9" s="11" t="s">
        <v>62</v>
      </c>
      <c r="F9" s="12">
        <f>((1*0.2*2.4-0.2*2.1*1)*4+(1.85*0.2*2.4-0.2*2.1*1)*2+(3.3*0.2*2.5-0.2*2.1*1)-F11)</f>
        <v>2.22</v>
      </c>
      <c r="G9" s="13">
        <f>F9*16</f>
        <v>35.52</v>
      </c>
      <c r="H9" s="8" t="s">
        <v>22</v>
      </c>
      <c r="I9" s="11">
        <v>101.59</v>
      </c>
      <c r="J9" s="13">
        <f t="shared" si="0"/>
        <v>3608.4768</v>
      </c>
      <c r="K9" s="10"/>
    </row>
    <row r="10" s="3" customFormat="1" ht="25" customHeight="1" spans="1:11">
      <c r="A10" s="8">
        <v>8</v>
      </c>
      <c r="B10" s="14"/>
      <c r="C10" s="15"/>
      <c r="D10" s="11" t="s">
        <v>27</v>
      </c>
      <c r="E10" s="11" t="s">
        <v>62</v>
      </c>
      <c r="F10" s="12">
        <f>((1.1*0.2*2.4-0.2*2.1*1.1)*4+(1.9*0.2*2.4-0.2*2.1*1.1)*2+(3.3*0.2*2.5-0.2*2.1*1.1))</f>
        <v>2.352</v>
      </c>
      <c r="G10" s="13">
        <f>F10*16</f>
        <v>37.632</v>
      </c>
      <c r="H10" s="8" t="s">
        <v>22</v>
      </c>
      <c r="I10" s="11">
        <v>579.95</v>
      </c>
      <c r="J10" s="13">
        <f t="shared" si="0"/>
        <v>21824.6784</v>
      </c>
      <c r="K10" s="10"/>
    </row>
    <row r="11" s="3" customFormat="1" ht="25" customHeight="1" spans="1:11">
      <c r="A11" s="8">
        <v>9</v>
      </c>
      <c r="B11" s="14"/>
      <c r="C11" s="14" t="s">
        <v>28</v>
      </c>
      <c r="D11" s="11" t="s">
        <v>29</v>
      </c>
      <c r="E11" s="11" t="s">
        <v>62</v>
      </c>
      <c r="F11" s="12">
        <v>0.186</v>
      </c>
      <c r="G11" s="13">
        <f t="shared" ref="G9:G12" si="1">F11*9</f>
        <v>1.674</v>
      </c>
      <c r="H11" s="8" t="s">
        <v>22</v>
      </c>
      <c r="I11" s="11">
        <v>798.16</v>
      </c>
      <c r="J11" s="13">
        <f t="shared" si="0"/>
        <v>1336.11984</v>
      </c>
      <c r="K11" s="10"/>
    </row>
    <row r="12" s="3" customFormat="1" ht="25" customHeight="1" spans="1:11">
      <c r="A12" s="8">
        <v>10</v>
      </c>
      <c r="B12" s="14"/>
      <c r="C12" s="15"/>
      <c r="D12" s="11" t="s">
        <v>30</v>
      </c>
      <c r="E12" s="11" t="s">
        <v>62</v>
      </c>
      <c r="F12" s="12">
        <v>0.186</v>
      </c>
      <c r="G12" s="13">
        <f t="shared" si="1"/>
        <v>1.674</v>
      </c>
      <c r="H12" s="8" t="s">
        <v>22</v>
      </c>
      <c r="I12" s="11">
        <v>3486.33</v>
      </c>
      <c r="J12" s="13">
        <f t="shared" si="0"/>
        <v>5836.11642</v>
      </c>
      <c r="K12" s="10"/>
    </row>
    <row r="13" s="3" customFormat="1" ht="25" customHeight="1" spans="1:11">
      <c r="A13" s="8">
        <v>11</v>
      </c>
      <c r="B13" s="14"/>
      <c r="C13" s="15" t="s">
        <v>31</v>
      </c>
      <c r="D13" s="11"/>
      <c r="E13" s="11"/>
      <c r="F13" s="16"/>
      <c r="G13" s="13">
        <f>G6+G9+G11</f>
        <v>41.802</v>
      </c>
      <c r="H13" s="8" t="s">
        <v>22</v>
      </c>
      <c r="I13" s="11">
        <v>100</v>
      </c>
      <c r="J13" s="13">
        <f t="shared" si="0"/>
        <v>4180.2</v>
      </c>
      <c r="K13" s="10"/>
    </row>
    <row r="14" s="4" customFormat="1" ht="26.4" customHeight="1" spans="1:11">
      <c r="A14" s="8">
        <v>12</v>
      </c>
      <c r="B14" s="15"/>
      <c r="C14" s="8" t="s">
        <v>46</v>
      </c>
      <c r="D14" s="8"/>
      <c r="E14" s="8"/>
      <c r="F14" s="18"/>
      <c r="G14" s="19"/>
      <c r="H14" s="19"/>
      <c r="I14" s="19"/>
      <c r="J14" s="20">
        <f>SUM(J3:J13)</f>
        <v>61837.5185</v>
      </c>
      <c r="K14" s="19"/>
    </row>
  </sheetData>
  <mergeCells count="6">
    <mergeCell ref="A1:K1"/>
    <mergeCell ref="B3:B14"/>
    <mergeCell ref="C3:C4"/>
    <mergeCell ref="C5:C7"/>
    <mergeCell ref="C8:C10"/>
    <mergeCell ref="C11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51#</vt:lpstr>
      <vt:lpstr>52#</vt:lpstr>
      <vt:lpstr>53#</vt:lpstr>
      <vt:lpstr>56#</vt:lpstr>
      <vt:lpstr>57#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2020-12-18T00:26:00Z</dcterms:created>
  <dcterms:modified xsi:type="dcterms:W3CDTF">2021-03-04T09:56:29Z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