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汇总表" sheetId="5" r:id="rId1"/>
    <sheet name="土建" sheetId="1" r:id="rId2"/>
    <sheet name="绿化苗木" sheetId="6" r:id="rId3"/>
    <sheet name="安装部分" sheetId="2" r:id="rId4"/>
  </sheets>
  <externalReferences>
    <externalReference r:id="rId5"/>
    <externalReference r:id="rId6"/>
  </externalReferences>
  <definedNames>
    <definedName name="_xlnm._FilterDatabase" localSheetId="1" hidden="1">土建!$A$3:$J$21</definedName>
    <definedName name="_xlnm.Print_Area" localSheetId="0">汇总表!$A$1:$D$6</definedName>
  </definedNames>
  <calcPr calcId="125725"/>
</workbook>
</file>

<file path=xl/calcChain.xml><?xml version="1.0" encoding="utf-8"?>
<calcChain xmlns="http://schemas.openxmlformats.org/spreadsheetml/2006/main">
  <c r="H26" i="2"/>
  <c r="H25"/>
  <c r="F25"/>
  <c r="H24"/>
  <c r="F24"/>
  <c r="H23"/>
  <c r="F23"/>
  <c r="H22"/>
  <c r="F22"/>
  <c r="H21"/>
  <c r="F21"/>
  <c r="H20"/>
  <c r="H19"/>
  <c r="F19"/>
  <c r="H18"/>
  <c r="F18"/>
  <c r="H17"/>
  <c r="F17"/>
  <c r="H16"/>
  <c r="F16"/>
  <c r="H15"/>
  <c r="F15"/>
  <c r="H14"/>
  <c r="F14"/>
  <c r="H13"/>
  <c r="F13"/>
  <c r="H11"/>
  <c r="F11"/>
  <c r="H10"/>
  <c r="F10"/>
  <c r="H9"/>
  <c r="F9"/>
  <c r="H8"/>
  <c r="F8"/>
  <c r="H7"/>
  <c r="F7"/>
  <c r="E7"/>
  <c r="H6"/>
  <c r="F6"/>
  <c r="E6"/>
  <c r="H5"/>
  <c r="J49" i="6"/>
  <c r="J48"/>
  <c r="I48"/>
  <c r="G48"/>
  <c r="J47"/>
  <c r="I47"/>
  <c r="G47"/>
  <c r="J46"/>
  <c r="I46"/>
  <c r="G46"/>
  <c r="J45"/>
  <c r="I45"/>
  <c r="G45"/>
  <c r="J44"/>
  <c r="I44"/>
  <c r="G44"/>
  <c r="J43"/>
  <c r="I43"/>
  <c r="G43"/>
  <c r="J40"/>
  <c r="J39"/>
  <c r="I39"/>
  <c r="G39"/>
  <c r="J38"/>
  <c r="I38"/>
  <c r="G38"/>
  <c r="J37"/>
  <c r="I37"/>
  <c r="G37"/>
  <c r="J36"/>
  <c r="I36"/>
  <c r="G36"/>
  <c r="J35"/>
  <c r="I35"/>
  <c r="G35"/>
  <c r="J34"/>
  <c r="I34"/>
  <c r="G34"/>
  <c r="J33"/>
  <c r="I33"/>
  <c r="G33"/>
  <c r="J31"/>
  <c r="I31"/>
  <c r="G31"/>
  <c r="J30"/>
  <c r="I30"/>
  <c r="G30"/>
  <c r="J29"/>
  <c r="I29"/>
  <c r="G29"/>
  <c r="J28"/>
  <c r="I28"/>
  <c r="G28"/>
  <c r="J27"/>
  <c r="I27"/>
  <c r="G27"/>
  <c r="J26"/>
  <c r="I26"/>
  <c r="G26"/>
  <c r="J25"/>
  <c r="I25"/>
  <c r="G25"/>
  <c r="J24"/>
  <c r="I24"/>
  <c r="G24"/>
  <c r="J22"/>
  <c r="I22"/>
  <c r="G22"/>
  <c r="J18"/>
  <c r="I18"/>
  <c r="G18"/>
  <c r="J17"/>
  <c r="I17"/>
  <c r="G17"/>
  <c r="J16"/>
  <c r="I16"/>
  <c r="G16"/>
  <c r="J15"/>
  <c r="I15"/>
  <c r="G15"/>
  <c r="J14"/>
  <c r="I14"/>
  <c r="G14"/>
  <c r="J13"/>
  <c r="I13"/>
  <c r="G13"/>
  <c r="J12"/>
  <c r="I12"/>
  <c r="G12"/>
  <c r="J11"/>
  <c r="I11"/>
  <c r="G11"/>
  <c r="J10"/>
  <c r="I10"/>
  <c r="G10"/>
  <c r="J9"/>
  <c r="I9"/>
  <c r="G9"/>
  <c r="J7"/>
  <c r="I7"/>
  <c r="G7"/>
  <c r="J6"/>
  <c r="I6"/>
  <c r="G6"/>
  <c r="J5"/>
  <c r="I5"/>
  <c r="G5"/>
  <c r="H21" i="1"/>
  <c r="H20"/>
  <c r="F20"/>
  <c r="H19"/>
  <c r="F19"/>
  <c r="H18"/>
  <c r="F18"/>
  <c r="H17"/>
  <c r="F17"/>
  <c r="E17"/>
  <c r="H16"/>
  <c r="F16"/>
  <c r="E16"/>
  <c r="H15"/>
  <c r="F15"/>
  <c r="E15"/>
  <c r="H14"/>
  <c r="F14"/>
  <c r="E14"/>
  <c r="H13"/>
  <c r="F13"/>
  <c r="E13"/>
  <c r="H12"/>
  <c r="F12"/>
  <c r="E12"/>
  <c r="H11"/>
  <c r="H10"/>
  <c r="F10"/>
  <c r="H9"/>
  <c r="F9"/>
  <c r="E9"/>
  <c r="H8"/>
  <c r="F8"/>
  <c r="E8"/>
  <c r="H7"/>
  <c r="F7"/>
  <c r="E7"/>
  <c r="C6" i="5"/>
  <c r="C5"/>
  <c r="C4"/>
  <c r="C3"/>
</calcChain>
</file>

<file path=xl/sharedStrings.xml><?xml version="1.0" encoding="utf-8"?>
<sst xmlns="http://schemas.openxmlformats.org/spreadsheetml/2006/main" count="342" uniqueCount="205">
  <si>
    <t>序号</t>
  </si>
  <si>
    <t>分类项目名称</t>
  </si>
  <si>
    <t>造价（元）</t>
  </si>
  <si>
    <t>说明</t>
  </si>
  <si>
    <t>土建</t>
  </si>
  <si>
    <t>详见后附工程量清单明细</t>
  </si>
  <si>
    <t>绿化苗木</t>
  </si>
  <si>
    <t>安装部分</t>
  </si>
  <si>
    <t>合计</t>
  </si>
  <si>
    <t>硬质景观及成品摆件清单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</si>
  <si>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</si>
  <si>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</si>
  <si>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</si>
  <si>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</si>
  <si>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</si>
  <si>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</si>
  <si>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</si>
  <si>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</si>
  <si>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</si>
  <si>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其中：主材</t>
  </si>
  <si>
    <t>铺装</t>
  </si>
  <si>
    <t>一</t>
  </si>
  <si>
    <t>人行道路</t>
  </si>
  <si>
    <t>垫层</t>
  </si>
  <si>
    <t>1.混凝土强度等级:100厚C20混凝土
2.混凝土拌合料要求：符合规范要求
3.模板安拆费用计入综合单价，支模方式综合考虑
4.其它满足规范和设计图纸要求</t>
  </si>
  <si>
    <t>m3</t>
  </si>
  <si>
    <t>16厚900*300仿芝麻灰荔枝面维格石英砖</t>
  </si>
  <si>
    <t>1.16厚900*300仿芝麻灰荔枝面维格石英砖
2.30厚1:3干硬性水泥砂浆粘接层
3.其他说明：其它满足规范和设计图纸要求</t>
  </si>
  <si>
    <t>m2</t>
  </si>
  <si>
    <t>树池沿石</t>
  </si>
  <si>
    <t>1.路沿石25厚300*150芝麻黑光面
2.30厚1：3水泥砂浆粘接层
3、1:3水泥砂浆卧牢
4、石材下c20混凝土垫层
5、其他满足规范和设计图纸要求</t>
  </si>
  <si>
    <t>m</t>
  </si>
  <si>
    <t>树池篦子</t>
  </si>
  <si>
    <t>1、黑色复合材料成品树池篦子
2、规格1200*1200
3、其他满足规范和设计图纸要求</t>
  </si>
  <si>
    <t>个</t>
  </si>
  <si>
    <t>二</t>
  </si>
  <si>
    <t>沥青路面</t>
  </si>
  <si>
    <t>1.混凝土强度等级:200厚C20混凝土
2.混凝土拌合料要求：符合规范要求
3.模板安拆费用计入综合单价，支模方式综合考虑
4.其它满足规范和设计图纸要求
5、含切缝和伸缩缝处理</t>
  </si>
  <si>
    <t>1.混凝土强度等级:200厚C25混凝土
2.混凝土拌合料要求：符合规范要求
3.模板安拆费用计入综合单价，支模方式综合考虑
4.其它满足规范和设计图纸要求
5、含切缝和伸缩缝处理</t>
  </si>
  <si>
    <t>沥青混凝土（停车位、路面）</t>
  </si>
  <si>
    <t>1.50厚5-10mm细粒式透水沥青  
2.其它满足规范和设计图纸要求</t>
  </si>
  <si>
    <t>路沿石</t>
  </si>
  <si>
    <r>
      <rPr>
        <sz val="8"/>
        <rFont val="宋体"/>
        <charset val="134"/>
      </rPr>
      <t>1.路沿石1</t>
    </r>
    <r>
      <rPr>
        <sz val="8"/>
        <rFont val="宋体"/>
        <charset val="134"/>
      </rPr>
      <t>7</t>
    </r>
    <r>
      <rPr>
        <sz val="8"/>
        <rFont val="宋体"/>
        <charset val="134"/>
      </rPr>
      <t>0厚600*1</t>
    </r>
    <r>
      <rPr>
        <sz val="8"/>
        <rFont val="宋体"/>
        <charset val="134"/>
      </rPr>
      <t>5</t>
    </r>
    <r>
      <rPr>
        <sz val="8"/>
        <rFont val="宋体"/>
        <charset val="134"/>
      </rPr>
      <t>0芝麻灰烧面
2.30厚1：3水泥砂浆粘接层
3、1:3水泥砂浆卧牢
4、其他满足规范和设计图纸要求</t>
    </r>
  </si>
  <si>
    <t>1.c30混凝土150厚600*170成品混凝土道牙
2.30厚1：3水泥砂浆粘接层
3、1:3水泥砂浆卧牢
4、其他满足规范和设计图纸要求</t>
  </si>
  <si>
    <t>斑马线</t>
  </si>
  <si>
    <t>1、按市政规范要求画线（热熔漆）</t>
  </si>
  <si>
    <t>成品警亭</t>
  </si>
  <si>
    <t>1.材料材质：镀锌钢喷涂汽车漆；钢化玻璃
2.参考尺寸：1.5mx1.7mx2.8m
3.购买成品或由专业厂家二次深化设计并制作安装
4.详见图纸A-07
5.其它满足规范和设计图纸要求</t>
  </si>
  <si>
    <t>排水沟</t>
  </si>
  <si>
    <t>1、施工工艺按照图纸
2、50厚600*400重型铸铁篦子
3、50*50*5镀锌角钢</t>
  </si>
  <si>
    <t>米</t>
  </si>
  <si>
    <t>人行道碎石</t>
  </si>
  <si>
    <t>合    计</t>
  </si>
  <si>
    <t>乔木配置表</t>
  </si>
  <si>
    <t>名称</t>
  </si>
  <si>
    <t>规格</t>
  </si>
  <si>
    <t>数量</t>
  </si>
  <si>
    <t>单
位</t>
  </si>
  <si>
    <t>单价（元）</t>
  </si>
  <si>
    <t>综合（元）</t>
  </si>
  <si>
    <t>胸径(cm)</t>
  </si>
  <si>
    <t>树高(m)</t>
  </si>
  <si>
    <t>冠径(m)</t>
  </si>
  <si>
    <t>分支点（m）</t>
  </si>
  <si>
    <t>常绿乔木</t>
  </si>
  <si>
    <t>桂花OF-C</t>
  </si>
  <si>
    <t>12</t>
  </si>
  <si>
    <t>4</t>
  </si>
  <si>
    <t>3.7</t>
  </si>
  <si>
    <t>1</t>
  </si>
  <si>
    <t>株</t>
  </si>
  <si>
    <t>全冠，树冠自然松散，树形优美，冠幅饱满</t>
  </si>
  <si>
    <t>丛生桂花OF</t>
  </si>
  <si>
    <t>丛生</t>
  </si>
  <si>
    <t>大叶女贞LA-A</t>
  </si>
  <si>
    <t>18</t>
  </si>
  <si>
    <t>7</t>
  </si>
  <si>
    <t>1.2</t>
  </si>
  <si>
    <t>全冠，主杆挺直,树形优美，冠幅饱满</t>
  </si>
  <si>
    <t>落叶乔木</t>
  </si>
  <si>
    <t>银杏GB-A</t>
  </si>
  <si>
    <t>10</t>
  </si>
  <si>
    <t>5</t>
  </si>
  <si>
    <t>1.8</t>
  </si>
  <si>
    <t>银杏GB-B</t>
  </si>
  <si>
    <t>9</t>
  </si>
  <si>
    <t>丛生朴树CP</t>
  </si>
  <si>
    <t>≥3主杆，最粗杆胸径22，最细杆胸径18</t>
  </si>
  <si>
    <t>5.5</t>
  </si>
  <si>
    <t>0.3</t>
  </si>
  <si>
    <t>点景树，全冠，树形优美，冠幅饱满</t>
  </si>
  <si>
    <t>国槐SL-A</t>
  </si>
  <si>
    <t>30</t>
  </si>
  <si>
    <t>2.5</t>
  </si>
  <si>
    <t>全冠，主杆挺直,冠型开展,树形优美，冠幅饱满</t>
  </si>
  <si>
    <t>低分枝红叶李PE</t>
  </si>
  <si>
    <t>基径18-20</t>
  </si>
  <si>
    <t>0.6</t>
  </si>
  <si>
    <t>特选，全冠,，树形优美，冠幅饱满，红叶白花，花色叶色纯正</t>
  </si>
  <si>
    <t>山杏AS-L-A</t>
  </si>
  <si>
    <t>基径20</t>
  </si>
  <si>
    <t>全冠，树形优美，冠幅饱满，白色花，花色纯正</t>
  </si>
  <si>
    <t>碧桃PP</t>
  </si>
  <si>
    <t>基径12</t>
  </si>
  <si>
    <t>全冠，树形优美，冠幅饱满，粉色花，花色纯正</t>
  </si>
  <si>
    <t>红枫AT</t>
  </si>
  <si>
    <t>基径15</t>
  </si>
  <si>
    <t>3.5</t>
  </si>
  <si>
    <t>特选，全冠,树形优美，冠幅饱满，分层明显</t>
  </si>
  <si>
    <t>水杉MG-A</t>
  </si>
  <si>
    <t>特选，全冠,冠幅饱满，分层明显，具体三方现场选定,备选基径18的红枫</t>
  </si>
  <si>
    <t>水杉MG-B</t>
  </si>
  <si>
    <t>15</t>
  </si>
  <si>
    <t>3</t>
  </si>
  <si>
    <t>全冠，树形优美，冠幅饱满，黄色花，花色纯正</t>
  </si>
  <si>
    <t>序
号</t>
  </si>
  <si>
    <t>单位</t>
  </si>
  <si>
    <t>备注（密度仅供参考,以不见土为原则）</t>
  </si>
  <si>
    <t>高度(m)</t>
  </si>
  <si>
    <t>蓬径(m)</t>
  </si>
  <si>
    <t>高灌：H0.7m--</t>
  </si>
  <si>
    <t>大叶黄杨</t>
  </si>
  <si>
    <t>㎡</t>
  </si>
  <si>
    <t>笼子货，16株/平方米，修剪整型</t>
  </si>
  <si>
    <t>中灌：H0.4--0.6m</t>
  </si>
  <si>
    <t>美人蕉</t>
  </si>
  <si>
    <t>丛生苗，16株/平方米，自然成型</t>
  </si>
  <si>
    <t>晨光芒</t>
  </si>
  <si>
    <t>丛生苗，25株/平方米，自然成型</t>
  </si>
  <si>
    <t>细叶芒</t>
  </si>
  <si>
    <t>红叶石楠B</t>
  </si>
  <si>
    <t>笼子货，36株/平方米，修剪整型</t>
  </si>
  <si>
    <t>绣球</t>
  </si>
  <si>
    <t>笼子货，36株/平方米，自然成型</t>
  </si>
  <si>
    <t>紫叶狼尾草</t>
  </si>
  <si>
    <t>丛生苗，36株/平方米，修剪整型</t>
  </si>
  <si>
    <t>金森女贞</t>
  </si>
  <si>
    <t>笼子货，49株/平方米，修剪整型</t>
  </si>
  <si>
    <t>紫叶小檗</t>
  </si>
  <si>
    <t>三</t>
  </si>
  <si>
    <t>矮灌、地被：H0.15--0.3m</t>
  </si>
  <si>
    <t>花叶玉簪</t>
  </si>
  <si>
    <t>丛生苗，49株/平方米，自然成型</t>
  </si>
  <si>
    <t>小兔子狼尾草</t>
  </si>
  <si>
    <t>笼子货，64株/平方米，修剪整型</t>
  </si>
  <si>
    <t>瓜子黄杨</t>
  </si>
  <si>
    <t>毛鹃</t>
  </si>
  <si>
    <t>佛甲草</t>
  </si>
  <si>
    <t>丛生苗，64株/平方米，自然成型</t>
  </si>
  <si>
    <t>鼠尾草</t>
  </si>
  <si>
    <t>盆苗，64株/平方米，自然成型</t>
  </si>
  <si>
    <t>蓝紫色时令花卉</t>
  </si>
  <si>
    <t>草坪</t>
  </si>
  <si>
    <t>百慕大，冬季追播黑麦草</t>
  </si>
  <si>
    <t>四</t>
  </si>
  <si>
    <t>球灌及点缀灌木</t>
  </si>
  <si>
    <t>品种</t>
  </si>
  <si>
    <t>高度（m）</t>
  </si>
  <si>
    <t>冠幅（m）</t>
  </si>
  <si>
    <t>大叶黄杨球DHY</t>
  </si>
  <si>
    <t>修剪成型</t>
  </si>
  <si>
    <t>海桐球HT</t>
  </si>
  <si>
    <t>紫叶小檗球HJ</t>
  </si>
  <si>
    <t>红叶石楠球HS</t>
  </si>
  <si>
    <t>金叶女贞球JY</t>
  </si>
  <si>
    <t>丛生紫丁香球SO</t>
  </si>
  <si>
    <t>自然成型，丛生</t>
  </si>
  <si>
    <t>五</t>
  </si>
  <si>
    <t>景观电气</t>
  </si>
  <si>
    <t>配管</t>
  </si>
  <si>
    <t>1、名称：PVC管；
2、材质、规格：PVC32；
3、敷设方式：埋地敷设；
4、其他：详见图纸设计，相关图集，规范等。</t>
  </si>
  <si>
    <t>联塑</t>
  </si>
  <si>
    <t>1、名称：PVC管；
2、材质、规格：PVC25；
3、敷设方式：埋地敷设；
4、其他：详见图纸设计，相关图集，规范等。</t>
  </si>
  <si>
    <t>电力电缆</t>
  </si>
  <si>
    <t>1、名称：电力电缆；
2、规格、型号：YJV-0.6/1KV-3*6；
3、穿管埋地敷设
4、电缆头制安及相关试验
5、未详尽处满足图纸设计、相关规范要求</t>
  </si>
  <si>
    <t>郑州三厂</t>
  </si>
  <si>
    <t>1、名称：电力电缆；
2、规格、型号：YJV-3*4；
3、穿管埋地敷设
4、电缆头制安及相关试验
5、未详尽处满足图纸设计、相关规范要求</t>
  </si>
  <si>
    <t>路灯</t>
  </si>
  <si>
    <t>1、名称：路灯；
2、规格、大小、型号：220V/100W，LED/3000k，IP65,H=7m；
3、含基础、箍筋、螺栓等、预留、调试、防雷接地；
4、其他：详见图纸设计灯具选型大样图，以及相关图集，规范等。</t>
  </si>
  <si>
    <t>套</t>
  </si>
  <si>
    <t>手孔井</t>
  </si>
  <si>
    <t>1、名称:手孔井1；
2、规格、大小、型号：400*400*500；
3、具体做法详见图纸
4、未详尽处满足图纸设计、相关规范要求</t>
  </si>
  <si>
    <t>景观给水</t>
  </si>
  <si>
    <t>塑料管</t>
  </si>
  <si>
    <t>1、名称：PE给水管
2、规格：De63
3、压力等级：PN1.25MPa
4、连接方式：热熔连接，含相关配件
5、压力试验及吹、洗设计要求:满足规范及设计要求
6、其他：详见图纸设计、相关图集、规范等</t>
  </si>
  <si>
    <t>1、名称：PE给水管
2、规格：De50
3、压力等级：PN1.25MPa
4、连接方式：热熔连接，含相关配件
5、压力试验及吹、洗设计要求:满足规范及设计要求
6、其他：详见图纸设计、相关图集、规范等</t>
  </si>
  <si>
    <t>1、名称：PE给水管
2、规格：De32
3、压力等级：PN1.25MPa
4、连接方式：热熔连接，含相关配件
5、压力试验及吹、洗设计要求:满足规范及设计要求
6、其他：详见图纸设计、相关图集、规范等</t>
  </si>
  <si>
    <t>1、名称：PE给水管
2、规格：De25
3、压力等级：PN1.25MPa
4、连接方式：热熔连接，含相关配件
5、压力试验及吹、洗设计要求:满足规范及设计要求
6、其他：详见图纸设计、相关图集、规范等</t>
  </si>
  <si>
    <t>快速取水阀</t>
  </si>
  <si>
    <t>1、名称：快速取水阀
2、规格：DN20
3、其他：详见图纸设计、相关图集、规范等</t>
  </si>
  <si>
    <t>挖沟槽土方</t>
  </si>
  <si>
    <t>1.土壤类别：综合
2.挖土深度：详设计
3.开挖方式：人工、机械综合考虑    4.多余土方运送场内指定位置
5.其它满足规范和设计图纸要求</t>
  </si>
  <si>
    <t>回填方</t>
  </si>
  <si>
    <t>1.密实度要求：满足设计要求 
2.填方材料品种：满足设计要求的合格土方 
3.填方来源、运距：投标人根据现场实际情况自行考虑
4.其它满足规范和设计图纸要求</t>
  </si>
  <si>
    <t>景观排水</t>
  </si>
  <si>
    <t>1、名称：HDPE双壁波纹管
2、规格：De=200 环刚度≥4KN/m2
3、其他：详见图纸设计、相关图集、规范等</t>
  </si>
  <si>
    <t>恒昌</t>
  </si>
  <si>
    <t>1、名称：HDPE双壁波纹管
2、规格：De=200 环刚度≥8KN/m2
3、其他：详见图纸设计、相关图集、规范等</t>
  </si>
  <si>
    <t>雨篦子</t>
  </si>
  <si>
    <t>1.雨篦子
2.铺装中用，做法详见土建B2.05（C/D）
3.其他：详见图纸设计、相关图集、规范等</t>
  </si>
  <si>
    <t>座</t>
  </si>
  <si>
    <t>1.土壤类别：综合
2.挖土深度：详设计
3.开挖方式：人工、机械综合考虑    
4.多余土方运送场内指定位置
5.其它满足规范和设计图纸要求</t>
  </si>
  <si>
    <t>说明：综合单价中包含：人工费、材料费、机械费、安全文明施工费、扬尘治理增加费、疫情增加费、管理费、利润、税金、风险、调试、材料检测检验费等一切与之相关费用</t>
  </si>
  <si>
    <t>栾川山水文苑景观提升区工程造价汇总表（单位：元）</t>
    <phoneticPr fontId="29" type="noConversion"/>
  </si>
  <si>
    <t>栾川山水文苑景观提升区安装综合单价清单</t>
    <phoneticPr fontId="29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</si>
</sst>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32">
    <font>
      <sz val="10"/>
      <name val="Arial"/>
      <charset val="1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8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</font>
    <font>
      <b/>
      <sz val="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Arial"/>
      <family val="2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2"/>
      <name val="新細明體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/>
    <xf numFmtId="0" fontId="27" fillId="0" borderId="0">
      <alignment vertical="center"/>
    </xf>
    <xf numFmtId="0" fontId="22" fillId="0" borderId="0">
      <alignment vertical="center"/>
    </xf>
    <xf numFmtId="0" fontId="28" fillId="0" borderId="0">
      <alignment vertical="center"/>
    </xf>
  </cellStyleXfs>
  <cellXfs count="117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0" fillId="0" borderId="11" xfId="0" applyFont="1" applyFill="1" applyBorder="1" applyAlignment="1"/>
    <xf numFmtId="0" fontId="9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11" xfId="0" applyFont="1" applyFill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8" fillId="0" borderId="4" xfId="6" applyFont="1" applyFill="1" applyBorder="1" applyAlignment="1">
      <alignment horizontal="center" vertical="center" wrapText="1"/>
    </xf>
    <xf numFmtId="49" fontId="8" fillId="0" borderId="4" xfId="6" applyNumberFormat="1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3" borderId="4" xfId="7" applyFont="1" applyFill="1" applyBorder="1">
      <alignment vertical="center"/>
    </xf>
    <xf numFmtId="49" fontId="8" fillId="3" borderId="4" xfId="7" applyNumberFormat="1" applyFont="1" applyFill="1" applyBorder="1" applyAlignment="1">
      <alignment horizontal="center" vertical="center"/>
    </xf>
    <xf numFmtId="0" fontId="8" fillId="3" borderId="4" xfId="7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2" fillId="0" borderId="4" xfId="6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vertical="center"/>
    </xf>
    <xf numFmtId="0" fontId="8" fillId="0" borderId="4" xfId="3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vertical="center"/>
    </xf>
    <xf numFmtId="0" fontId="8" fillId="0" borderId="4" xfId="6" applyFont="1" applyFill="1" applyBorder="1" applyAlignment="1">
      <alignment horizontal="left" vertical="center" wrapText="1"/>
    </xf>
    <xf numFmtId="0" fontId="8" fillId="3" borderId="4" xfId="6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4" xfId="3" applyFont="1" applyFill="1" applyBorder="1" applyAlignment="1">
      <alignment vertical="center" wrapText="1"/>
    </xf>
    <xf numFmtId="177" fontId="13" fillId="0" borderId="4" xfId="0" applyNumberFormat="1" applyFont="1" applyFill="1" applyBorder="1" applyAlignment="1">
      <alignment vertical="center"/>
    </xf>
    <xf numFmtId="176" fontId="13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0" fillId="0" borderId="0" xfId="0" applyFont="1" applyFill="1"/>
    <xf numFmtId="0" fontId="14" fillId="0" borderId="0" xfId="0" applyFont="1" applyFill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178" fontId="22" fillId="0" borderId="4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9" fontId="8" fillId="0" borderId="4" xfId="6" applyNumberFormat="1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 wrapText="1"/>
    </xf>
    <xf numFmtId="0" fontId="8" fillId="0" borderId="4" xfId="6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8">
    <cellStyle name="3232" xfId="3"/>
    <cellStyle name="Normal" xfId="4"/>
    <cellStyle name="常规" xfId="0" builtinId="0"/>
    <cellStyle name="常规 2" xfId="5"/>
    <cellStyle name="常规 3" xfId="6"/>
    <cellStyle name="常规 3 2" xfId="2"/>
    <cellStyle name="常规 5" xfId="7"/>
    <cellStyle name="常规_凯德·风尚三期景观工程植物造价估算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4;&#26412;&#24037;&#20316;/&#25307;&#26631;&#25307;&#26631;/&#25307;&#26631;&#25991;&#20214;/&#25552;&#21319;&#25913;&#36896;&#21306;&#22495;/2021-1-13&#26085;&#29256;&#26412;/2021-1-13%20&#26686;&#24029;&#23637;&#31034;&#21306;&#32418;&#32447;&#22806;&#26032;&#22686;&#25913;&#36896;&#21306;&#22495;&#65288;&#26681;&#25454;&#25104;&#26412;&#35201;&#27714;&#20462;&#25913;&#65289;/02-&#26893;&#29289;/&#26893;&#29289;&#37197;&#3262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4;&#37117;&#20844;&#21496;/&#36187;&#24503;&#24037;&#20316;&#23460;/02&#12289;&#39033;&#30446;&#25991;&#20214;/2020.09-&#27827;&#21335;&#27931;&#38451;-&#20303;&#23429;-&#20013;&#28009;&#24503;&#26686;&#24029;/3-&#38454;&#27573;&#25104;&#26524;/2-&#26045;&#24037;&#22270;/2021-1-12%20&#20013;&#28009;&#24503;&#23665;&#27700;&#25991;&#33489;&#23637;&#31034;&#21306;&#26045;&#24037;&#22270;&#65288;&#34013;&#22270;&#29256;&#65289;/02-&#26893;&#29289;/&#26893;&#29289;&#37197;&#32622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乔木配置表"/>
      <sheetName val="灌木地被配置表"/>
      <sheetName val="Sheet1"/>
    </sheetNames>
    <sheetDataSet>
      <sheetData sheetId="0"/>
      <sheetData sheetId="1"/>
      <sheetData sheetId="2">
        <row r="1">
          <cell r="K1" t="str">
            <v>名称</v>
          </cell>
          <cell r="L1" t="str">
            <v>数量</v>
          </cell>
        </row>
        <row r="2">
          <cell r="K2" t="str">
            <v>银杏GB-A</v>
          </cell>
          <cell r="L2">
            <v>7</v>
          </cell>
          <cell r="M2" t="str">
            <v>丛生紫丁香球SO</v>
          </cell>
          <cell r="N2">
            <v>1</v>
          </cell>
          <cell r="R2" t="str">
            <v>大叶黄杨</v>
          </cell>
          <cell r="S2">
            <v>31</v>
          </cell>
        </row>
        <row r="3">
          <cell r="K3" t="str">
            <v>银杏GB-B</v>
          </cell>
          <cell r="L3">
            <v>9</v>
          </cell>
          <cell r="M3" t="str">
            <v>大叶黄杨球DHY</v>
          </cell>
          <cell r="N3">
            <v>5</v>
          </cell>
          <cell r="R3" t="str">
            <v>红叶石楠B</v>
          </cell>
          <cell r="S3">
            <v>245</v>
          </cell>
        </row>
        <row r="4">
          <cell r="K4" t="str">
            <v>丛生朴树CP</v>
          </cell>
          <cell r="L4">
            <v>1</v>
          </cell>
          <cell r="M4" t="str">
            <v>海桐球HT</v>
          </cell>
          <cell r="N4">
            <v>5</v>
          </cell>
          <cell r="R4" t="str">
            <v>瓜子黄杨</v>
          </cell>
          <cell r="S4">
            <v>16</v>
          </cell>
        </row>
        <row r="5">
          <cell r="K5" t="str">
            <v>丛生桂花OF</v>
          </cell>
          <cell r="L5">
            <v>3</v>
          </cell>
          <cell r="M5" t="str">
            <v>紫叶小檗球HJ</v>
          </cell>
          <cell r="N5">
            <v>3</v>
          </cell>
          <cell r="R5" t="str">
            <v>金森女贞</v>
          </cell>
          <cell r="S5">
            <v>218</v>
          </cell>
        </row>
        <row r="6">
          <cell r="K6" t="str">
            <v>低分枝红叶李PE</v>
          </cell>
          <cell r="L6">
            <v>2</v>
          </cell>
          <cell r="M6" t="str">
            <v>红叶石楠球HS</v>
          </cell>
          <cell r="N6">
            <v>7</v>
          </cell>
          <cell r="R6" t="str">
            <v>绣球</v>
          </cell>
          <cell r="S6">
            <v>4</v>
          </cell>
        </row>
        <row r="7">
          <cell r="K7" t="str">
            <v>国槐SL-A</v>
          </cell>
          <cell r="L7">
            <v>3</v>
          </cell>
          <cell r="M7" t="str">
            <v>金叶女贞球JY</v>
          </cell>
          <cell r="N7">
            <v>4</v>
          </cell>
          <cell r="R7" t="str">
            <v>毛鹃</v>
          </cell>
          <cell r="S7">
            <v>36</v>
          </cell>
        </row>
        <row r="8">
          <cell r="K8" t="str">
            <v>大叶女贞LA-A</v>
          </cell>
          <cell r="L8">
            <v>8</v>
          </cell>
          <cell r="R8" t="str">
            <v>美人蕉</v>
          </cell>
          <cell r="S8">
            <v>12</v>
          </cell>
        </row>
        <row r="9">
          <cell r="K9" t="str">
            <v>山杏AS-L-A</v>
          </cell>
          <cell r="L9">
            <v>3</v>
          </cell>
          <cell r="R9" t="str">
            <v>细叶芒</v>
          </cell>
          <cell r="S9">
            <v>461</v>
          </cell>
        </row>
        <row r="10">
          <cell r="K10" t="str">
            <v>桂花OF-C</v>
          </cell>
          <cell r="L10">
            <v>1</v>
          </cell>
          <cell r="R10" t="str">
            <v>紫叶小檗</v>
          </cell>
          <cell r="S10">
            <v>35</v>
          </cell>
        </row>
        <row r="11">
          <cell r="K11" t="str">
            <v>水杉MG-A</v>
          </cell>
          <cell r="L11">
            <v>21</v>
          </cell>
          <cell r="R11" t="str">
            <v>花叶玉簪</v>
          </cell>
          <cell r="S11">
            <v>5</v>
          </cell>
        </row>
        <row r="12">
          <cell r="K12" t="str">
            <v>水杉MG-B</v>
          </cell>
          <cell r="L12">
            <v>34</v>
          </cell>
          <cell r="R12" t="str">
            <v>紫叶狼尾草</v>
          </cell>
          <cell r="S12">
            <v>301</v>
          </cell>
        </row>
        <row r="13">
          <cell r="K13" t="str">
            <v>碧桃PP</v>
          </cell>
          <cell r="L13">
            <v>5</v>
          </cell>
          <cell r="R13" t="str">
            <v>小兔子狼尾草</v>
          </cell>
          <cell r="S13">
            <v>47</v>
          </cell>
        </row>
        <row r="14">
          <cell r="K14" t="str">
            <v>红枫AT</v>
          </cell>
          <cell r="L14">
            <v>6</v>
          </cell>
          <cell r="R14" t="str">
            <v>蓝紫色时令花卉</v>
          </cell>
          <cell r="S14">
            <v>91</v>
          </cell>
        </row>
        <row r="16">
          <cell r="R16" t="str">
            <v>佛甲草</v>
          </cell>
          <cell r="S16">
            <v>28</v>
          </cell>
        </row>
        <row r="17">
          <cell r="R17" t="str">
            <v>晨光芒</v>
          </cell>
          <cell r="S17">
            <v>18</v>
          </cell>
        </row>
        <row r="18">
          <cell r="R18" t="str">
            <v>鼠尾草</v>
          </cell>
          <cell r="S18">
            <v>586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乔木配置表"/>
      <sheetName val="灌木地被配置表"/>
      <sheetName val="Sheet1"/>
    </sheetNames>
    <sheetDataSet>
      <sheetData sheetId="0" refreshError="1"/>
      <sheetData sheetId="1" refreshError="1"/>
      <sheetData sheetId="2" refreshError="1">
        <row r="2">
          <cell r="R2" t="str">
            <v>佛甲草</v>
          </cell>
          <cell r="S2">
            <v>13</v>
          </cell>
        </row>
        <row r="3">
          <cell r="R3" t="str">
            <v>瓜子黄杨</v>
          </cell>
          <cell r="S3">
            <v>293</v>
          </cell>
        </row>
        <row r="4">
          <cell r="R4" t="str">
            <v>美人蕉</v>
          </cell>
          <cell r="S4">
            <v>38</v>
          </cell>
        </row>
        <row r="5">
          <cell r="R5" t="str">
            <v>毛鹃</v>
          </cell>
          <cell r="S5">
            <v>481</v>
          </cell>
        </row>
        <row r="6">
          <cell r="R6" t="str">
            <v>银边黄杨</v>
          </cell>
          <cell r="S6">
            <v>67</v>
          </cell>
        </row>
        <row r="7">
          <cell r="R7" t="str">
            <v>红叶石楠A</v>
          </cell>
          <cell r="S7">
            <v>150</v>
          </cell>
        </row>
        <row r="8">
          <cell r="R8" t="str">
            <v>紫叶小檗</v>
          </cell>
          <cell r="S8">
            <v>119</v>
          </cell>
        </row>
        <row r="9">
          <cell r="R9" t="str">
            <v>红叶石楠B</v>
          </cell>
          <cell r="S9">
            <v>146</v>
          </cell>
        </row>
        <row r="10">
          <cell r="R10" t="str">
            <v>金森女贞</v>
          </cell>
          <cell r="S10">
            <v>180</v>
          </cell>
        </row>
        <row r="11">
          <cell r="R11" t="str">
            <v>大叶黄杨</v>
          </cell>
          <cell r="S11">
            <v>121</v>
          </cell>
        </row>
        <row r="12">
          <cell r="R12" t="str">
            <v>绣球</v>
          </cell>
          <cell r="S12">
            <v>34</v>
          </cell>
        </row>
        <row r="13">
          <cell r="R13" t="str">
            <v>细叶芒</v>
          </cell>
          <cell r="S13">
            <v>36</v>
          </cell>
        </row>
        <row r="14">
          <cell r="R14" t="str">
            <v>蓝紫色时令花卉</v>
          </cell>
          <cell r="S14">
            <v>64</v>
          </cell>
        </row>
        <row r="15">
          <cell r="R15" t="str">
            <v>木贼</v>
          </cell>
          <cell r="S15">
            <v>12</v>
          </cell>
        </row>
        <row r="16">
          <cell r="R16" t="str">
            <v>亮晶女贞</v>
          </cell>
          <cell r="S16">
            <v>106</v>
          </cell>
        </row>
        <row r="17">
          <cell r="R17" t="str">
            <v>浅粉色时令花卉</v>
          </cell>
          <cell r="S17">
            <v>60</v>
          </cell>
        </row>
        <row r="18">
          <cell r="R18" t="str">
            <v>北海道黄杨高绿篱</v>
          </cell>
          <cell r="S18">
            <v>109</v>
          </cell>
        </row>
        <row r="19">
          <cell r="R19" t="str">
            <v>山茶</v>
          </cell>
          <cell r="S19">
            <v>56</v>
          </cell>
        </row>
        <row r="20">
          <cell r="R20" t="str">
            <v>结香</v>
          </cell>
          <cell r="S20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tabSelected="1" view="pageBreakPreview" zoomScaleNormal="100" workbookViewId="0">
      <selection sqref="A1:D1"/>
    </sheetView>
  </sheetViews>
  <sheetFormatPr defaultColWidth="10.28515625" defaultRowHeight="14.25"/>
  <cols>
    <col min="1" max="1" width="8" style="83" customWidth="1"/>
    <col min="2" max="2" width="29.28515625" style="83" customWidth="1"/>
    <col min="3" max="3" width="20.85546875" style="83" customWidth="1"/>
    <col min="4" max="4" width="34.85546875" style="83" customWidth="1"/>
    <col min="5" max="5" width="14.5703125" style="83"/>
    <col min="6" max="6" width="14.42578125" style="83"/>
    <col min="7" max="7" width="10.28515625" style="83"/>
    <col min="8" max="8" width="10.7109375" style="83"/>
    <col min="9" max="16384" width="10.28515625" style="83"/>
  </cols>
  <sheetData>
    <row r="1" spans="1:5" ht="48.75" customHeight="1">
      <c r="A1" s="89" t="s">
        <v>203</v>
      </c>
      <c r="B1" s="90"/>
      <c r="C1" s="90"/>
      <c r="D1" s="90"/>
    </row>
    <row r="2" spans="1:5" ht="38.25" customHeight="1">
      <c r="A2" s="84" t="s">
        <v>0</v>
      </c>
      <c r="B2" s="84" t="s">
        <v>1</v>
      </c>
      <c r="C2" s="84" t="s">
        <v>2</v>
      </c>
      <c r="D2" s="84" t="s">
        <v>3</v>
      </c>
      <c r="E2" s="85"/>
    </row>
    <row r="3" spans="1:5" ht="33.75" customHeight="1">
      <c r="A3" s="86">
        <v>1</v>
      </c>
      <c r="B3" s="86" t="s">
        <v>4</v>
      </c>
      <c r="C3" s="87">
        <f>土建!H21</f>
        <v>1119524.2435552001</v>
      </c>
      <c r="D3" s="86" t="s">
        <v>5</v>
      </c>
      <c r="E3" s="88"/>
    </row>
    <row r="4" spans="1:5" ht="33.75" customHeight="1">
      <c r="A4" s="86">
        <v>2</v>
      </c>
      <c r="B4" s="86" t="s">
        <v>6</v>
      </c>
      <c r="C4" s="87">
        <f>绿化苗木!J49</f>
        <v>1297527.0486399999</v>
      </c>
      <c r="D4" s="86" t="s">
        <v>5</v>
      </c>
      <c r="E4" s="88"/>
    </row>
    <row r="5" spans="1:5" ht="32.25" customHeight="1">
      <c r="A5" s="86">
        <v>3</v>
      </c>
      <c r="B5" s="86" t="s">
        <v>7</v>
      </c>
      <c r="C5" s="87">
        <f>安装部分!H26</f>
        <v>113520.50042</v>
      </c>
      <c r="D5" s="86" t="s">
        <v>5</v>
      </c>
      <c r="E5" s="88"/>
    </row>
    <row r="6" spans="1:5" ht="32.25" customHeight="1">
      <c r="A6" s="91" t="s">
        <v>8</v>
      </c>
      <c r="B6" s="92"/>
      <c r="C6" s="87">
        <f>SUM(C3:C5)</f>
        <v>2530571.7926151999</v>
      </c>
      <c r="D6" s="86"/>
      <c r="E6" s="88"/>
    </row>
  </sheetData>
  <mergeCells count="2">
    <mergeCell ref="A1:D1"/>
    <mergeCell ref="A6:B6"/>
  </mergeCells>
  <phoneticPr fontId="29" type="noConversion"/>
  <pageMargins left="0.75" right="0.75" top="1" bottom="1" header="0.5" footer="0.5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pane ySplit="4" topLeftCell="A17" activePane="bottomLeft" state="frozen"/>
      <selection pane="bottomLeft" activeCell="H11" sqref="H11"/>
    </sheetView>
  </sheetViews>
  <sheetFormatPr defaultColWidth="9.140625" defaultRowHeight="12.75"/>
  <cols>
    <col min="1" max="1" width="4.85546875" style="72" customWidth="1"/>
    <col min="2" max="2" width="13" style="72" customWidth="1"/>
    <col min="3" max="3" width="33.7109375" style="72" customWidth="1"/>
    <col min="4" max="4" width="5.5703125" style="72" customWidth="1"/>
    <col min="5" max="6" width="9.7109375" style="72" customWidth="1"/>
    <col min="7" max="7" width="18.28515625" style="72" customWidth="1"/>
    <col min="8" max="8" width="14.7109375" style="73" customWidth="1"/>
    <col min="9" max="9" width="9.85546875" style="72" customWidth="1"/>
    <col min="10" max="10" width="13.28515625" style="72" customWidth="1"/>
    <col min="11" max="16384" width="9.140625" style="72"/>
  </cols>
  <sheetData>
    <row r="1" spans="1:10" ht="30" customHeight="1">
      <c r="A1" s="95" t="s">
        <v>9</v>
      </c>
      <c r="B1" s="96"/>
      <c r="C1" s="96"/>
      <c r="D1" s="96"/>
      <c r="E1" s="96"/>
      <c r="F1" s="96"/>
      <c r="G1" s="96"/>
      <c r="H1" s="97"/>
      <c r="I1" s="96"/>
      <c r="J1" s="96"/>
    </row>
    <row r="2" spans="1:10" ht="14.25" customHeight="1">
      <c r="A2" s="94" t="s">
        <v>0</v>
      </c>
      <c r="B2" s="94" t="s">
        <v>10</v>
      </c>
      <c r="C2" s="94" t="s">
        <v>11</v>
      </c>
      <c r="D2" s="94" t="s">
        <v>12</v>
      </c>
      <c r="E2" s="94" t="s">
        <v>13</v>
      </c>
      <c r="F2" s="94" t="s">
        <v>14</v>
      </c>
      <c r="G2" s="94"/>
      <c r="H2" s="98"/>
      <c r="I2" s="94"/>
      <c r="J2" s="94"/>
    </row>
    <row r="3" spans="1:10" ht="15.6" customHeight="1">
      <c r="A3" s="94"/>
      <c r="B3" s="94"/>
      <c r="C3" s="94"/>
      <c r="D3" s="94"/>
      <c r="E3" s="94"/>
      <c r="F3" s="99" t="s">
        <v>15</v>
      </c>
      <c r="G3" s="99"/>
      <c r="H3" s="98" t="s">
        <v>16</v>
      </c>
      <c r="I3" s="94" t="s">
        <v>17</v>
      </c>
      <c r="J3" s="94" t="s">
        <v>18</v>
      </c>
    </row>
    <row r="4" spans="1:10" ht="15.6" customHeight="1">
      <c r="A4" s="94"/>
      <c r="B4" s="94"/>
      <c r="C4" s="94"/>
      <c r="D4" s="94"/>
      <c r="E4" s="94"/>
      <c r="F4" s="5"/>
      <c r="G4" s="5" t="s">
        <v>19</v>
      </c>
      <c r="H4" s="98"/>
      <c r="I4" s="94"/>
      <c r="J4" s="94"/>
    </row>
    <row r="5" spans="1:10" ht="22.7" customHeight="1">
      <c r="A5" s="74"/>
      <c r="B5" s="100" t="s">
        <v>20</v>
      </c>
      <c r="C5" s="100"/>
      <c r="D5" s="74"/>
      <c r="E5" s="74"/>
      <c r="F5" s="76"/>
      <c r="G5" s="77"/>
      <c r="H5" s="78"/>
      <c r="I5" s="74"/>
      <c r="J5" s="82"/>
    </row>
    <row r="6" spans="1:10" ht="22.7" customHeight="1">
      <c r="A6" s="74" t="s">
        <v>21</v>
      </c>
      <c r="B6" s="100" t="s">
        <v>22</v>
      </c>
      <c r="C6" s="100"/>
      <c r="D6" s="74"/>
      <c r="E6" s="74"/>
      <c r="F6" s="76"/>
      <c r="G6" s="77"/>
      <c r="H6" s="78"/>
      <c r="I6" s="74"/>
      <c r="J6" s="82"/>
    </row>
    <row r="7" spans="1:10" ht="59.25" customHeight="1">
      <c r="A7" s="74">
        <v>1</v>
      </c>
      <c r="B7" s="75" t="s">
        <v>23</v>
      </c>
      <c r="C7" s="75" t="s">
        <v>24</v>
      </c>
      <c r="D7" s="74" t="s">
        <v>25</v>
      </c>
      <c r="E7" s="74">
        <f>(469.51+273.11-2.25*16)*0.1</f>
        <v>70.662000000000006</v>
      </c>
      <c r="F7" s="76">
        <f>539.96*1.12+200</f>
        <v>804.75519999999995</v>
      </c>
      <c r="G7" s="79"/>
      <c r="H7" s="78">
        <f>E7*F7</f>
        <v>56865.611942399999</v>
      </c>
      <c r="I7" s="82"/>
      <c r="J7" s="82"/>
    </row>
    <row r="8" spans="1:10" ht="42.2" customHeight="1">
      <c r="A8" s="74">
        <v>2</v>
      </c>
      <c r="B8" s="75" t="s">
        <v>26</v>
      </c>
      <c r="C8" s="75" t="s">
        <v>27</v>
      </c>
      <c r="D8" s="74" t="s">
        <v>28</v>
      </c>
      <c r="E8" s="74">
        <f>(469.51+273.11-2.25*16)</f>
        <v>706.62</v>
      </c>
      <c r="F8" s="76">
        <f>145*1.12+50</f>
        <v>212.4</v>
      </c>
      <c r="G8" s="77"/>
      <c r="H8" s="78">
        <f t="shared" ref="H8:H20" si="0">E8*F8</f>
        <v>150086.08799999999</v>
      </c>
      <c r="I8" s="82"/>
      <c r="J8" s="82"/>
    </row>
    <row r="9" spans="1:10" ht="69" customHeight="1">
      <c r="A9" s="74">
        <v>3</v>
      </c>
      <c r="B9" s="75" t="s">
        <v>29</v>
      </c>
      <c r="C9" s="75" t="s">
        <v>30</v>
      </c>
      <c r="D9" s="74" t="s">
        <v>31</v>
      </c>
      <c r="E9" s="74">
        <f>6*16</f>
        <v>96</v>
      </c>
      <c r="F9" s="76">
        <f>96.77*1.12+50</f>
        <v>158.38239999999999</v>
      </c>
      <c r="G9" s="77"/>
      <c r="H9" s="78">
        <f t="shared" si="0"/>
        <v>15204.7104</v>
      </c>
      <c r="I9" s="82"/>
      <c r="J9" s="82"/>
    </row>
    <row r="10" spans="1:10" ht="69" customHeight="1">
      <c r="A10" s="74">
        <v>4</v>
      </c>
      <c r="B10" s="75" t="s">
        <v>32</v>
      </c>
      <c r="C10" s="75" t="s">
        <v>33</v>
      </c>
      <c r="D10" s="74" t="s">
        <v>34</v>
      </c>
      <c r="E10" s="74">
        <v>16</v>
      </c>
      <c r="F10" s="76">
        <f>200*3</f>
        <v>600</v>
      </c>
      <c r="G10" s="77"/>
      <c r="H10" s="78">
        <f t="shared" si="0"/>
        <v>9600</v>
      </c>
      <c r="I10" s="82"/>
      <c r="J10" s="82"/>
    </row>
    <row r="11" spans="1:10" ht="42.2" customHeight="1">
      <c r="A11" s="74" t="s">
        <v>35</v>
      </c>
      <c r="B11" s="75" t="s">
        <v>36</v>
      </c>
      <c r="C11" s="75"/>
      <c r="D11" s="74"/>
      <c r="E11" s="74"/>
      <c r="F11" s="76"/>
      <c r="G11" s="77"/>
      <c r="H11" s="78">
        <f t="shared" si="0"/>
        <v>0</v>
      </c>
      <c r="I11" s="82"/>
      <c r="J11" s="82"/>
    </row>
    <row r="12" spans="1:10" ht="63.95" customHeight="1">
      <c r="A12" s="74">
        <v>1</v>
      </c>
      <c r="B12" s="75" t="s">
        <v>23</v>
      </c>
      <c r="C12" s="75" t="s">
        <v>37</v>
      </c>
      <c r="D12" s="74" t="s">
        <v>25</v>
      </c>
      <c r="E12" s="74">
        <f>1610.59*0.2</f>
        <v>322.11799999999999</v>
      </c>
      <c r="F12" s="76">
        <f>539.95*1.12+200</f>
        <v>804.74400000000003</v>
      </c>
      <c r="G12" s="79"/>
      <c r="H12" s="78">
        <f t="shared" si="0"/>
        <v>259222.52779200001</v>
      </c>
      <c r="I12" s="82"/>
      <c r="J12" s="82"/>
    </row>
    <row r="13" spans="1:10" ht="72" customHeight="1">
      <c r="A13" s="74">
        <v>2</v>
      </c>
      <c r="B13" s="75" t="s">
        <v>23</v>
      </c>
      <c r="C13" s="75" t="s">
        <v>38</v>
      </c>
      <c r="D13" s="74" t="s">
        <v>25</v>
      </c>
      <c r="E13" s="74">
        <f>1717.97*0.2</f>
        <v>343.59399999999999</v>
      </c>
      <c r="F13" s="76">
        <f>554.66*1.12+200</f>
        <v>821.2192</v>
      </c>
      <c r="G13" s="79"/>
      <c r="H13" s="78">
        <f t="shared" si="0"/>
        <v>282165.98980480002</v>
      </c>
      <c r="I13" s="82"/>
      <c r="J13" s="82"/>
    </row>
    <row r="14" spans="1:10" ht="42.2" customHeight="1">
      <c r="A14" s="74">
        <v>3</v>
      </c>
      <c r="B14" s="75" t="s">
        <v>39</v>
      </c>
      <c r="C14" s="75" t="s">
        <v>40</v>
      </c>
      <c r="D14" s="74" t="s">
        <v>28</v>
      </c>
      <c r="E14" s="74">
        <f>1610.59+1717.97</f>
        <v>3328.56</v>
      </c>
      <c r="F14" s="76">
        <f>54.73*1.12</f>
        <v>61.297600000000003</v>
      </c>
      <c r="G14" s="74"/>
      <c r="H14" s="78">
        <f t="shared" si="0"/>
        <v>204032.73945600001</v>
      </c>
      <c r="I14" s="82"/>
      <c r="J14" s="82"/>
    </row>
    <row r="15" spans="1:10" ht="47.25" customHeight="1">
      <c r="A15" s="74">
        <v>4</v>
      </c>
      <c r="B15" s="75" t="s">
        <v>41</v>
      </c>
      <c r="C15" s="80" t="s">
        <v>42</v>
      </c>
      <c r="D15" s="74" t="s">
        <v>31</v>
      </c>
      <c r="E15" s="74">
        <f>188</f>
        <v>188</v>
      </c>
      <c r="F15" s="76">
        <f>96.77*1.12+50</f>
        <v>158.38239999999999</v>
      </c>
      <c r="G15" s="77"/>
      <c r="H15" s="78">
        <f t="shared" si="0"/>
        <v>29775.891199999998</v>
      </c>
      <c r="I15" s="82"/>
      <c r="J15" s="82"/>
    </row>
    <row r="16" spans="1:10" ht="60.95" customHeight="1">
      <c r="A16" s="74">
        <v>5</v>
      </c>
      <c r="B16" s="75" t="s">
        <v>41</v>
      </c>
      <c r="C16" s="75" t="s">
        <v>43</v>
      </c>
      <c r="D16" s="74" t="s">
        <v>31</v>
      </c>
      <c r="E16" s="74">
        <f>441.81+314.66-15.04-12.16-58.15*2-6.77-E15</f>
        <v>418.2</v>
      </c>
      <c r="F16" s="76">
        <f>68.79*1.12+50</f>
        <v>127.0448</v>
      </c>
      <c r="G16" s="77"/>
      <c r="H16" s="78">
        <f t="shared" si="0"/>
        <v>53130.13536</v>
      </c>
      <c r="I16" s="82"/>
      <c r="J16" s="82"/>
    </row>
    <row r="17" spans="1:10" ht="42.2" customHeight="1">
      <c r="A17" s="74">
        <v>6</v>
      </c>
      <c r="B17" s="75" t="s">
        <v>44</v>
      </c>
      <c r="C17" s="75" t="s">
        <v>45</v>
      </c>
      <c r="D17" s="74" t="s">
        <v>28</v>
      </c>
      <c r="E17" s="74">
        <f>35.58*3+23.56</f>
        <v>130.30000000000001</v>
      </c>
      <c r="F17" s="76">
        <f>39.85*1.12+50</f>
        <v>94.632000000000005</v>
      </c>
      <c r="G17" s="77"/>
      <c r="H17" s="78">
        <f t="shared" si="0"/>
        <v>12330.5496</v>
      </c>
      <c r="I17" s="82"/>
      <c r="J17" s="82"/>
    </row>
    <row r="18" spans="1:10" ht="69.95" customHeight="1">
      <c r="A18" s="74">
        <v>7</v>
      </c>
      <c r="B18" s="75" t="s">
        <v>46</v>
      </c>
      <c r="C18" s="75" t="s">
        <v>47</v>
      </c>
      <c r="D18" s="74" t="s">
        <v>34</v>
      </c>
      <c r="E18" s="74">
        <v>1</v>
      </c>
      <c r="F18" s="76">
        <f>18000</f>
        <v>18000</v>
      </c>
      <c r="G18" s="77"/>
      <c r="H18" s="78">
        <f t="shared" si="0"/>
        <v>18000</v>
      </c>
      <c r="I18" s="82"/>
      <c r="J18" s="82"/>
    </row>
    <row r="19" spans="1:10" ht="42.2" customHeight="1">
      <c r="A19" s="74">
        <v>8</v>
      </c>
      <c r="B19" s="75" t="s">
        <v>48</v>
      </c>
      <c r="C19" s="80" t="s">
        <v>49</v>
      </c>
      <c r="D19" s="74" t="s">
        <v>50</v>
      </c>
      <c r="E19" s="74">
        <v>14</v>
      </c>
      <c r="F19" s="76">
        <f>485+80</f>
        <v>565</v>
      </c>
      <c r="G19" s="77"/>
      <c r="H19" s="78">
        <f t="shared" si="0"/>
        <v>7910</v>
      </c>
      <c r="I19" s="82"/>
      <c r="J19" s="82"/>
    </row>
    <row r="20" spans="1:10" ht="42.2" customHeight="1">
      <c r="A20" s="74">
        <v>9</v>
      </c>
      <c r="B20" s="75" t="s">
        <v>23</v>
      </c>
      <c r="C20" s="75" t="s">
        <v>51</v>
      </c>
      <c r="D20" s="74" t="s">
        <v>25</v>
      </c>
      <c r="E20" s="74">
        <v>106</v>
      </c>
      <c r="F20" s="76">
        <f>150+50</f>
        <v>200</v>
      </c>
      <c r="G20" s="77"/>
      <c r="H20" s="78">
        <f t="shared" si="0"/>
        <v>21200</v>
      </c>
      <c r="I20" s="82"/>
      <c r="J20" s="82"/>
    </row>
    <row r="21" spans="1:10" ht="19.899999999999999" customHeight="1">
      <c r="A21" s="93" t="s">
        <v>52</v>
      </c>
      <c r="B21" s="93"/>
      <c r="C21" s="93"/>
      <c r="D21" s="93"/>
      <c r="E21" s="93"/>
      <c r="F21" s="93"/>
      <c r="G21" s="93"/>
      <c r="H21" s="81">
        <f>SUM(H5:H20)</f>
        <v>1119524.2435552001</v>
      </c>
      <c r="I21" s="82"/>
      <c r="J21" s="82"/>
    </row>
  </sheetData>
  <autoFilter ref="A3:J21">
    <extLst/>
  </autoFilter>
  <mergeCells count="14">
    <mergeCell ref="A1:J1"/>
    <mergeCell ref="F2:J2"/>
    <mergeCell ref="F3:G3"/>
    <mergeCell ref="B5:C5"/>
    <mergeCell ref="B6:C6"/>
    <mergeCell ref="H3:H4"/>
    <mergeCell ref="I3:I4"/>
    <mergeCell ref="J3:J4"/>
    <mergeCell ref="A21:G21"/>
    <mergeCell ref="A2:A4"/>
    <mergeCell ref="B2:B4"/>
    <mergeCell ref="C2:C4"/>
    <mergeCell ref="D2:D4"/>
    <mergeCell ref="E2:E4"/>
  </mergeCells>
  <phoneticPr fontId="29" type="noConversion"/>
  <pageMargins left="0.78740157480314998" right="0.196850393700787" top="0.78740157480314998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topLeftCell="A37" zoomScale="85" zoomScaleNormal="85" workbookViewId="0">
      <selection activeCell="K8" sqref="K8"/>
    </sheetView>
  </sheetViews>
  <sheetFormatPr defaultColWidth="10.28515625" defaultRowHeight="13.5"/>
  <cols>
    <col min="1" max="1" width="4.5703125" style="33" customWidth="1"/>
    <col min="2" max="2" width="15.7109375" style="33" customWidth="1"/>
    <col min="3" max="3" width="35.42578125" style="33" customWidth="1"/>
    <col min="4" max="4" width="10.42578125" style="33" customWidth="1"/>
    <col min="5" max="5" width="9.85546875" style="33" customWidth="1"/>
    <col min="6" max="6" width="12.140625" style="33" customWidth="1"/>
    <col min="7" max="8" width="11.28515625" style="33" customWidth="1"/>
    <col min="9" max="9" width="11.140625" style="33" customWidth="1"/>
    <col min="10" max="10" width="14.42578125" style="33" customWidth="1"/>
    <col min="11" max="11" width="34.28515625" style="34" customWidth="1"/>
    <col min="12" max="16384" width="10.28515625" style="33"/>
  </cols>
  <sheetData>
    <row r="1" spans="1:11" ht="33" customHeight="1">
      <c r="A1" s="101" t="s">
        <v>53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5.5" customHeight="1">
      <c r="A2" s="103" t="s">
        <v>0</v>
      </c>
      <c r="B2" s="103" t="s">
        <v>54</v>
      </c>
      <c r="C2" s="102" t="s">
        <v>55</v>
      </c>
      <c r="D2" s="102"/>
      <c r="E2" s="102"/>
      <c r="F2" s="36"/>
      <c r="G2" s="104" t="s">
        <v>56</v>
      </c>
      <c r="H2" s="104" t="s">
        <v>57</v>
      </c>
      <c r="I2" s="104" t="s">
        <v>58</v>
      </c>
      <c r="J2" s="104" t="s">
        <v>59</v>
      </c>
      <c r="K2" s="105" t="s">
        <v>17</v>
      </c>
    </row>
    <row r="3" spans="1:11" ht="25.5" customHeight="1">
      <c r="A3" s="103"/>
      <c r="B3" s="103"/>
      <c r="C3" s="37" t="s">
        <v>60</v>
      </c>
      <c r="D3" s="37" t="s">
        <v>61</v>
      </c>
      <c r="E3" s="37" t="s">
        <v>62</v>
      </c>
      <c r="F3" s="36" t="s">
        <v>63</v>
      </c>
      <c r="G3" s="104"/>
      <c r="H3" s="104"/>
      <c r="I3" s="104"/>
      <c r="J3" s="104"/>
      <c r="K3" s="105"/>
    </row>
    <row r="4" spans="1:11" ht="25.5" customHeight="1">
      <c r="A4" s="38" t="s">
        <v>21</v>
      </c>
      <c r="B4" s="39" t="s">
        <v>64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s="32" customFormat="1" ht="25.5" customHeight="1">
      <c r="A5" s="40">
        <v>1</v>
      </c>
      <c r="B5" s="41" t="s">
        <v>65</v>
      </c>
      <c r="C5" s="42" t="s">
        <v>66</v>
      </c>
      <c r="D5" s="42" t="s">
        <v>67</v>
      </c>
      <c r="E5" s="42" t="s">
        <v>68</v>
      </c>
      <c r="F5" s="42" t="s">
        <v>69</v>
      </c>
      <c r="G5" s="40">
        <f>VLOOKUP(B5,[1]Sheet1!K:L,2,0)</f>
        <v>1</v>
      </c>
      <c r="H5" s="40" t="s">
        <v>70</v>
      </c>
      <c r="I5" s="61">
        <f>(1940.9*1.12)*2</f>
        <v>4347.616</v>
      </c>
      <c r="J5" s="40">
        <f>I5*G5</f>
        <v>4347.616</v>
      </c>
      <c r="K5" s="62" t="s">
        <v>71</v>
      </c>
    </row>
    <row r="6" spans="1:11" ht="25.5" customHeight="1">
      <c r="A6" s="40">
        <v>2</v>
      </c>
      <c r="B6" s="43" t="s">
        <v>72</v>
      </c>
      <c r="C6" s="44" t="s">
        <v>73</v>
      </c>
      <c r="D6" s="45">
        <v>3</v>
      </c>
      <c r="E6" s="45">
        <v>2.5</v>
      </c>
      <c r="F6" s="45">
        <v>0.3</v>
      </c>
      <c r="G6" s="40">
        <f>VLOOKUP(B6,[1]Sheet1!K:L,2,0)</f>
        <v>3</v>
      </c>
      <c r="H6" s="46" t="s">
        <v>70</v>
      </c>
      <c r="I6" s="61">
        <f>(2940.9*1.12)*2</f>
        <v>6587.616</v>
      </c>
      <c r="J6" s="40">
        <f>I6*G6</f>
        <v>19762.848000000002</v>
      </c>
      <c r="K6" s="63" t="s">
        <v>71</v>
      </c>
    </row>
    <row r="7" spans="1:11" ht="25.5" customHeight="1">
      <c r="A7" s="40">
        <v>3</v>
      </c>
      <c r="B7" s="41" t="s">
        <v>74</v>
      </c>
      <c r="C7" s="42" t="s">
        <v>75</v>
      </c>
      <c r="D7" s="42" t="s">
        <v>76</v>
      </c>
      <c r="E7" s="42" t="s">
        <v>67</v>
      </c>
      <c r="F7" s="42" t="s">
        <v>77</v>
      </c>
      <c r="G7" s="40">
        <f>VLOOKUP(B7,[1]Sheet1!K:L,2,0)</f>
        <v>8</v>
      </c>
      <c r="H7" s="40" t="s">
        <v>70</v>
      </c>
      <c r="I7" s="61">
        <f>(1640.9*1.12)*2</f>
        <v>3675.616</v>
      </c>
      <c r="J7" s="40">
        <f>I7*G7</f>
        <v>29404.928</v>
      </c>
      <c r="K7" s="62" t="s">
        <v>78</v>
      </c>
    </row>
    <row r="8" spans="1:11" ht="25.5" customHeight="1">
      <c r="A8" s="38" t="s">
        <v>35</v>
      </c>
      <c r="B8" s="39" t="s">
        <v>79</v>
      </c>
      <c r="C8" s="39"/>
      <c r="D8" s="39"/>
      <c r="E8" s="39"/>
      <c r="F8" s="39"/>
      <c r="G8" s="39"/>
      <c r="H8" s="39"/>
      <c r="I8" s="61">
        <v>0</v>
      </c>
      <c r="J8" s="39"/>
      <c r="K8" s="39"/>
    </row>
    <row r="9" spans="1:11" ht="25.5" customHeight="1">
      <c r="A9" s="40">
        <v>4</v>
      </c>
      <c r="B9" s="41" t="s">
        <v>80</v>
      </c>
      <c r="C9" s="47">
        <v>25</v>
      </c>
      <c r="D9" s="42" t="s">
        <v>81</v>
      </c>
      <c r="E9" s="42" t="s">
        <v>82</v>
      </c>
      <c r="F9" s="42" t="s">
        <v>83</v>
      </c>
      <c r="G9" s="40">
        <f>VLOOKUP(B9,[1]Sheet1!K:L,2,0)</f>
        <v>7</v>
      </c>
      <c r="H9" s="40" t="s">
        <v>70</v>
      </c>
      <c r="I9" s="61">
        <f>(5140.9*1.12)*2</f>
        <v>11515.616</v>
      </c>
      <c r="J9" s="40">
        <f>I9*G9</f>
        <v>80609.312000000005</v>
      </c>
      <c r="K9" s="62" t="s">
        <v>78</v>
      </c>
    </row>
    <row r="10" spans="1:11" ht="25.5" customHeight="1">
      <c r="A10" s="40">
        <v>5</v>
      </c>
      <c r="B10" s="41" t="s">
        <v>84</v>
      </c>
      <c r="C10" s="47">
        <v>20</v>
      </c>
      <c r="D10" s="42" t="s">
        <v>85</v>
      </c>
      <c r="E10" s="42" t="s">
        <v>67</v>
      </c>
      <c r="F10" s="42" t="s">
        <v>83</v>
      </c>
      <c r="G10" s="40">
        <f>VLOOKUP(B10,[1]Sheet1!K:L,2,0)</f>
        <v>9</v>
      </c>
      <c r="H10" s="40" t="s">
        <v>70</v>
      </c>
      <c r="I10" s="61">
        <f>(2740.9*1.12)*2</f>
        <v>6139.616</v>
      </c>
      <c r="J10" s="40">
        <f t="shared" ref="J10:J18" si="0">I10*G10</f>
        <v>55256.544000000002</v>
      </c>
      <c r="K10" s="62" t="s">
        <v>78</v>
      </c>
    </row>
    <row r="11" spans="1:11" ht="25.5" customHeight="1">
      <c r="A11" s="40">
        <v>6</v>
      </c>
      <c r="B11" s="48" t="s">
        <v>86</v>
      </c>
      <c r="C11" s="42" t="s">
        <v>87</v>
      </c>
      <c r="D11" s="49" t="s">
        <v>81</v>
      </c>
      <c r="E11" s="49" t="s">
        <v>88</v>
      </c>
      <c r="F11" s="49" t="s">
        <v>89</v>
      </c>
      <c r="G11" s="40">
        <f>VLOOKUP(B11,[1]Sheet1!K:L,2,0)</f>
        <v>1</v>
      </c>
      <c r="H11" s="50" t="s">
        <v>70</v>
      </c>
      <c r="I11" s="61">
        <f>26281.8</f>
        <v>26281.8</v>
      </c>
      <c r="J11" s="40">
        <f t="shared" si="0"/>
        <v>26281.8</v>
      </c>
      <c r="K11" s="64" t="s">
        <v>90</v>
      </c>
    </row>
    <row r="12" spans="1:11" ht="25.5" customHeight="1">
      <c r="A12" s="40">
        <v>7</v>
      </c>
      <c r="B12" s="41" t="s">
        <v>91</v>
      </c>
      <c r="C12" s="42" t="s">
        <v>92</v>
      </c>
      <c r="D12" s="42" t="s">
        <v>81</v>
      </c>
      <c r="E12" s="42" t="s">
        <v>88</v>
      </c>
      <c r="F12" s="42" t="s">
        <v>93</v>
      </c>
      <c r="G12" s="40">
        <f>VLOOKUP(B12,[1]Sheet1!K:L,2,0)</f>
        <v>3</v>
      </c>
      <c r="H12" s="40" t="s">
        <v>70</v>
      </c>
      <c r="I12" s="61">
        <f>(3140.9*1.12)*2</f>
        <v>7035.616</v>
      </c>
      <c r="J12" s="40">
        <f t="shared" si="0"/>
        <v>21106.848000000002</v>
      </c>
      <c r="K12" s="62" t="s">
        <v>94</v>
      </c>
    </row>
    <row r="13" spans="1:11" ht="25.5" customHeight="1">
      <c r="A13" s="40">
        <v>8</v>
      </c>
      <c r="B13" s="41" t="s">
        <v>95</v>
      </c>
      <c r="C13" s="42" t="s">
        <v>96</v>
      </c>
      <c r="D13" s="47">
        <v>4.5</v>
      </c>
      <c r="E13" s="47">
        <v>4</v>
      </c>
      <c r="F13" s="42" t="s">
        <v>97</v>
      </c>
      <c r="G13" s="40">
        <f>VLOOKUP(B13,[1]Sheet1!K:L,2,0)</f>
        <v>2</v>
      </c>
      <c r="H13" s="40" t="s">
        <v>70</v>
      </c>
      <c r="I13" s="61">
        <f>(1340.9*1.12)*2</f>
        <v>3003.616</v>
      </c>
      <c r="J13" s="40">
        <f t="shared" si="0"/>
        <v>6007.232</v>
      </c>
      <c r="K13" s="62" t="s">
        <v>98</v>
      </c>
    </row>
    <row r="14" spans="1:11" ht="25.5" customHeight="1">
      <c r="A14" s="40">
        <v>9</v>
      </c>
      <c r="B14" s="41" t="s">
        <v>99</v>
      </c>
      <c r="C14" s="42" t="s">
        <v>100</v>
      </c>
      <c r="D14" s="47">
        <v>5</v>
      </c>
      <c r="E14" s="47">
        <v>4.5</v>
      </c>
      <c r="F14" s="47">
        <v>0.3</v>
      </c>
      <c r="G14" s="40">
        <f>VLOOKUP(B14,[1]Sheet1!K:L,2,0)</f>
        <v>3</v>
      </c>
      <c r="H14" s="40" t="s">
        <v>70</v>
      </c>
      <c r="I14" s="61">
        <f>(1340.9*1.12)*2</f>
        <v>3003.616</v>
      </c>
      <c r="J14" s="40">
        <f t="shared" si="0"/>
        <v>9010.848</v>
      </c>
      <c r="K14" s="62" t="s">
        <v>101</v>
      </c>
    </row>
    <row r="15" spans="1:11" ht="25.5" customHeight="1">
      <c r="A15" s="40">
        <v>10</v>
      </c>
      <c r="B15" s="41" t="s">
        <v>102</v>
      </c>
      <c r="C15" s="42" t="s">
        <v>103</v>
      </c>
      <c r="D15" s="47">
        <v>3</v>
      </c>
      <c r="E15" s="47">
        <v>3</v>
      </c>
      <c r="F15" s="47">
        <v>0.5</v>
      </c>
      <c r="G15" s="40">
        <f>VLOOKUP(B15,[1]Sheet1!K:L,2,0)</f>
        <v>5</v>
      </c>
      <c r="H15" s="40" t="s">
        <v>70</v>
      </c>
      <c r="I15" s="61">
        <f>(660.9*1.12)*2</f>
        <v>1480.4159999999999</v>
      </c>
      <c r="J15" s="40">
        <f t="shared" si="0"/>
        <v>7402.08</v>
      </c>
      <c r="K15" s="62" t="s">
        <v>104</v>
      </c>
    </row>
    <row r="16" spans="1:11" ht="25.5" customHeight="1">
      <c r="A16" s="40">
        <v>11</v>
      </c>
      <c r="B16" s="41" t="s">
        <v>105</v>
      </c>
      <c r="C16" s="42" t="s">
        <v>106</v>
      </c>
      <c r="D16" s="42" t="s">
        <v>68</v>
      </c>
      <c r="E16" s="42" t="s">
        <v>107</v>
      </c>
      <c r="F16" s="47">
        <v>0.6</v>
      </c>
      <c r="G16" s="40">
        <f>VLOOKUP(B16,[1]Sheet1!K:L,2,0)</f>
        <v>6</v>
      </c>
      <c r="H16" s="40" t="s">
        <v>70</v>
      </c>
      <c r="I16" s="61">
        <f>(2140.9*1.12)*2</f>
        <v>4795.616</v>
      </c>
      <c r="J16" s="40">
        <f t="shared" si="0"/>
        <v>28773.696</v>
      </c>
      <c r="K16" s="62" t="s">
        <v>108</v>
      </c>
    </row>
    <row r="17" spans="1:11" ht="25.5" customHeight="1">
      <c r="A17" s="40">
        <v>12</v>
      </c>
      <c r="B17" s="41" t="s">
        <v>109</v>
      </c>
      <c r="C17" s="42" t="s">
        <v>75</v>
      </c>
      <c r="D17" s="42" t="s">
        <v>81</v>
      </c>
      <c r="E17" s="42" t="s">
        <v>107</v>
      </c>
      <c r="F17" s="47">
        <v>0.8</v>
      </c>
      <c r="G17" s="40">
        <f>VLOOKUP(B17,[1]Sheet1!K:L,2,0)</f>
        <v>21</v>
      </c>
      <c r="H17" s="40" t="s">
        <v>70</v>
      </c>
      <c r="I17" s="61">
        <f>(2140.9*1.12)*2</f>
        <v>4795.616</v>
      </c>
      <c r="J17" s="40">
        <f t="shared" si="0"/>
        <v>100707.936</v>
      </c>
      <c r="K17" s="62" t="s">
        <v>110</v>
      </c>
    </row>
    <row r="18" spans="1:11" ht="25.5" customHeight="1">
      <c r="A18" s="40">
        <v>13</v>
      </c>
      <c r="B18" s="41" t="s">
        <v>111</v>
      </c>
      <c r="C18" s="42" t="s">
        <v>112</v>
      </c>
      <c r="D18" s="42" t="s">
        <v>85</v>
      </c>
      <c r="E18" s="42" t="s">
        <v>113</v>
      </c>
      <c r="F18" s="42" t="s">
        <v>89</v>
      </c>
      <c r="G18" s="40">
        <f>VLOOKUP(B18,[1]Sheet1!K:L,2,0)</f>
        <v>34</v>
      </c>
      <c r="H18" s="40" t="s">
        <v>70</v>
      </c>
      <c r="I18" s="61">
        <f>(2040.9*1.12)*2</f>
        <v>4571.616</v>
      </c>
      <c r="J18" s="40">
        <f t="shared" si="0"/>
        <v>155434.94399999999</v>
      </c>
      <c r="K18" s="62" t="s">
        <v>114</v>
      </c>
    </row>
    <row r="19" spans="1:11" ht="21.75" customHeight="1">
      <c r="A19" s="103" t="s">
        <v>115</v>
      </c>
      <c r="B19" s="103" t="s">
        <v>54</v>
      </c>
      <c r="C19" s="102" t="s">
        <v>55</v>
      </c>
      <c r="D19" s="102"/>
      <c r="E19" s="51"/>
      <c r="F19" s="51"/>
      <c r="G19" s="103" t="s">
        <v>13</v>
      </c>
      <c r="H19" s="103" t="s">
        <v>116</v>
      </c>
      <c r="I19" s="61"/>
      <c r="J19" s="51"/>
      <c r="K19" s="103" t="s">
        <v>117</v>
      </c>
    </row>
    <row r="20" spans="1:11" ht="21.75" customHeight="1">
      <c r="A20" s="103"/>
      <c r="B20" s="103"/>
      <c r="C20" s="37" t="s">
        <v>118</v>
      </c>
      <c r="D20" s="37" t="s">
        <v>119</v>
      </c>
      <c r="E20" s="51"/>
      <c r="F20" s="51"/>
      <c r="G20" s="103"/>
      <c r="H20" s="103"/>
      <c r="I20" s="61"/>
      <c r="J20" s="51"/>
      <c r="K20" s="103"/>
    </row>
    <row r="21" spans="1:11" ht="21.75" customHeight="1">
      <c r="A21" s="52" t="s">
        <v>21</v>
      </c>
      <c r="B21" s="53" t="s">
        <v>120</v>
      </c>
      <c r="C21" s="53"/>
      <c r="D21" s="53"/>
      <c r="E21" s="51"/>
      <c r="F21" s="51"/>
      <c r="G21" s="53"/>
      <c r="H21" s="53"/>
      <c r="I21" s="61"/>
      <c r="J21" s="51"/>
      <c r="K21" s="65"/>
    </row>
    <row r="22" spans="1:11" ht="21.75" customHeight="1">
      <c r="A22" s="35">
        <v>1</v>
      </c>
      <c r="B22" s="41" t="s">
        <v>121</v>
      </c>
      <c r="C22" s="54">
        <v>0.8</v>
      </c>
      <c r="D22" s="54">
        <v>0.4</v>
      </c>
      <c r="E22" s="51"/>
      <c r="F22" s="51"/>
      <c r="G22" s="40">
        <f>VLOOKUP(B22,[2]Sheet1!R:S,2,0)</f>
        <v>121</v>
      </c>
      <c r="H22" s="54" t="s">
        <v>122</v>
      </c>
      <c r="I22" s="61">
        <f>(95.03*1.12*1.2)*2</f>
        <v>255.44064</v>
      </c>
      <c r="J22" s="51">
        <f>I22*G22</f>
        <v>30908.317439999999</v>
      </c>
      <c r="K22" s="66" t="s">
        <v>123</v>
      </c>
    </row>
    <row r="23" spans="1:11" ht="21.75" customHeight="1">
      <c r="A23" s="52" t="s">
        <v>35</v>
      </c>
      <c r="B23" s="53" t="s">
        <v>124</v>
      </c>
      <c r="C23" s="53"/>
      <c r="D23" s="53"/>
      <c r="E23" s="51"/>
      <c r="F23" s="51"/>
      <c r="G23" s="53"/>
      <c r="H23" s="53"/>
      <c r="I23" s="61"/>
      <c r="J23" s="51"/>
      <c r="K23" s="65"/>
    </row>
    <row r="24" spans="1:11" ht="21.75" customHeight="1">
      <c r="A24" s="35">
        <v>2</v>
      </c>
      <c r="B24" s="55" t="s">
        <v>125</v>
      </c>
      <c r="C24" s="54">
        <v>0.6</v>
      </c>
      <c r="D24" s="54">
        <v>0.4</v>
      </c>
      <c r="E24" s="51"/>
      <c r="F24" s="51"/>
      <c r="G24" s="40">
        <f>VLOOKUP(B24,[1]Sheet1!R:S,2,0)</f>
        <v>12</v>
      </c>
      <c r="H24" s="54" t="s">
        <v>122</v>
      </c>
      <c r="I24" s="61">
        <f>(120*1.12*1.2)*2</f>
        <v>322.56</v>
      </c>
      <c r="J24" s="51">
        <f>I24*G24</f>
        <v>3870.72</v>
      </c>
      <c r="K24" s="67" t="s">
        <v>126</v>
      </c>
    </row>
    <row r="25" spans="1:11" ht="21.75" customHeight="1">
      <c r="A25" s="35">
        <v>3</v>
      </c>
      <c r="B25" s="55" t="s">
        <v>127</v>
      </c>
      <c r="C25" s="54">
        <v>0.6</v>
      </c>
      <c r="D25" s="40">
        <v>0.3</v>
      </c>
      <c r="E25" s="51"/>
      <c r="F25" s="51"/>
      <c r="G25" s="40">
        <f>VLOOKUP(B25,[1]Sheet1!R:S,2,0)</f>
        <v>18</v>
      </c>
      <c r="H25" s="54" t="s">
        <v>122</v>
      </c>
      <c r="I25" s="61">
        <f>(119.03*1.12*1.2)*2</f>
        <v>319.95263999999997</v>
      </c>
      <c r="J25" s="51">
        <f t="shared" ref="J25:J31" si="1">I25*G25</f>
        <v>5759.1475200000004</v>
      </c>
      <c r="K25" s="67" t="s">
        <v>128</v>
      </c>
    </row>
    <row r="26" spans="1:11" ht="21.75" customHeight="1">
      <c r="A26" s="35">
        <v>4</v>
      </c>
      <c r="B26" s="55" t="s">
        <v>129</v>
      </c>
      <c r="C26" s="54">
        <v>0.6</v>
      </c>
      <c r="D26" s="40">
        <v>0.3</v>
      </c>
      <c r="E26" s="51"/>
      <c r="F26" s="51"/>
      <c r="G26" s="40">
        <f>VLOOKUP(B26,[1]Sheet1!R:S,2,0)</f>
        <v>461</v>
      </c>
      <c r="H26" s="54" t="s">
        <v>122</v>
      </c>
      <c r="I26" s="61">
        <f>(126*1.12)*2</f>
        <v>282.24</v>
      </c>
      <c r="J26" s="51">
        <f t="shared" si="1"/>
        <v>130112.64</v>
      </c>
      <c r="K26" s="67" t="s">
        <v>128</v>
      </c>
    </row>
    <row r="27" spans="1:11" ht="21.75" customHeight="1">
      <c r="A27" s="35">
        <v>5</v>
      </c>
      <c r="B27" s="55" t="s">
        <v>130</v>
      </c>
      <c r="C27" s="54">
        <v>0.6</v>
      </c>
      <c r="D27" s="54">
        <v>0.4</v>
      </c>
      <c r="E27" s="51"/>
      <c r="F27" s="51"/>
      <c r="G27" s="40">
        <f>VLOOKUP(B27,[1]Sheet1!R:S,2,0)</f>
        <v>245</v>
      </c>
      <c r="H27" s="54" t="s">
        <v>122</v>
      </c>
      <c r="I27" s="61">
        <f>(108*1.12)*2</f>
        <v>241.92</v>
      </c>
      <c r="J27" s="51">
        <f t="shared" si="1"/>
        <v>59270.400000000001</v>
      </c>
      <c r="K27" s="67" t="s">
        <v>131</v>
      </c>
    </row>
    <row r="28" spans="1:11" ht="21.75" customHeight="1">
      <c r="A28" s="35">
        <v>6</v>
      </c>
      <c r="B28" s="55" t="s">
        <v>132</v>
      </c>
      <c r="C28" s="54">
        <v>0.5</v>
      </c>
      <c r="D28" s="54">
        <v>0.4</v>
      </c>
      <c r="E28" s="51"/>
      <c r="F28" s="51"/>
      <c r="G28" s="40">
        <f>VLOOKUP(B28,[1]Sheet1!R:S,2,0)</f>
        <v>4</v>
      </c>
      <c r="H28" s="54" t="s">
        <v>122</v>
      </c>
      <c r="I28" s="61">
        <f>(159.03*1.12*1.2)*2</f>
        <v>427.47264000000001</v>
      </c>
      <c r="J28" s="51">
        <f t="shared" si="1"/>
        <v>1709.8905600000001</v>
      </c>
      <c r="K28" s="67" t="s">
        <v>133</v>
      </c>
    </row>
    <row r="29" spans="1:11" ht="21.75" customHeight="1">
      <c r="A29" s="35">
        <v>7</v>
      </c>
      <c r="B29" s="55" t="s">
        <v>134</v>
      </c>
      <c r="C29" s="54">
        <v>0.5</v>
      </c>
      <c r="D29" s="54">
        <v>0.4</v>
      </c>
      <c r="E29" s="51"/>
      <c r="F29" s="51"/>
      <c r="G29" s="40">
        <f>VLOOKUP(B29,[1]Sheet1!R:S,2,0)</f>
        <v>301</v>
      </c>
      <c r="H29" s="54" t="s">
        <v>122</v>
      </c>
      <c r="I29" s="61">
        <f>(110*1.12*1.2)*2</f>
        <v>295.68</v>
      </c>
      <c r="J29" s="51">
        <f t="shared" si="1"/>
        <v>88999.679999999993</v>
      </c>
      <c r="K29" s="67" t="s">
        <v>135</v>
      </c>
    </row>
    <row r="30" spans="1:11" ht="21.75" customHeight="1">
      <c r="A30" s="35">
        <v>8</v>
      </c>
      <c r="B30" s="55" t="s">
        <v>136</v>
      </c>
      <c r="C30" s="54">
        <v>0.4</v>
      </c>
      <c r="D30" s="54">
        <v>0.3</v>
      </c>
      <c r="E30" s="51"/>
      <c r="F30" s="51"/>
      <c r="G30" s="40">
        <f>VLOOKUP(B30,[1]Sheet1!R:S,2,0)</f>
        <v>218</v>
      </c>
      <c r="H30" s="54" t="s">
        <v>122</v>
      </c>
      <c r="I30" s="61">
        <f>(108*1.12*1.2)*2</f>
        <v>290.30399999999997</v>
      </c>
      <c r="J30" s="51">
        <f t="shared" si="1"/>
        <v>63286.271999999997</v>
      </c>
      <c r="K30" s="67" t="s">
        <v>137</v>
      </c>
    </row>
    <row r="31" spans="1:11" ht="21.75" customHeight="1">
      <c r="A31" s="35">
        <v>9</v>
      </c>
      <c r="B31" s="55" t="s">
        <v>138</v>
      </c>
      <c r="C31" s="54">
        <v>0.4</v>
      </c>
      <c r="D31" s="54">
        <v>0.3</v>
      </c>
      <c r="E31" s="51"/>
      <c r="F31" s="51"/>
      <c r="G31" s="40">
        <f>VLOOKUP(B31,[1]Sheet1!R:S,2,0)</f>
        <v>35</v>
      </c>
      <c r="H31" s="54" t="s">
        <v>122</v>
      </c>
      <c r="I31" s="61">
        <f>(99.03*1.12*1.2)*2</f>
        <v>266.19263999999998</v>
      </c>
      <c r="J31" s="51">
        <f t="shared" si="1"/>
        <v>9316.7423999999992</v>
      </c>
      <c r="K31" s="67" t="s">
        <v>137</v>
      </c>
    </row>
    <row r="32" spans="1:11" ht="21.75" customHeight="1">
      <c r="A32" s="52" t="s">
        <v>139</v>
      </c>
      <c r="B32" s="53" t="s">
        <v>140</v>
      </c>
      <c r="C32" s="53"/>
      <c r="D32" s="53"/>
      <c r="E32" s="51"/>
      <c r="F32" s="51"/>
      <c r="G32" s="53"/>
      <c r="H32" s="53"/>
      <c r="I32" s="61"/>
      <c r="J32" s="51"/>
      <c r="K32" s="65"/>
    </row>
    <row r="33" spans="1:11" ht="21.75" customHeight="1">
      <c r="A33" s="35">
        <v>10</v>
      </c>
      <c r="B33" s="55" t="s">
        <v>141</v>
      </c>
      <c r="C33" s="54">
        <v>0.3</v>
      </c>
      <c r="D33" s="54">
        <v>0.35</v>
      </c>
      <c r="E33" s="51"/>
      <c r="F33" s="51"/>
      <c r="G33" s="54">
        <f>VLOOKUP(B33,[1]Sheet1!R:S,2,0)</f>
        <v>5</v>
      </c>
      <c r="H33" s="54" t="s">
        <v>122</v>
      </c>
      <c r="I33" s="61">
        <f>(104.03*1.12*1.2)*2</f>
        <v>279.63263999999998</v>
      </c>
      <c r="J33" s="51">
        <f>I33*G33</f>
        <v>1398.1632</v>
      </c>
      <c r="K33" s="67" t="s">
        <v>142</v>
      </c>
    </row>
    <row r="34" spans="1:11" ht="21.75" customHeight="1">
      <c r="A34" s="35">
        <v>11</v>
      </c>
      <c r="B34" s="55" t="s">
        <v>143</v>
      </c>
      <c r="C34" s="54">
        <v>0.3</v>
      </c>
      <c r="D34" s="54">
        <v>0.3</v>
      </c>
      <c r="E34" s="51"/>
      <c r="F34" s="51"/>
      <c r="G34" s="54">
        <f>VLOOKUP(B34,[1]Sheet1!R:S,2,0)</f>
        <v>47</v>
      </c>
      <c r="H34" s="54" t="s">
        <v>122</v>
      </c>
      <c r="I34" s="61">
        <f>(81.03*1.12*1.2)*2</f>
        <v>217.80864</v>
      </c>
      <c r="J34" s="51">
        <f t="shared" ref="J34:J40" si="2">I34*G34</f>
        <v>10237.006079999999</v>
      </c>
      <c r="K34" s="67" t="s">
        <v>144</v>
      </c>
    </row>
    <row r="35" spans="1:11" ht="21.75" customHeight="1">
      <c r="A35" s="35">
        <v>12</v>
      </c>
      <c r="B35" s="55" t="s">
        <v>145</v>
      </c>
      <c r="C35" s="54">
        <v>0.3</v>
      </c>
      <c r="D35" s="54">
        <v>0.3</v>
      </c>
      <c r="E35" s="51"/>
      <c r="F35" s="51"/>
      <c r="G35" s="54">
        <f>VLOOKUP(B35,[1]Sheet1!R:S,2,0)</f>
        <v>16</v>
      </c>
      <c r="H35" s="54" t="s">
        <v>122</v>
      </c>
      <c r="I35" s="61">
        <f>(84.03*1.12*1.2)*2</f>
        <v>225.87263999999999</v>
      </c>
      <c r="J35" s="51">
        <f t="shared" si="2"/>
        <v>3613.9622399999998</v>
      </c>
      <c r="K35" s="67" t="s">
        <v>144</v>
      </c>
    </row>
    <row r="36" spans="1:11" ht="21.75" customHeight="1">
      <c r="A36" s="35">
        <v>13</v>
      </c>
      <c r="B36" s="55" t="s">
        <v>146</v>
      </c>
      <c r="C36" s="54">
        <v>0.25</v>
      </c>
      <c r="D36" s="54">
        <v>0.25</v>
      </c>
      <c r="E36" s="51"/>
      <c r="F36" s="51"/>
      <c r="G36" s="54">
        <f>VLOOKUP(B36,[1]Sheet1!R:S,2,0)</f>
        <v>36</v>
      </c>
      <c r="H36" s="54" t="s">
        <v>122</v>
      </c>
      <c r="I36" s="61">
        <f>(91.03*1.12*1.2)*2</f>
        <v>244.68863999999999</v>
      </c>
      <c r="J36" s="51">
        <f t="shared" si="2"/>
        <v>8808.7910400000001</v>
      </c>
      <c r="K36" s="67" t="s">
        <v>144</v>
      </c>
    </row>
    <row r="37" spans="1:11" ht="21.75" customHeight="1">
      <c r="A37" s="35">
        <v>14</v>
      </c>
      <c r="B37" s="55" t="s">
        <v>147</v>
      </c>
      <c r="C37" s="54">
        <v>0.25</v>
      </c>
      <c r="D37" s="54">
        <v>0.25</v>
      </c>
      <c r="E37" s="51"/>
      <c r="F37" s="51"/>
      <c r="G37" s="54">
        <f>VLOOKUP(B37,[1]Sheet1!R:S,2,0)</f>
        <v>28</v>
      </c>
      <c r="H37" s="54" t="s">
        <v>122</v>
      </c>
      <c r="I37" s="61">
        <f>(75.03*1.12*1.2)*2</f>
        <v>201.68064000000001</v>
      </c>
      <c r="J37" s="51">
        <f t="shared" si="2"/>
        <v>5647.0579200000002</v>
      </c>
      <c r="K37" s="67" t="s">
        <v>148</v>
      </c>
    </row>
    <row r="38" spans="1:11" ht="21.75" customHeight="1">
      <c r="A38" s="35">
        <v>15</v>
      </c>
      <c r="B38" s="55" t="s">
        <v>149</v>
      </c>
      <c r="C38" s="54">
        <v>0.25</v>
      </c>
      <c r="D38" s="54">
        <v>0.25</v>
      </c>
      <c r="E38" s="51"/>
      <c r="F38" s="51"/>
      <c r="G38" s="54">
        <f>VLOOKUP(B38,[1]Sheet1!R:S,2,0)</f>
        <v>586</v>
      </c>
      <c r="H38" s="54" t="s">
        <v>122</v>
      </c>
      <c r="I38" s="61">
        <f>(72*1.12*1.2)*2</f>
        <v>193.536</v>
      </c>
      <c r="J38" s="51">
        <f t="shared" si="2"/>
        <v>113412.09600000001</v>
      </c>
      <c r="K38" s="67" t="s">
        <v>150</v>
      </c>
    </row>
    <row r="39" spans="1:11" ht="21.75" customHeight="1">
      <c r="A39" s="35">
        <v>16</v>
      </c>
      <c r="B39" s="55" t="s">
        <v>151</v>
      </c>
      <c r="C39" s="54">
        <v>0.3</v>
      </c>
      <c r="D39" s="54">
        <v>0.3</v>
      </c>
      <c r="E39" s="51"/>
      <c r="F39" s="51"/>
      <c r="G39" s="54">
        <f>VLOOKUP(B39,[1]Sheet1!R:S,2,0)</f>
        <v>91</v>
      </c>
      <c r="H39" s="54" t="s">
        <v>122</v>
      </c>
      <c r="I39" s="61">
        <f>(139.03*1.12*1.2)*2</f>
        <v>373.71264000000002</v>
      </c>
      <c r="J39" s="51">
        <f t="shared" si="2"/>
        <v>34007.85024</v>
      </c>
      <c r="K39" s="67" t="s">
        <v>144</v>
      </c>
    </row>
    <row r="40" spans="1:11" ht="21.75" customHeight="1">
      <c r="A40" s="35">
        <v>17</v>
      </c>
      <c r="B40" s="55" t="s">
        <v>152</v>
      </c>
      <c r="C40" s="54"/>
      <c r="D40" s="54"/>
      <c r="E40" s="51"/>
      <c r="F40" s="51"/>
      <c r="G40" s="54">
        <v>2950</v>
      </c>
      <c r="H40" s="54" t="s">
        <v>122</v>
      </c>
      <c r="I40" s="61">
        <v>50</v>
      </c>
      <c r="J40" s="51">
        <f t="shared" si="2"/>
        <v>147500</v>
      </c>
      <c r="K40" s="67" t="s">
        <v>153</v>
      </c>
    </row>
    <row r="41" spans="1:11" ht="21.75" customHeight="1">
      <c r="A41" s="52" t="s">
        <v>154</v>
      </c>
      <c r="B41" s="53" t="s">
        <v>155</v>
      </c>
      <c r="C41" s="53"/>
      <c r="D41" s="53"/>
      <c r="E41" s="51"/>
      <c r="F41" s="51"/>
      <c r="G41" s="53"/>
      <c r="H41" s="53"/>
      <c r="I41" s="61"/>
      <c r="J41" s="51"/>
      <c r="K41" s="65"/>
    </row>
    <row r="42" spans="1:11" ht="21.75" customHeight="1">
      <c r="A42" s="40" t="s">
        <v>0</v>
      </c>
      <c r="B42" s="40" t="s">
        <v>156</v>
      </c>
      <c r="C42" s="40" t="s">
        <v>157</v>
      </c>
      <c r="D42" s="40" t="s">
        <v>158</v>
      </c>
      <c r="E42" s="51"/>
      <c r="F42" s="51"/>
      <c r="G42" s="40" t="s">
        <v>13</v>
      </c>
      <c r="H42" s="47" t="s">
        <v>70</v>
      </c>
      <c r="I42" s="61"/>
      <c r="J42" s="51"/>
      <c r="K42" s="60" t="s">
        <v>17</v>
      </c>
    </row>
    <row r="43" spans="1:11" ht="21.75" customHeight="1">
      <c r="A43" s="40">
        <v>1</v>
      </c>
      <c r="B43" s="56" t="s">
        <v>159</v>
      </c>
      <c r="C43" s="57">
        <v>2</v>
      </c>
      <c r="D43" s="57">
        <v>2.2000000000000002</v>
      </c>
      <c r="E43" s="51"/>
      <c r="F43" s="51"/>
      <c r="G43" s="54">
        <f>VLOOKUP(B43,[1]Sheet1!M:N,2,0)</f>
        <v>5</v>
      </c>
      <c r="H43" s="47" t="s">
        <v>70</v>
      </c>
      <c r="I43" s="61">
        <f>(1039.03*1.12)*2</f>
        <v>2327.4272000000001</v>
      </c>
      <c r="J43" s="51">
        <f t="shared" ref="J43:J48" si="3">I43*G43</f>
        <v>11637.136</v>
      </c>
      <c r="K43" s="68" t="s">
        <v>160</v>
      </c>
    </row>
    <row r="44" spans="1:11" ht="21.75" customHeight="1">
      <c r="A44" s="40">
        <v>2</v>
      </c>
      <c r="B44" s="41" t="s">
        <v>161</v>
      </c>
      <c r="C44" s="57">
        <v>1.5</v>
      </c>
      <c r="D44" s="57">
        <v>2</v>
      </c>
      <c r="E44" s="51"/>
      <c r="F44" s="51"/>
      <c r="G44" s="54">
        <f>VLOOKUP(B44,[1]Sheet1!M:N,2,0)</f>
        <v>5</v>
      </c>
      <c r="H44" s="47" t="s">
        <v>70</v>
      </c>
      <c r="I44" s="61">
        <f>(489.03*1.12)*2</f>
        <v>1095.4272000000001</v>
      </c>
      <c r="J44" s="51">
        <f t="shared" si="3"/>
        <v>5477.1360000000004</v>
      </c>
      <c r="K44" s="68" t="s">
        <v>160</v>
      </c>
    </row>
    <row r="45" spans="1:11" ht="21.75" customHeight="1">
      <c r="A45" s="40">
        <v>3</v>
      </c>
      <c r="B45" s="56" t="s">
        <v>162</v>
      </c>
      <c r="C45" s="57">
        <v>1.2</v>
      </c>
      <c r="D45" s="57">
        <v>1.5</v>
      </c>
      <c r="E45" s="51"/>
      <c r="F45" s="51"/>
      <c r="G45" s="54">
        <f>VLOOKUP(B45,[1]Sheet1!M:N,2,0)</f>
        <v>3</v>
      </c>
      <c r="H45" s="47" t="s">
        <v>70</v>
      </c>
      <c r="I45" s="61">
        <f>(489.03*1.12)*2</f>
        <v>1095.4272000000001</v>
      </c>
      <c r="J45" s="51">
        <f t="shared" si="3"/>
        <v>3286.2815999999998</v>
      </c>
      <c r="K45" s="68" t="s">
        <v>160</v>
      </c>
    </row>
    <row r="46" spans="1:11" ht="21.75" customHeight="1">
      <c r="A46" s="40">
        <v>4</v>
      </c>
      <c r="B46" s="56" t="s">
        <v>163</v>
      </c>
      <c r="C46" s="57">
        <v>1.3</v>
      </c>
      <c r="D46" s="57">
        <v>1.8</v>
      </c>
      <c r="E46" s="51"/>
      <c r="F46" s="51"/>
      <c r="G46" s="54">
        <f>VLOOKUP(B46,[1]Sheet1!M:N,2,0)</f>
        <v>7</v>
      </c>
      <c r="H46" s="47" t="s">
        <v>70</v>
      </c>
      <c r="I46" s="61">
        <f>(539.03*1.12)*2</f>
        <v>1207.4272000000001</v>
      </c>
      <c r="J46" s="51">
        <f t="shared" si="3"/>
        <v>8451.9904000000006</v>
      </c>
      <c r="K46" s="68" t="s">
        <v>160</v>
      </c>
    </row>
    <row r="47" spans="1:11" ht="21.75" customHeight="1">
      <c r="A47" s="40">
        <v>5</v>
      </c>
      <c r="B47" s="41" t="s">
        <v>164</v>
      </c>
      <c r="C47" s="57">
        <v>1.2</v>
      </c>
      <c r="D47" s="57">
        <v>1.5</v>
      </c>
      <c r="E47" s="51"/>
      <c r="F47" s="51"/>
      <c r="G47" s="54">
        <f>VLOOKUP(B47,[1]Sheet1!M:N,2,0)</f>
        <v>4</v>
      </c>
      <c r="H47" s="47" t="s">
        <v>70</v>
      </c>
      <c r="I47" s="61">
        <f>(539.03*1.12)*2</f>
        <v>1207.4272000000001</v>
      </c>
      <c r="J47" s="51">
        <f t="shared" si="3"/>
        <v>4829.7088000000003</v>
      </c>
      <c r="K47" s="68" t="s">
        <v>160</v>
      </c>
    </row>
    <row r="48" spans="1:11" ht="21.75" customHeight="1">
      <c r="A48" s="40">
        <v>6</v>
      </c>
      <c r="B48" s="41" t="s">
        <v>165</v>
      </c>
      <c r="C48" s="40">
        <v>1.3</v>
      </c>
      <c r="D48" s="40">
        <v>1.8</v>
      </c>
      <c r="E48" s="51"/>
      <c r="F48" s="51"/>
      <c r="G48" s="54">
        <f>VLOOKUP(B48,[1]Sheet1!M:N,2,0)</f>
        <v>1</v>
      </c>
      <c r="H48" s="47" t="s">
        <v>70</v>
      </c>
      <c r="I48" s="61">
        <f>(839.03*1.12)*2</f>
        <v>1879.4272000000001</v>
      </c>
      <c r="J48" s="51">
        <f t="shared" si="3"/>
        <v>1879.4272000000001</v>
      </c>
      <c r="K48" s="66" t="s">
        <v>166</v>
      </c>
    </row>
    <row r="49" spans="1:11" ht="21.75" customHeight="1">
      <c r="A49" s="58" t="s">
        <v>167</v>
      </c>
      <c r="B49" s="59" t="s">
        <v>8</v>
      </c>
      <c r="C49" s="59"/>
      <c r="D49" s="59"/>
      <c r="E49" s="59"/>
      <c r="F49" s="59"/>
      <c r="G49" s="59"/>
      <c r="H49" s="59"/>
      <c r="I49" s="69"/>
      <c r="J49" s="70">
        <f>SUM(J5:J48)</f>
        <v>1297527.0486399999</v>
      </c>
      <c r="K49" s="71"/>
    </row>
  </sheetData>
  <mergeCells count="15">
    <mergeCell ref="A1:K1"/>
    <mergeCell ref="C2:E2"/>
    <mergeCell ref="C19:D19"/>
    <mergeCell ref="A2:A3"/>
    <mergeCell ref="A19:A20"/>
    <mergeCell ref="B2:B3"/>
    <mergeCell ref="B19:B20"/>
    <mergeCell ref="G2:G3"/>
    <mergeCell ref="G19:G20"/>
    <mergeCell ref="H2:H3"/>
    <mergeCell ref="H19:H20"/>
    <mergeCell ref="I2:I3"/>
    <mergeCell ref="J2:J3"/>
    <mergeCell ref="K2:K3"/>
    <mergeCell ref="K19:K20"/>
  </mergeCells>
  <phoneticPr fontId="29" type="noConversion"/>
  <pageMargins left="0.75" right="0.75" top="1" bottom="1" header="0.5" footer="0.5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sqref="A1:J1"/>
    </sheetView>
  </sheetViews>
  <sheetFormatPr defaultColWidth="10.28515625" defaultRowHeight="12"/>
  <cols>
    <col min="1" max="2" width="10.28515625" style="2"/>
    <col min="3" max="3" width="29.5703125" style="2" customWidth="1"/>
    <col min="4" max="6" width="10.28515625" style="2"/>
    <col min="7" max="7" width="11.85546875" style="2" customWidth="1"/>
    <col min="8" max="8" width="10.5703125" style="2"/>
    <col min="9" max="16384" width="10.28515625" style="2"/>
  </cols>
  <sheetData>
    <row r="1" spans="1:10" s="1" customFormat="1" ht="29.25" customHeight="1">
      <c r="A1" s="113" t="s">
        <v>204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s="1" customFormat="1" ht="14.25" customHeight="1">
      <c r="A2" s="110" t="s">
        <v>0</v>
      </c>
      <c r="B2" s="111" t="s">
        <v>10</v>
      </c>
      <c r="C2" s="111" t="s">
        <v>11</v>
      </c>
      <c r="D2" s="111" t="s">
        <v>12</v>
      </c>
      <c r="E2" s="111" t="s">
        <v>13</v>
      </c>
      <c r="F2" s="111" t="s">
        <v>14</v>
      </c>
      <c r="G2" s="111"/>
      <c r="H2" s="111"/>
      <c r="I2" s="111"/>
      <c r="J2" s="112"/>
    </row>
    <row r="3" spans="1:10" s="1" customFormat="1" ht="15.6" customHeight="1">
      <c r="A3" s="110"/>
      <c r="B3" s="111"/>
      <c r="C3" s="111"/>
      <c r="D3" s="111"/>
      <c r="E3" s="111"/>
      <c r="F3" s="99" t="s">
        <v>15</v>
      </c>
      <c r="G3" s="99"/>
      <c r="H3" s="111" t="s">
        <v>16</v>
      </c>
      <c r="I3" s="111" t="s">
        <v>17</v>
      </c>
      <c r="J3" s="112" t="s">
        <v>18</v>
      </c>
    </row>
    <row r="4" spans="1:10" s="1" customFormat="1" ht="18.95" customHeight="1">
      <c r="A4" s="110"/>
      <c r="B4" s="111"/>
      <c r="C4" s="111"/>
      <c r="D4" s="111"/>
      <c r="E4" s="111"/>
      <c r="F4" s="5"/>
      <c r="G4" s="5" t="s">
        <v>19</v>
      </c>
      <c r="H4" s="111"/>
      <c r="I4" s="111"/>
      <c r="J4" s="112"/>
    </row>
    <row r="5" spans="1:10" s="1" customFormat="1" ht="22.7" customHeight="1">
      <c r="A5" s="6" t="s">
        <v>21</v>
      </c>
      <c r="B5" s="116" t="s">
        <v>168</v>
      </c>
      <c r="C5" s="116"/>
      <c r="D5" s="8"/>
      <c r="E5" s="8"/>
      <c r="F5" s="9"/>
      <c r="G5" s="4"/>
      <c r="H5" s="9">
        <f t="shared" ref="H5:H11" si="0">E5*F5</f>
        <v>0</v>
      </c>
      <c r="I5" s="20"/>
      <c r="J5" s="21"/>
    </row>
    <row r="6" spans="1:10" s="1" customFormat="1" ht="69" customHeight="1">
      <c r="A6" s="6">
        <v>1</v>
      </c>
      <c r="B6" s="7" t="s">
        <v>169</v>
      </c>
      <c r="C6" s="7" t="s">
        <v>170</v>
      </c>
      <c r="D6" s="8" t="s">
        <v>31</v>
      </c>
      <c r="E6" s="8">
        <f>136.24+423.87</f>
        <v>560.11</v>
      </c>
      <c r="F6" s="10">
        <f>16.48*1.5</f>
        <v>24.72</v>
      </c>
      <c r="G6" s="11"/>
      <c r="H6" s="9">
        <f t="shared" si="0"/>
        <v>13845.9192</v>
      </c>
      <c r="I6" s="20"/>
      <c r="J6" s="22" t="s">
        <v>171</v>
      </c>
    </row>
    <row r="7" spans="1:10" s="1" customFormat="1" ht="69" customHeight="1">
      <c r="A7" s="6">
        <v>2</v>
      </c>
      <c r="B7" s="7" t="s">
        <v>169</v>
      </c>
      <c r="C7" s="7" t="s">
        <v>172</v>
      </c>
      <c r="D7" s="8" t="s">
        <v>31</v>
      </c>
      <c r="E7" s="8">
        <f>13.09+76.22</f>
        <v>89.31</v>
      </c>
      <c r="F7" s="10">
        <f>14.74*1.5</f>
        <v>22.11</v>
      </c>
      <c r="G7" s="11"/>
      <c r="H7" s="9">
        <f t="shared" si="0"/>
        <v>1974.6441</v>
      </c>
      <c r="I7" s="20"/>
      <c r="J7" s="22" t="s">
        <v>171</v>
      </c>
    </row>
    <row r="8" spans="1:10" s="1" customFormat="1" ht="92.25" customHeight="1">
      <c r="A8" s="6">
        <v>3</v>
      </c>
      <c r="B8" s="7" t="s">
        <v>173</v>
      </c>
      <c r="C8" s="7" t="s">
        <v>174</v>
      </c>
      <c r="D8" s="8" t="s">
        <v>31</v>
      </c>
      <c r="E8" s="8">
        <v>560.11</v>
      </c>
      <c r="F8" s="10">
        <f>11.63*1.5</f>
        <v>17.445</v>
      </c>
      <c r="G8" s="4"/>
      <c r="H8" s="9">
        <f t="shared" si="0"/>
        <v>9771.11895</v>
      </c>
      <c r="I8" s="20"/>
      <c r="J8" s="22" t="s">
        <v>175</v>
      </c>
    </row>
    <row r="9" spans="1:10" s="1" customFormat="1" ht="87.75" customHeight="1">
      <c r="A9" s="6">
        <v>4</v>
      </c>
      <c r="B9" s="7" t="s">
        <v>173</v>
      </c>
      <c r="C9" s="7" t="s">
        <v>176</v>
      </c>
      <c r="D9" s="8" t="s">
        <v>31</v>
      </c>
      <c r="E9" s="8">
        <v>89.31</v>
      </c>
      <c r="F9" s="12">
        <f>10.43*1.5</f>
        <v>15.645</v>
      </c>
      <c r="G9" s="4"/>
      <c r="H9" s="9">
        <f t="shared" si="0"/>
        <v>1397.25495</v>
      </c>
      <c r="I9" s="20"/>
      <c r="J9" s="22" t="s">
        <v>175</v>
      </c>
    </row>
    <row r="10" spans="1:10" s="1" customFormat="1" ht="109.5" customHeight="1">
      <c r="A10" s="6">
        <v>5</v>
      </c>
      <c r="B10" s="7" t="s">
        <v>177</v>
      </c>
      <c r="C10" s="7" t="s">
        <v>178</v>
      </c>
      <c r="D10" s="8" t="s">
        <v>179</v>
      </c>
      <c r="E10" s="8">
        <v>10</v>
      </c>
      <c r="F10" s="10">
        <f>1242.04*1.5</f>
        <v>1863.06</v>
      </c>
      <c r="G10" s="11"/>
      <c r="H10" s="9">
        <f t="shared" si="0"/>
        <v>18630.599999999999</v>
      </c>
      <c r="I10" s="20"/>
      <c r="J10" s="23"/>
    </row>
    <row r="11" spans="1:10" s="1" customFormat="1" ht="87.75" customHeight="1">
      <c r="A11" s="6">
        <v>6</v>
      </c>
      <c r="B11" s="7" t="s">
        <v>180</v>
      </c>
      <c r="C11" s="7" t="s">
        <v>181</v>
      </c>
      <c r="D11" s="8" t="s">
        <v>179</v>
      </c>
      <c r="E11" s="8">
        <v>5</v>
      </c>
      <c r="F11" s="10">
        <f>714.71*1.12</f>
        <v>800.47519999999997</v>
      </c>
      <c r="G11" s="11"/>
      <c r="H11" s="9">
        <f t="shared" si="0"/>
        <v>4002.3760000000002</v>
      </c>
      <c r="I11" s="20"/>
      <c r="J11" s="23"/>
    </row>
    <row r="12" spans="1:10" s="1" customFormat="1" ht="22.7" customHeight="1">
      <c r="A12" s="3" t="s">
        <v>35</v>
      </c>
      <c r="B12" s="106" t="s">
        <v>182</v>
      </c>
      <c r="C12" s="106"/>
      <c r="D12" s="4"/>
      <c r="E12" s="4"/>
      <c r="F12" s="4"/>
      <c r="G12" s="4"/>
      <c r="H12" s="14"/>
      <c r="I12" s="24"/>
      <c r="J12" s="25"/>
    </row>
    <row r="13" spans="1:10" s="1" customFormat="1" ht="119.1" customHeight="1">
      <c r="A13" s="3">
        <v>1</v>
      </c>
      <c r="B13" s="13" t="s">
        <v>183</v>
      </c>
      <c r="C13" s="13" t="s">
        <v>184</v>
      </c>
      <c r="D13" s="4" t="s">
        <v>31</v>
      </c>
      <c r="E13" s="4">
        <v>11.15</v>
      </c>
      <c r="F13" s="10">
        <f>40.84*1.5</f>
        <v>61.26</v>
      </c>
      <c r="G13" s="15"/>
      <c r="H13" s="15">
        <f t="shared" ref="H13:H25" si="1">E13*F13</f>
        <v>683.04899999999998</v>
      </c>
      <c r="I13" s="26"/>
      <c r="J13" s="27" t="s">
        <v>171</v>
      </c>
    </row>
    <row r="14" spans="1:10" s="1" customFormat="1" ht="117.75" customHeight="1">
      <c r="A14" s="3">
        <v>2</v>
      </c>
      <c r="B14" s="13" t="s">
        <v>183</v>
      </c>
      <c r="C14" s="13" t="s">
        <v>185</v>
      </c>
      <c r="D14" s="4" t="s">
        <v>31</v>
      </c>
      <c r="E14" s="4">
        <v>118.02</v>
      </c>
      <c r="F14" s="10">
        <f>29.34*1.5</f>
        <v>44.01</v>
      </c>
      <c r="G14" s="15"/>
      <c r="H14" s="15">
        <f t="shared" si="1"/>
        <v>5194.0601999999999</v>
      </c>
      <c r="I14" s="26"/>
      <c r="J14" s="27" t="s">
        <v>171</v>
      </c>
    </row>
    <row r="15" spans="1:10" s="1" customFormat="1" ht="120" customHeight="1">
      <c r="A15" s="3">
        <v>3</v>
      </c>
      <c r="B15" s="13" t="s">
        <v>183</v>
      </c>
      <c r="C15" s="13" t="s">
        <v>186</v>
      </c>
      <c r="D15" s="4" t="s">
        <v>31</v>
      </c>
      <c r="E15" s="4">
        <v>71.47</v>
      </c>
      <c r="F15" s="10">
        <f>16.64*1.5</f>
        <v>24.96</v>
      </c>
      <c r="G15" s="15"/>
      <c r="H15" s="15">
        <f t="shared" si="1"/>
        <v>1783.8912</v>
      </c>
      <c r="I15" s="26"/>
      <c r="J15" s="27" t="s">
        <v>171</v>
      </c>
    </row>
    <row r="16" spans="1:10" s="1" customFormat="1" ht="119.25" customHeight="1">
      <c r="A16" s="3">
        <v>4</v>
      </c>
      <c r="B16" s="13" t="s">
        <v>183</v>
      </c>
      <c r="C16" s="13" t="s">
        <v>187</v>
      </c>
      <c r="D16" s="4" t="s">
        <v>31</v>
      </c>
      <c r="E16" s="4">
        <v>158.33000000000001</v>
      </c>
      <c r="F16" s="10">
        <f>13.12*1.5</f>
        <v>19.68</v>
      </c>
      <c r="G16" s="15"/>
      <c r="H16" s="15">
        <f t="shared" si="1"/>
        <v>3115.9344000000001</v>
      </c>
      <c r="I16" s="26"/>
      <c r="J16" s="27" t="s">
        <v>171</v>
      </c>
    </row>
    <row r="17" spans="1:10" s="1" customFormat="1" ht="60.75" customHeight="1">
      <c r="A17" s="3">
        <v>5</v>
      </c>
      <c r="B17" s="13" t="s">
        <v>188</v>
      </c>
      <c r="C17" s="13" t="s">
        <v>189</v>
      </c>
      <c r="D17" s="4" t="s">
        <v>34</v>
      </c>
      <c r="E17" s="4">
        <v>9</v>
      </c>
      <c r="F17" s="10">
        <f>139.78*1.12</f>
        <v>156.55359999999999</v>
      </c>
      <c r="G17" s="15"/>
      <c r="H17" s="15">
        <f t="shared" si="1"/>
        <v>1408.9824000000001</v>
      </c>
      <c r="I17" s="26"/>
      <c r="J17" s="28" t="s">
        <v>171</v>
      </c>
    </row>
    <row r="18" spans="1:10" s="1" customFormat="1" ht="74.25" customHeight="1">
      <c r="A18" s="3">
        <v>6</v>
      </c>
      <c r="B18" s="13" t="s">
        <v>190</v>
      </c>
      <c r="C18" s="13" t="s">
        <v>191</v>
      </c>
      <c r="D18" s="4" t="s">
        <v>25</v>
      </c>
      <c r="E18" s="4">
        <v>32.299999999999997</v>
      </c>
      <c r="F18" s="10">
        <f>44.11*1.12</f>
        <v>49.403199999999998</v>
      </c>
      <c r="G18" s="15"/>
      <c r="H18" s="15">
        <f t="shared" si="1"/>
        <v>1595.72336</v>
      </c>
      <c r="I18" s="26"/>
      <c r="J18" s="25"/>
    </row>
    <row r="19" spans="1:10" s="1" customFormat="1" ht="84.75" customHeight="1">
      <c r="A19" s="3">
        <v>7</v>
      </c>
      <c r="B19" s="13" t="s">
        <v>192</v>
      </c>
      <c r="C19" s="13" t="s">
        <v>193</v>
      </c>
      <c r="D19" s="4" t="s">
        <v>25</v>
      </c>
      <c r="E19" s="4">
        <v>32.299999999999997</v>
      </c>
      <c r="F19" s="10">
        <f>F18</f>
        <v>49.403199999999998</v>
      </c>
      <c r="G19" s="15"/>
      <c r="H19" s="15">
        <f t="shared" si="1"/>
        <v>1595.72336</v>
      </c>
      <c r="I19" s="26"/>
      <c r="J19" s="25"/>
    </row>
    <row r="20" spans="1:10" s="1" customFormat="1" ht="22.7" customHeight="1">
      <c r="A20" s="3" t="s">
        <v>139</v>
      </c>
      <c r="B20" s="106" t="s">
        <v>194</v>
      </c>
      <c r="C20" s="106"/>
      <c r="D20" s="4"/>
      <c r="E20" s="4"/>
      <c r="F20" s="11"/>
      <c r="G20" s="11"/>
      <c r="H20" s="15">
        <f t="shared" si="1"/>
        <v>0</v>
      </c>
      <c r="I20" s="26"/>
      <c r="J20" s="25"/>
    </row>
    <row r="21" spans="1:10" s="1" customFormat="1" ht="69" customHeight="1">
      <c r="A21" s="3">
        <v>1</v>
      </c>
      <c r="B21" s="13" t="s">
        <v>183</v>
      </c>
      <c r="C21" s="13" t="s">
        <v>195</v>
      </c>
      <c r="D21" s="4" t="s">
        <v>31</v>
      </c>
      <c r="E21" s="4">
        <v>116.53</v>
      </c>
      <c r="F21" s="10">
        <f>139.78*1.5</f>
        <v>209.67</v>
      </c>
      <c r="G21" s="15"/>
      <c r="H21" s="15">
        <f t="shared" si="1"/>
        <v>24432.845099999999</v>
      </c>
      <c r="I21" s="26"/>
      <c r="J21" s="29" t="s">
        <v>196</v>
      </c>
    </row>
    <row r="22" spans="1:10" s="1" customFormat="1" ht="69" customHeight="1">
      <c r="A22" s="3">
        <v>2</v>
      </c>
      <c r="B22" s="13" t="s">
        <v>183</v>
      </c>
      <c r="C22" s="13" t="s">
        <v>197</v>
      </c>
      <c r="D22" s="4" t="s">
        <v>31</v>
      </c>
      <c r="E22" s="4">
        <v>72.28</v>
      </c>
      <c r="F22" s="10">
        <f>139.78*1.5</f>
        <v>209.67</v>
      </c>
      <c r="G22" s="15"/>
      <c r="H22" s="15">
        <f t="shared" si="1"/>
        <v>15154.9476</v>
      </c>
      <c r="I22" s="26"/>
      <c r="J22" s="29" t="s">
        <v>196</v>
      </c>
    </row>
    <row r="23" spans="1:10" s="1" customFormat="1" ht="69" customHeight="1">
      <c r="A23" s="3">
        <v>3</v>
      </c>
      <c r="B23" s="13" t="s">
        <v>198</v>
      </c>
      <c r="C23" s="13" t="s">
        <v>199</v>
      </c>
      <c r="D23" s="4" t="s">
        <v>200</v>
      </c>
      <c r="E23" s="4">
        <v>21</v>
      </c>
      <c r="F23" s="10">
        <f>164.63*1.5</f>
        <v>246.94499999999999</v>
      </c>
      <c r="G23" s="15"/>
      <c r="H23" s="15">
        <f t="shared" si="1"/>
        <v>5185.8450000000003</v>
      </c>
      <c r="I23" s="26"/>
      <c r="J23" s="25"/>
    </row>
    <row r="24" spans="1:10" s="1" customFormat="1" ht="78.75" customHeight="1">
      <c r="A24" s="3">
        <v>4</v>
      </c>
      <c r="B24" s="13" t="s">
        <v>190</v>
      </c>
      <c r="C24" s="13" t="s">
        <v>201</v>
      </c>
      <c r="D24" s="4" t="s">
        <v>25</v>
      </c>
      <c r="E24" s="4">
        <v>28.32</v>
      </c>
      <c r="F24" s="10">
        <f>44.11*1.5</f>
        <v>66.165000000000006</v>
      </c>
      <c r="G24" s="15"/>
      <c r="H24" s="15">
        <f t="shared" si="1"/>
        <v>1873.7927999999999</v>
      </c>
      <c r="I24" s="26"/>
      <c r="J24" s="25"/>
    </row>
    <row r="25" spans="1:10" s="1" customFormat="1" ht="84" customHeight="1">
      <c r="A25" s="3">
        <v>5</v>
      </c>
      <c r="B25" s="13" t="s">
        <v>192</v>
      </c>
      <c r="C25" s="13" t="s">
        <v>193</v>
      </c>
      <c r="D25" s="4" t="s">
        <v>25</v>
      </c>
      <c r="E25" s="4">
        <v>28.32</v>
      </c>
      <c r="F25" s="10">
        <f>F24</f>
        <v>66.165000000000006</v>
      </c>
      <c r="G25" s="15"/>
      <c r="H25" s="15">
        <f t="shared" si="1"/>
        <v>1873.7927999999999</v>
      </c>
      <c r="I25" s="26"/>
      <c r="J25" s="25"/>
    </row>
    <row r="26" spans="1:10" s="1" customFormat="1" ht="32.25" customHeight="1">
      <c r="A26" s="16" t="s">
        <v>154</v>
      </c>
      <c r="B26" s="17"/>
      <c r="C26" s="17" t="s">
        <v>8</v>
      </c>
      <c r="D26" s="18"/>
      <c r="E26" s="18"/>
      <c r="F26" s="19"/>
      <c r="G26" s="19"/>
      <c r="H26" s="19">
        <f>H6+H7+H8+H9+H10+H11+H13+H14+H15+H16+H17+H18+H19+H21+H22+H23+H24+H25</f>
        <v>113520.50042</v>
      </c>
      <c r="I26" s="30"/>
      <c r="J26" s="31"/>
    </row>
    <row r="27" spans="1:10" ht="42" customHeight="1">
      <c r="A27" s="107" t="s">
        <v>202</v>
      </c>
      <c r="B27" s="108"/>
      <c r="C27" s="108"/>
      <c r="D27" s="108"/>
      <c r="E27" s="108"/>
      <c r="F27" s="108"/>
      <c r="G27" s="108"/>
      <c r="H27" s="108"/>
      <c r="I27" s="108"/>
      <c r="J27" s="109"/>
    </row>
  </sheetData>
  <mergeCells count="15">
    <mergeCell ref="A1:J1"/>
    <mergeCell ref="F2:J2"/>
    <mergeCell ref="F3:G3"/>
    <mergeCell ref="B5:C5"/>
    <mergeCell ref="B12:C12"/>
    <mergeCell ref="B20:C20"/>
    <mergeCell ref="A27:J27"/>
    <mergeCell ref="A2:A4"/>
    <mergeCell ref="B2:B4"/>
    <mergeCell ref="C2:C4"/>
    <mergeCell ref="D2:D4"/>
    <mergeCell ref="E2:E4"/>
    <mergeCell ref="H3:H4"/>
    <mergeCell ref="I3:I4"/>
    <mergeCell ref="J3:J4"/>
  </mergeCells>
  <phoneticPr fontId="29" type="noConversion"/>
  <printOptions horizontalCentered="1" verticalCentered="1"/>
  <pageMargins left="0.78740157480314998" right="0.78740157480314998" top="0.78740157480314998" bottom="0.787401574803149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</vt:lpstr>
      <vt:lpstr>土建</vt:lpstr>
      <vt:lpstr>绿化苗木</vt:lpstr>
      <vt:lpstr>安装部分</vt:lpstr>
      <vt:lpstr>汇总表!Print_Area</vt:lpstr>
    </vt:vector>
  </TitlesOfParts>
  <Company>ComponentOne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xbany</cp:lastModifiedBy>
  <cp:lastPrinted>2021-02-03T02:27:00Z</cp:lastPrinted>
  <dcterms:created xsi:type="dcterms:W3CDTF">2020-11-19T09:45:00Z</dcterms:created>
  <dcterms:modified xsi:type="dcterms:W3CDTF">2021-03-23T14:15:18Z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0D0105C1FC8A4023898830C306E91626</vt:lpwstr>
  </property>
</Properties>
</file>