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汇总表" sheetId="7" r:id="rId1"/>
    <sheet name="明细" sheetId="9" r:id="rId2"/>
  </sheets>
  <calcPr calcId="144525"/>
</workbook>
</file>

<file path=xl/sharedStrings.xml><?xml version="1.0" encoding="utf-8"?>
<sst xmlns="http://schemas.openxmlformats.org/spreadsheetml/2006/main" count="105" uniqueCount="60">
  <si>
    <t>62#地块二期设计变更结014、建011</t>
  </si>
  <si>
    <t>A、B栋飘窗内增加砌体</t>
  </si>
  <si>
    <t>序号</t>
  </si>
  <si>
    <t>分项名称</t>
  </si>
  <si>
    <t>项</t>
  </si>
  <si>
    <t>单位</t>
  </si>
  <si>
    <t>单价</t>
  </si>
  <si>
    <t>合价</t>
  </si>
  <si>
    <t>备注</t>
  </si>
  <si>
    <t>A、B栋隔断变更</t>
  </si>
  <si>
    <t>元</t>
  </si>
  <si>
    <t>详见后附明细</t>
  </si>
  <si>
    <t>A、B栋保温变更</t>
  </si>
  <si>
    <t>A、B栋构造柱变更</t>
  </si>
  <si>
    <t>A、B栋砌体变更</t>
  </si>
  <si>
    <t>A、B栋砌体抹灰变更</t>
  </si>
  <si>
    <t>A、B栋圈梁变更</t>
  </si>
  <si>
    <t>A、B栋飘窗板变更</t>
  </si>
  <si>
    <t>小计（元）</t>
  </si>
  <si>
    <t>工作内容</t>
  </si>
  <si>
    <t>每层量</t>
  </si>
  <si>
    <t>层数</t>
  </si>
  <si>
    <t>总量</t>
  </si>
  <si>
    <t>A栋空调检修玻璃隔断（变更前）</t>
  </si>
  <si>
    <t>㎡</t>
  </si>
  <si>
    <t>A栋空调检修五夹板隔断（变更后）</t>
  </si>
  <si>
    <t>A栋空调检修五夹板隔断侧边保温砂浆（变更前）</t>
  </si>
  <si>
    <t>A栋空调检修五夹板隔断侧边保温板（变更后）</t>
  </si>
  <si>
    <t>A栋百叶下保温板（变更前）</t>
  </si>
  <si>
    <t>A栋百叶下保温板（变更后）</t>
  </si>
  <si>
    <t>m³</t>
  </si>
  <si>
    <t>A栋构造柱（变更后）</t>
  </si>
  <si>
    <t>A栋砌体（变更前）</t>
  </si>
  <si>
    <t>A栋砌体（变更后）</t>
  </si>
  <si>
    <t>A栋砌体抹灰（变更前）</t>
  </si>
  <si>
    <t>A栋砌体抹灰（变更后）</t>
  </si>
  <si>
    <t>A栋现浇砼圈梁（变更前）</t>
  </si>
  <si>
    <t>QL1</t>
  </si>
  <si>
    <t>A栋现浇砼圈梁（变更后）</t>
  </si>
  <si>
    <t>QL2</t>
  </si>
  <si>
    <t>A栋现浇砼飘窗板（变更前）</t>
  </si>
  <si>
    <t>QL3</t>
  </si>
  <si>
    <t>A栋预制砼飘窗板（变更后）</t>
  </si>
  <si>
    <t>QL4</t>
  </si>
  <si>
    <t>B栋空调检修玻璃隔断（变更前）</t>
  </si>
  <si>
    <t>B栋空调检修五夹板隔断（变更后）</t>
  </si>
  <si>
    <t>B栋空调检修五夹板隔断侧边保温砂浆（变更前）</t>
  </si>
  <si>
    <t>B栋空调检修五夹板隔断侧边保温板（变更后）</t>
  </si>
  <si>
    <t>B栋百叶下保温板（变更前）</t>
  </si>
  <si>
    <t>B栋百叶下保温板（变更后）</t>
  </si>
  <si>
    <t>B栋构造柱（变更后）</t>
  </si>
  <si>
    <t>B栋砌体（变更前）</t>
  </si>
  <si>
    <t>B栋砌体（变更后）</t>
  </si>
  <si>
    <t>B栋砌体抹灰（变更前）</t>
  </si>
  <si>
    <t>B栋砌体抹灰（变更后）</t>
  </si>
  <si>
    <t>B栋现浇砼圈梁（变更前）</t>
  </si>
  <si>
    <t>B栋现浇砼圈梁（变更后）</t>
  </si>
  <si>
    <t>B栋现浇砼飘窗板（变更前）</t>
  </si>
  <si>
    <t>B栋预制砼飘窗板（变更后）</t>
  </si>
  <si>
    <t>合计（元）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</si>
</sst>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C3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M8" sqref="M8"/>
    </sheetView>
  </sheetViews>
  <sheetFormatPr defaultColWidth="9" defaultRowHeight="13.5"/>
  <cols>
    <col min="1" max="1" width="5.75" style="17" customWidth="1"/>
    <col min="2" max="2" width="19.75" style="14" customWidth="1"/>
    <col min="3" max="3" width="10.75" style="14" customWidth="1"/>
    <col min="4" max="4" width="9.75" style="14" customWidth="1"/>
    <col min="5" max="5" width="8.125" style="14" customWidth="1"/>
    <col min="6" max="6" width="12.25" style="14" customWidth="1"/>
    <col min="7" max="7" width="12.625" style="14" customWidth="1"/>
    <col min="8" max="8" width="12.375" style="14" customWidth="1"/>
    <col min="9" max="16384" width="9" style="14"/>
  </cols>
  <sheetData>
    <row r="1" s="14" customFormat="1" ht="45" customHeight="1" spans="1:8">
      <c r="A1" s="18" t="s">
        <v>0</v>
      </c>
      <c r="B1" s="18"/>
      <c r="C1" s="18"/>
      <c r="D1" s="18"/>
      <c r="E1" s="18"/>
      <c r="F1" s="18"/>
      <c r="G1" s="18"/>
      <c r="H1" s="18"/>
    </row>
    <row r="2" s="15" customFormat="1" ht="36" customHeight="1" spans="1:8">
      <c r="A2" s="19" t="s">
        <v>1</v>
      </c>
      <c r="B2" s="19"/>
      <c r="C2" s="19"/>
      <c r="D2" s="19"/>
      <c r="E2" s="19"/>
      <c r="F2" s="19"/>
      <c r="G2" s="19"/>
      <c r="H2" s="19"/>
    </row>
    <row r="3" s="15" customFormat="1" ht="32" customHeight="1" spans="1:8">
      <c r="A3" s="19" t="s">
        <v>2</v>
      </c>
      <c r="B3" s="19" t="s">
        <v>3</v>
      </c>
      <c r="C3" s="20" t="s">
        <v>4</v>
      </c>
      <c r="D3" s="21"/>
      <c r="E3" s="19" t="s">
        <v>5</v>
      </c>
      <c r="F3" s="19" t="s">
        <v>6</v>
      </c>
      <c r="G3" s="19" t="s">
        <v>7</v>
      </c>
      <c r="H3" s="22" t="s">
        <v>8</v>
      </c>
    </row>
    <row r="4" ht="27" customHeight="1" spans="1:8">
      <c r="A4" s="4">
        <v>1</v>
      </c>
      <c r="B4" s="23" t="s">
        <v>9</v>
      </c>
      <c r="C4" s="24">
        <v>1</v>
      </c>
      <c r="D4" s="25"/>
      <c r="E4" s="4" t="s">
        <v>10</v>
      </c>
      <c r="F4" s="9">
        <f>明细!G2+明细!G3+明细!G19+明细!G20</f>
        <v>-127400</v>
      </c>
      <c r="G4" s="26">
        <f t="shared" ref="G4:G10" si="0">C4*F4</f>
        <v>-127400</v>
      </c>
      <c r="H4" s="23" t="s">
        <v>11</v>
      </c>
    </row>
    <row r="5" ht="27" customHeight="1" spans="1:8">
      <c r="A5" s="4">
        <v>2</v>
      </c>
      <c r="B5" s="11" t="s">
        <v>12</v>
      </c>
      <c r="C5" s="24">
        <v>1</v>
      </c>
      <c r="D5" s="25"/>
      <c r="E5" s="4" t="s">
        <v>10</v>
      </c>
      <c r="F5" s="9">
        <f>明细!G4+明细!G5+明细!G6+明细!G7+明细!G8+明细!G9+明细!G21+明细!G22+明细!G23+明细!G24+明细!G25+明细!G26</f>
        <v>-514861.6</v>
      </c>
      <c r="G5" s="26">
        <f t="shared" si="0"/>
        <v>-514861.6</v>
      </c>
      <c r="H5" s="4"/>
    </row>
    <row r="6" ht="27" customHeight="1" spans="1:8">
      <c r="A6" s="4">
        <v>3</v>
      </c>
      <c r="B6" s="23" t="s">
        <v>13</v>
      </c>
      <c r="C6" s="24">
        <v>1</v>
      </c>
      <c r="D6" s="25"/>
      <c r="E6" s="4" t="s">
        <v>10</v>
      </c>
      <c r="F6" s="9">
        <f>明细!G10+明细!G27</f>
        <v>203528.6</v>
      </c>
      <c r="G6" s="26">
        <f t="shared" si="0"/>
        <v>203528.6</v>
      </c>
      <c r="H6" s="4"/>
    </row>
    <row r="7" ht="27" customHeight="1" spans="1:8">
      <c r="A7" s="4">
        <v>4</v>
      </c>
      <c r="B7" s="23" t="s">
        <v>14</v>
      </c>
      <c r="C7" s="24">
        <v>1</v>
      </c>
      <c r="D7" s="25"/>
      <c r="E7" s="4" t="s">
        <v>10</v>
      </c>
      <c r="F7" s="9">
        <f>明细!G11+明细!G12+明细!G28+明细!G29</f>
        <v>115151.4</v>
      </c>
      <c r="G7" s="26">
        <f t="shared" si="0"/>
        <v>115151.4</v>
      </c>
      <c r="H7" s="4"/>
    </row>
    <row r="8" customFormat="1" ht="27" customHeight="1" spans="1:9">
      <c r="A8" s="4">
        <v>5</v>
      </c>
      <c r="B8" s="23" t="s">
        <v>15</v>
      </c>
      <c r="C8" s="24">
        <v>1</v>
      </c>
      <c r="D8" s="25"/>
      <c r="E8" s="4" t="s">
        <v>10</v>
      </c>
      <c r="F8" s="9">
        <f>明细!G13+明细!G14+明细!G30+明细!G31</f>
        <v>-7644</v>
      </c>
      <c r="G8" s="26">
        <f t="shared" si="0"/>
        <v>-7644</v>
      </c>
      <c r="H8" s="4"/>
      <c r="I8" s="32"/>
    </row>
    <row r="9" customFormat="1" ht="27" customHeight="1" spans="1:9">
      <c r="A9" s="4">
        <v>6</v>
      </c>
      <c r="B9" s="23" t="s">
        <v>16</v>
      </c>
      <c r="C9" s="24">
        <v>1</v>
      </c>
      <c r="D9" s="25"/>
      <c r="E9" s="4" t="s">
        <v>10</v>
      </c>
      <c r="F9" s="27">
        <f>明细!G15+明细!G16+明细!G32+明细!G33</f>
        <v>147826.8</v>
      </c>
      <c r="G9" s="26">
        <f t="shared" si="0"/>
        <v>147826.8</v>
      </c>
      <c r="H9" s="4"/>
      <c r="I9" s="32"/>
    </row>
    <row r="10" customFormat="1" ht="27" customHeight="1" spans="1:9">
      <c r="A10" s="4">
        <v>7</v>
      </c>
      <c r="B10" s="23" t="s">
        <v>17</v>
      </c>
      <c r="C10" s="24">
        <v>1</v>
      </c>
      <c r="D10" s="25"/>
      <c r="E10" s="4" t="s">
        <v>10</v>
      </c>
      <c r="F10" s="27">
        <f>明细!G17+明细!G18+明细!G34+明细!G35</f>
        <v>-337968.96</v>
      </c>
      <c r="G10" s="26">
        <f t="shared" si="0"/>
        <v>-337968.96</v>
      </c>
      <c r="H10" s="4"/>
      <c r="I10" s="32"/>
    </row>
    <row r="11" s="16" customFormat="1" ht="26" customHeight="1" spans="1:8">
      <c r="A11" s="4">
        <v>8</v>
      </c>
      <c r="B11" s="28" t="s">
        <v>18</v>
      </c>
      <c r="C11" s="29"/>
      <c r="D11" s="29"/>
      <c r="E11" s="29"/>
      <c r="F11" s="30"/>
      <c r="G11" s="31">
        <f>SUM(G4:G10)</f>
        <v>-521367.76</v>
      </c>
      <c r="H11" s="23"/>
    </row>
  </sheetData>
  <mergeCells count="11">
    <mergeCell ref="A1:H1"/>
    <mergeCell ref="A2:H2"/>
    <mergeCell ref="C3:D3"/>
    <mergeCell ref="C4:D4"/>
    <mergeCell ref="C5:D5"/>
    <mergeCell ref="C6:D6"/>
    <mergeCell ref="C7:D7"/>
    <mergeCell ref="C8:D8"/>
    <mergeCell ref="C9:D9"/>
    <mergeCell ref="C10:D10"/>
    <mergeCell ref="B11:F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opLeftCell="A16" workbookViewId="0">
      <selection activeCell="X12" sqref="X12"/>
    </sheetView>
  </sheetViews>
  <sheetFormatPr defaultColWidth="9" defaultRowHeight="13.5"/>
  <cols>
    <col min="1" max="1" width="45" style="1" customWidth="1"/>
    <col min="2" max="2" width="9" style="2"/>
    <col min="3" max="3" width="7.75" style="2" customWidth="1"/>
    <col min="4" max="4" width="8.75" style="2" customWidth="1"/>
    <col min="5" max="5" width="6.125" style="2" customWidth="1"/>
    <col min="6" max="6" width="8.125" style="2" customWidth="1"/>
    <col min="7" max="7" width="12.625" style="2"/>
    <col min="8" max="8" width="11.5" style="2" hidden="1" customWidth="1"/>
    <col min="9" max="9" width="7.625" style="2" hidden="1" customWidth="1"/>
    <col min="10" max="12" width="7.625" style="1" hidden="1" customWidth="1"/>
    <col min="13" max="16384" width="9" style="1"/>
  </cols>
  <sheetData>
    <row r="1" ht="29" customHeight="1" spans="1:7">
      <c r="A1" s="3" t="s">
        <v>19</v>
      </c>
      <c r="B1" s="4" t="s">
        <v>20</v>
      </c>
      <c r="C1" s="4" t="s">
        <v>21</v>
      </c>
      <c r="D1" s="4" t="s">
        <v>22</v>
      </c>
      <c r="E1" s="4" t="s">
        <v>5</v>
      </c>
      <c r="F1" s="4" t="s">
        <v>6</v>
      </c>
      <c r="G1" s="4" t="s">
        <v>7</v>
      </c>
    </row>
    <row r="2" ht="23" customHeight="1" spans="1:8">
      <c r="A2" s="5" t="s">
        <v>23</v>
      </c>
      <c r="B2" s="6">
        <f>(1*12+1*2)*2*0.65</f>
        <v>18.2</v>
      </c>
      <c r="C2" s="6">
        <v>24</v>
      </c>
      <c r="D2" s="6">
        <f t="shared" ref="D2:D9" si="0">B2*C2</f>
        <v>436.8</v>
      </c>
      <c r="E2" s="7" t="s">
        <v>24</v>
      </c>
      <c r="F2" s="7">
        <v>-400</v>
      </c>
      <c r="G2" s="7">
        <f>D2*F2</f>
        <v>-174720</v>
      </c>
      <c r="H2" s="2">
        <f>G2+G3+G19+G20</f>
        <v>-127400</v>
      </c>
    </row>
    <row r="3" ht="25" customHeight="1" spans="1:7">
      <c r="A3" s="5" t="s">
        <v>25</v>
      </c>
      <c r="B3" s="6">
        <f>(1.2*12+1.2*2)*2*0.65</f>
        <v>21.84</v>
      </c>
      <c r="C3" s="6">
        <v>24</v>
      </c>
      <c r="D3" s="6">
        <f t="shared" si="0"/>
        <v>524.16</v>
      </c>
      <c r="E3" s="7" t="s">
        <v>24</v>
      </c>
      <c r="F3" s="7">
        <v>250</v>
      </c>
      <c r="G3" s="7">
        <f t="shared" ref="G3:G35" si="1">D3*F3</f>
        <v>131040</v>
      </c>
    </row>
    <row r="4" ht="22" customHeight="1" spans="1:8">
      <c r="A4" s="5" t="s">
        <v>26</v>
      </c>
      <c r="B4" s="6">
        <f>(1+0.65)*2*(1*12*2+1*2*2)*0.15</f>
        <v>13.86</v>
      </c>
      <c r="C4" s="6">
        <v>24</v>
      </c>
      <c r="D4" s="6">
        <f t="shared" si="0"/>
        <v>332.64</v>
      </c>
      <c r="E4" s="7" t="s">
        <v>24</v>
      </c>
      <c r="F4" s="7">
        <v>-50</v>
      </c>
      <c r="G4" s="7">
        <f t="shared" si="1"/>
        <v>-16632</v>
      </c>
      <c r="H4" s="2">
        <f>G4+G5+G21+G22+G6+G7+G8+G9+G23+G24+G25+G26</f>
        <v>-514861.6</v>
      </c>
    </row>
    <row r="5" ht="22" customHeight="1" spans="1:7">
      <c r="A5" s="5" t="s">
        <v>27</v>
      </c>
      <c r="B5" s="6">
        <f>(1.2+0.65)*2*(1*12*2+1*2*2)*0.13</f>
        <v>13.468</v>
      </c>
      <c r="C5" s="6">
        <v>24</v>
      </c>
      <c r="D5" s="6">
        <f t="shared" si="0"/>
        <v>323.232</v>
      </c>
      <c r="E5" s="7" t="s">
        <v>24</v>
      </c>
      <c r="F5" s="7">
        <v>110</v>
      </c>
      <c r="G5" s="7">
        <f t="shared" si="1"/>
        <v>35555.52</v>
      </c>
    </row>
    <row r="6" ht="19" customHeight="1" spans="1:7">
      <c r="A6" s="8" t="s">
        <v>28</v>
      </c>
      <c r="B6" s="9">
        <f>(1.4*2+1.75*4+2.95*6+2.3*2)*2*(0.5+1.1+0.52+0.28)</f>
        <v>154.08</v>
      </c>
      <c r="C6" s="9">
        <v>24</v>
      </c>
      <c r="D6" s="9">
        <f t="shared" si="0"/>
        <v>3697.92</v>
      </c>
      <c r="E6" s="7" t="s">
        <v>24</v>
      </c>
      <c r="F6" s="4">
        <v>-110</v>
      </c>
      <c r="G6" s="7">
        <f t="shared" si="1"/>
        <v>-406771.2</v>
      </c>
    </row>
    <row r="7" ht="19" customHeight="1" spans="1:7">
      <c r="A7" s="10"/>
      <c r="B7" s="9">
        <f>(1*12+1*2)*2*(0.5+0.52+0.28)</f>
        <v>36.4</v>
      </c>
      <c r="C7" s="9">
        <v>24</v>
      </c>
      <c r="D7" s="9">
        <f t="shared" si="0"/>
        <v>873.6</v>
      </c>
      <c r="E7" s="7" t="s">
        <v>24</v>
      </c>
      <c r="F7" s="4">
        <v>-110</v>
      </c>
      <c r="G7" s="7">
        <f t="shared" si="1"/>
        <v>-96096</v>
      </c>
    </row>
    <row r="8" ht="19" customHeight="1" spans="1:7">
      <c r="A8" s="8" t="s">
        <v>29</v>
      </c>
      <c r="B8" s="9">
        <f>(3.85*2+4.3*4+0.5*2*6+3.8+0.5*2)*2*1</f>
        <v>71.4</v>
      </c>
      <c r="C8" s="9">
        <v>24</v>
      </c>
      <c r="D8" s="9">
        <f t="shared" si="0"/>
        <v>1713.6</v>
      </c>
      <c r="E8" s="4" t="s">
        <v>30</v>
      </c>
      <c r="F8" s="4">
        <v>110</v>
      </c>
      <c r="G8" s="7">
        <f t="shared" si="1"/>
        <v>188496</v>
      </c>
    </row>
    <row r="9" ht="19" customHeight="1" spans="1:7">
      <c r="A9" s="10"/>
      <c r="B9" s="9">
        <f>(1.2*12+1.2*2)*2*(0.5+0.52+0.28)</f>
        <v>43.68</v>
      </c>
      <c r="C9" s="9">
        <v>24</v>
      </c>
      <c r="D9" s="9">
        <f t="shared" si="0"/>
        <v>1048.32</v>
      </c>
      <c r="E9" s="7" t="s">
        <v>24</v>
      </c>
      <c r="F9" s="4">
        <v>110</v>
      </c>
      <c r="G9" s="7">
        <f t="shared" si="1"/>
        <v>115315.2</v>
      </c>
    </row>
    <row r="10" ht="24" customHeight="1" spans="1:8">
      <c r="A10" s="11" t="s">
        <v>31</v>
      </c>
      <c r="B10" s="9">
        <f>0.2*0.2*0.875*(5*6+5)*2+0.2*0.3*0.65*2*2</f>
        <v>2.606</v>
      </c>
      <c r="C10" s="9">
        <v>25</v>
      </c>
      <c r="D10" s="9">
        <f t="shared" ref="D10:D16" si="2">B10*C10</f>
        <v>65.15</v>
      </c>
      <c r="E10" s="4" t="s">
        <v>30</v>
      </c>
      <c r="F10" s="4">
        <v>1100</v>
      </c>
      <c r="G10" s="7">
        <f t="shared" si="1"/>
        <v>71665</v>
      </c>
      <c r="H10" s="2">
        <f>G10+G27</f>
        <v>203528.6</v>
      </c>
    </row>
    <row r="11" s="1" customFormat="1" ht="24" customHeight="1" spans="1:9">
      <c r="A11" s="11" t="s">
        <v>32</v>
      </c>
      <c r="B11" s="9">
        <f>(2.4*2+2.75*4+3.95*6+2.8*2-(1*12+1*2))*2*0.2*0.65-0.2*0.2*0.65*(6+1)*2</f>
        <v>7.722</v>
      </c>
      <c r="C11" s="9">
        <v>24</v>
      </c>
      <c r="D11" s="9">
        <f t="shared" si="2"/>
        <v>185.328</v>
      </c>
      <c r="E11" s="4" t="s">
        <v>30</v>
      </c>
      <c r="F11" s="4">
        <v>-700</v>
      </c>
      <c r="G11" s="7">
        <f t="shared" si="1"/>
        <v>-129729.6</v>
      </c>
      <c r="H11" s="2">
        <f>G11+G12+G28+G29</f>
        <v>115151.4</v>
      </c>
      <c r="I11" s="2"/>
    </row>
    <row r="12" s="1" customFormat="1" ht="27" customHeight="1" spans="1:9">
      <c r="A12" s="11" t="s">
        <v>33</v>
      </c>
      <c r="B12" s="9">
        <f>(3.85*2+4.3*4+0.4*2*6+3.8+0.4*2)*2*0.2*0.65+(3.85*2+4.3*4+3.8)*2*0.1*0.65-0.2*0.2*0.65*(6*6+6)*2</f>
        <v>10.465</v>
      </c>
      <c r="C12" s="9">
        <v>24</v>
      </c>
      <c r="D12" s="9">
        <f t="shared" si="2"/>
        <v>251.16</v>
      </c>
      <c r="E12" s="4" t="s">
        <v>30</v>
      </c>
      <c r="F12" s="4">
        <v>700</v>
      </c>
      <c r="G12" s="7">
        <f t="shared" si="1"/>
        <v>175812</v>
      </c>
      <c r="H12" s="2"/>
      <c r="I12" s="2"/>
    </row>
    <row r="13" s="1" customFormat="1" ht="27" customHeight="1" spans="1:9">
      <c r="A13" s="11" t="s">
        <v>34</v>
      </c>
      <c r="B13" s="9">
        <f>(2.4*2+2.75*4+3.95*6+2.8*2-(1*12+1*2))*2*0.65</f>
        <v>40.43</v>
      </c>
      <c r="C13" s="9">
        <v>24</v>
      </c>
      <c r="D13" s="9">
        <f t="shared" si="2"/>
        <v>970.32</v>
      </c>
      <c r="E13" s="4" t="s">
        <v>24</v>
      </c>
      <c r="F13" s="4">
        <v>-30</v>
      </c>
      <c r="G13" s="7">
        <f t="shared" si="1"/>
        <v>-29109.6</v>
      </c>
      <c r="H13" s="2">
        <f>G13+G14+G30+G31</f>
        <v>-7644</v>
      </c>
      <c r="I13" s="2"/>
    </row>
    <row r="14" s="1" customFormat="1" ht="27" customHeight="1" spans="1:8">
      <c r="A14" s="11" t="s">
        <v>35</v>
      </c>
      <c r="B14" s="9">
        <f>(2.4*2+2.75*4+3.95*6+2.8*2-(1.2*12+1.2*2))*2*0.65</f>
        <v>36.79</v>
      </c>
      <c r="C14" s="9">
        <v>24</v>
      </c>
      <c r="D14" s="9">
        <f t="shared" si="2"/>
        <v>882.96</v>
      </c>
      <c r="E14" s="4" t="s">
        <v>24</v>
      </c>
      <c r="F14" s="4">
        <v>30</v>
      </c>
      <c r="G14" s="7">
        <f t="shared" si="1"/>
        <v>26488.8</v>
      </c>
      <c r="H14" s="2"/>
    </row>
    <row r="15" s="1" customFormat="1" ht="27" customHeight="1" spans="1:12">
      <c r="A15" s="11" t="s">
        <v>36</v>
      </c>
      <c r="B15" s="9">
        <f>0.2*0.2*(6.35*2+6.7*4+3.3*2)*2</f>
        <v>3.688</v>
      </c>
      <c r="C15" s="9">
        <v>24</v>
      </c>
      <c r="D15" s="9">
        <f t="shared" si="2"/>
        <v>88.512</v>
      </c>
      <c r="E15" s="4" t="s">
        <v>30</v>
      </c>
      <c r="F15" s="4">
        <v>-1200</v>
      </c>
      <c r="G15" s="7">
        <f t="shared" si="1"/>
        <v>-106214.4</v>
      </c>
      <c r="H15" s="2">
        <f>G15+G16+G32+G33</f>
        <v>147826.8</v>
      </c>
      <c r="I15" s="2" t="s">
        <v>37</v>
      </c>
      <c r="J15" s="2">
        <f>(2.45*2*6+1.6*4)*2</f>
        <v>71.6</v>
      </c>
      <c r="K15" s="12">
        <f>0.2*0.18+0.075*0.09</f>
        <v>0.04275</v>
      </c>
      <c r="L15" s="13">
        <f>J15*K15</f>
        <v>3.0609</v>
      </c>
    </row>
    <row r="16" s="1" customFormat="1" ht="27" customHeight="1" spans="1:12">
      <c r="A16" s="11" t="s">
        <v>38</v>
      </c>
      <c r="B16" s="9">
        <f>L15+L16+L17+L18</f>
        <v>5.6739</v>
      </c>
      <c r="C16" s="9">
        <v>24</v>
      </c>
      <c r="D16" s="9">
        <f t="shared" si="2"/>
        <v>136.1736</v>
      </c>
      <c r="E16" s="4" t="s">
        <v>30</v>
      </c>
      <c r="F16" s="4">
        <v>1200</v>
      </c>
      <c r="G16" s="7">
        <f t="shared" si="1"/>
        <v>163408.32</v>
      </c>
      <c r="H16" s="2"/>
      <c r="I16" s="2" t="s">
        <v>39</v>
      </c>
      <c r="J16" s="2">
        <f>(0.8*2*2+1.25*2*4)*2</f>
        <v>26.4</v>
      </c>
      <c r="K16" s="12">
        <f>0.18*0.15+0.075*0.09</f>
        <v>0.03375</v>
      </c>
      <c r="L16" s="13">
        <f>J16*K16</f>
        <v>0.891</v>
      </c>
    </row>
    <row r="17" s="1" customFormat="1" ht="27" customHeight="1" spans="1:12">
      <c r="A17" s="11" t="s">
        <v>40</v>
      </c>
      <c r="B17" s="9">
        <f>0.1*0.5*(6.35*2+6.7*4+3.3*2)*2</f>
        <v>4.61</v>
      </c>
      <c r="C17" s="9">
        <v>24</v>
      </c>
      <c r="D17" s="9">
        <f t="shared" ref="D17:D35" si="3">B17*C17</f>
        <v>110.64</v>
      </c>
      <c r="E17" s="4" t="s">
        <v>30</v>
      </c>
      <c r="F17" s="4">
        <v>-2000</v>
      </c>
      <c r="G17" s="7">
        <f t="shared" si="1"/>
        <v>-221280</v>
      </c>
      <c r="H17" s="2">
        <f>G17+G18+G34+G35</f>
        <v>-337968.96</v>
      </c>
      <c r="I17" s="2" t="s">
        <v>41</v>
      </c>
      <c r="J17" s="2">
        <f>(0.3*3*6+0.3*3)*2</f>
        <v>12.6</v>
      </c>
      <c r="K17" s="12">
        <f>0.2*0.15</f>
        <v>0.03</v>
      </c>
      <c r="L17" s="13">
        <f>J17*K17</f>
        <v>0.378</v>
      </c>
    </row>
    <row r="18" ht="27" customHeight="1" spans="1:12">
      <c r="A18" s="11" t="s">
        <v>42</v>
      </c>
      <c r="B18" s="9">
        <f>0.52*0.06*(6.35*2+6.7*4+3.3*2)*2</f>
        <v>2.87664</v>
      </c>
      <c r="C18" s="9">
        <v>24</v>
      </c>
      <c r="D18" s="9">
        <f t="shared" si="3"/>
        <v>69.03936</v>
      </c>
      <c r="E18" s="4" t="s">
        <v>30</v>
      </c>
      <c r="F18" s="4">
        <v>1500</v>
      </c>
      <c r="G18" s="7">
        <f t="shared" si="1"/>
        <v>103559.04</v>
      </c>
      <c r="I18" s="2" t="s">
        <v>43</v>
      </c>
      <c r="J18" s="2">
        <f>(1.2*2*6+1.2*2)*2</f>
        <v>33.6</v>
      </c>
      <c r="K18" s="12">
        <f>0.2*0.2</f>
        <v>0.04</v>
      </c>
      <c r="L18" s="13">
        <f>J18*K18</f>
        <v>1.344</v>
      </c>
    </row>
    <row r="19" ht="27" customHeight="1" spans="1:12">
      <c r="A19" s="5" t="s">
        <v>44</v>
      </c>
      <c r="B19" s="6">
        <f>(1*12+1*2)*2*0.65</f>
        <v>18.2</v>
      </c>
      <c r="C19" s="6">
        <v>46</v>
      </c>
      <c r="D19" s="6">
        <f t="shared" si="3"/>
        <v>837.2</v>
      </c>
      <c r="E19" s="7" t="s">
        <v>24</v>
      </c>
      <c r="F19" s="7">
        <v>-400</v>
      </c>
      <c r="G19" s="7">
        <f t="shared" si="1"/>
        <v>-334880</v>
      </c>
      <c r="J19" s="2"/>
      <c r="K19" s="12"/>
      <c r="L19" s="13"/>
    </row>
    <row r="20" ht="27" customHeight="1" spans="1:12">
      <c r="A20" s="5" t="s">
        <v>45</v>
      </c>
      <c r="B20" s="6">
        <f>(1.2*12+1.2*2)*2*0.65</f>
        <v>21.84</v>
      </c>
      <c r="C20" s="6">
        <v>46</v>
      </c>
      <c r="D20" s="6">
        <f t="shared" si="3"/>
        <v>1004.64</v>
      </c>
      <c r="E20" s="7" t="s">
        <v>24</v>
      </c>
      <c r="F20" s="7">
        <v>250</v>
      </c>
      <c r="G20" s="7">
        <f t="shared" si="1"/>
        <v>251160</v>
      </c>
      <c r="J20" s="2"/>
      <c r="K20" s="12"/>
      <c r="L20" s="13"/>
    </row>
    <row r="21" ht="27" customHeight="1" spans="1:12">
      <c r="A21" s="5" t="s">
        <v>46</v>
      </c>
      <c r="B21" s="6">
        <f>(1+0.65)*2*(1*12*2+1*2*2)*0.15</f>
        <v>13.86</v>
      </c>
      <c r="C21" s="6">
        <v>46</v>
      </c>
      <c r="D21" s="6">
        <f t="shared" si="3"/>
        <v>637.56</v>
      </c>
      <c r="E21" s="7" t="s">
        <v>24</v>
      </c>
      <c r="F21" s="7">
        <v>-50</v>
      </c>
      <c r="G21" s="7">
        <f t="shared" si="1"/>
        <v>-31878</v>
      </c>
      <c r="J21" s="2"/>
      <c r="K21" s="12"/>
      <c r="L21" s="13"/>
    </row>
    <row r="22" ht="27" customHeight="1" spans="1:7">
      <c r="A22" s="5" t="s">
        <v>47</v>
      </c>
      <c r="B22" s="6">
        <f>(1.2+0.65)*2*(1*12*2+1*2*2)*0.13</f>
        <v>13.468</v>
      </c>
      <c r="C22" s="6">
        <v>46</v>
      </c>
      <c r="D22" s="6">
        <f t="shared" si="3"/>
        <v>619.528</v>
      </c>
      <c r="E22" s="7" t="s">
        <v>24</v>
      </c>
      <c r="F22" s="7">
        <v>110</v>
      </c>
      <c r="G22" s="7">
        <f t="shared" si="1"/>
        <v>68148.08</v>
      </c>
    </row>
    <row r="23" ht="21" customHeight="1" spans="1:7">
      <c r="A23" s="8" t="s">
        <v>48</v>
      </c>
      <c r="B23" s="9">
        <f>(1.8*2+2.25*10+2.45*2)*2*(0.5+1.1+0.52+0.28)</f>
        <v>148.8</v>
      </c>
      <c r="C23" s="6">
        <v>46</v>
      </c>
      <c r="D23" s="9">
        <f t="shared" si="3"/>
        <v>6844.8</v>
      </c>
      <c r="E23" s="7" t="s">
        <v>24</v>
      </c>
      <c r="F23" s="4">
        <v>-110</v>
      </c>
      <c r="G23" s="7">
        <f t="shared" si="1"/>
        <v>-752928</v>
      </c>
    </row>
    <row r="24" ht="21" customHeight="1" spans="1:7">
      <c r="A24" s="10"/>
      <c r="B24" s="9">
        <f>(1*12+1*2)*2*(0.5+0.52+0.28)</f>
        <v>36.4</v>
      </c>
      <c r="C24" s="6">
        <v>46</v>
      </c>
      <c r="D24" s="9">
        <f t="shared" si="3"/>
        <v>1674.4</v>
      </c>
      <c r="E24" s="7" t="s">
        <v>24</v>
      </c>
      <c r="F24" s="4">
        <v>-110</v>
      </c>
      <c r="G24" s="7">
        <f t="shared" si="1"/>
        <v>-184184</v>
      </c>
    </row>
    <row r="25" ht="22" customHeight="1" spans="1:7">
      <c r="A25" s="8" t="s">
        <v>49</v>
      </c>
      <c r="B25" s="9">
        <f>(3.45*2+4*4+0.5*2*6+4.2+0.5*2)*2*1</f>
        <v>68.2</v>
      </c>
      <c r="C25" s="6">
        <v>46</v>
      </c>
      <c r="D25" s="9">
        <f t="shared" si="3"/>
        <v>3137.2</v>
      </c>
      <c r="E25" s="4" t="s">
        <v>30</v>
      </c>
      <c r="F25" s="4">
        <v>110</v>
      </c>
      <c r="G25" s="7">
        <f t="shared" si="1"/>
        <v>345092</v>
      </c>
    </row>
    <row r="26" ht="22" customHeight="1" spans="1:7">
      <c r="A26" s="10"/>
      <c r="B26" s="9">
        <f>(1.2*12+1.2*2)*2*(0.5+0.52+0.28)</f>
        <v>43.68</v>
      </c>
      <c r="C26" s="6">
        <v>46</v>
      </c>
      <c r="D26" s="9">
        <f t="shared" si="3"/>
        <v>2009.28</v>
      </c>
      <c r="E26" s="7" t="s">
        <v>24</v>
      </c>
      <c r="F26" s="4">
        <v>110</v>
      </c>
      <c r="G26" s="7">
        <f t="shared" si="1"/>
        <v>221020.8</v>
      </c>
    </row>
    <row r="27" ht="27" customHeight="1" spans="1:7">
      <c r="A27" s="11" t="s">
        <v>50</v>
      </c>
      <c r="B27" s="9">
        <f>0.2*0.2*0.875*(5*6+5)*2+0.2*0.3*0.65*2*2</f>
        <v>2.606</v>
      </c>
      <c r="C27" s="6">
        <v>46</v>
      </c>
      <c r="D27" s="9">
        <f t="shared" si="3"/>
        <v>119.876</v>
      </c>
      <c r="E27" s="4" t="s">
        <v>30</v>
      </c>
      <c r="F27" s="4">
        <v>1100</v>
      </c>
      <c r="G27" s="7">
        <f t="shared" si="1"/>
        <v>131863.6</v>
      </c>
    </row>
    <row r="28" ht="27" customHeight="1" spans="1:7">
      <c r="A28" s="11" t="s">
        <v>51</v>
      </c>
      <c r="B28" s="9">
        <f>(2.8*2+3.25*10+3.45*2-(1*12+1*2))*2*0.2*0.65-0.2*0.2*0.65*(6+1)*2</f>
        <v>7.696</v>
      </c>
      <c r="C28" s="6">
        <v>46</v>
      </c>
      <c r="D28" s="9">
        <f t="shared" si="3"/>
        <v>354.016</v>
      </c>
      <c r="E28" s="4" t="s">
        <v>30</v>
      </c>
      <c r="F28" s="4">
        <v>-700</v>
      </c>
      <c r="G28" s="7">
        <f t="shared" si="1"/>
        <v>-247811.2</v>
      </c>
    </row>
    <row r="29" ht="27" customHeight="1" spans="1:7">
      <c r="A29" s="11" t="s">
        <v>52</v>
      </c>
      <c r="B29" s="9">
        <f>(3.45*2+4*4+0.4*2*6+4.2+0.4*2)*2*0.2*0.65+(3.45*2+4*4+4.2)*2*0.1*0.65-0.2*0.2*0.65*(6*6+6)*2</f>
        <v>9.841</v>
      </c>
      <c r="C29" s="6">
        <v>46</v>
      </c>
      <c r="D29" s="9">
        <f t="shared" si="3"/>
        <v>452.686</v>
      </c>
      <c r="E29" s="4" t="s">
        <v>30</v>
      </c>
      <c r="F29" s="4">
        <v>700</v>
      </c>
      <c r="G29" s="7">
        <f t="shared" si="1"/>
        <v>316880.2</v>
      </c>
    </row>
    <row r="30" ht="27" customHeight="1" spans="1:7">
      <c r="A30" s="11" t="s">
        <v>53</v>
      </c>
      <c r="B30" s="9">
        <f>(2.8*2+3.25*10+3.45*2-(1*12+1*2))*2*0.65</f>
        <v>40.3</v>
      </c>
      <c r="C30" s="6">
        <v>46</v>
      </c>
      <c r="D30" s="9">
        <f t="shared" si="3"/>
        <v>1853.8</v>
      </c>
      <c r="E30" s="4" t="s">
        <v>24</v>
      </c>
      <c r="F30" s="4">
        <v>-30</v>
      </c>
      <c r="G30" s="7">
        <f t="shared" si="1"/>
        <v>-55614</v>
      </c>
    </row>
    <row r="31" ht="27" customHeight="1" spans="1:7">
      <c r="A31" s="11" t="s">
        <v>54</v>
      </c>
      <c r="B31" s="9">
        <f>(2.8*2+3.25*10+3.45*2-(1.2*12+1.2*2))*2*0.65</f>
        <v>36.66</v>
      </c>
      <c r="C31" s="6">
        <v>46</v>
      </c>
      <c r="D31" s="9">
        <f t="shared" si="3"/>
        <v>1686.36</v>
      </c>
      <c r="E31" s="4" t="s">
        <v>24</v>
      </c>
      <c r="F31" s="4">
        <v>30</v>
      </c>
      <c r="G31" s="7">
        <f t="shared" si="1"/>
        <v>50590.8</v>
      </c>
    </row>
    <row r="32" ht="27" customHeight="1" spans="1:12">
      <c r="A32" s="11" t="s">
        <v>55</v>
      </c>
      <c r="B32" s="9">
        <f>0.2*0.2*(2.8*2+3.25*10+3.45*2)*2</f>
        <v>3.6</v>
      </c>
      <c r="C32" s="6">
        <v>46</v>
      </c>
      <c r="D32" s="9">
        <f t="shared" si="3"/>
        <v>165.6</v>
      </c>
      <c r="E32" s="4" t="s">
        <v>30</v>
      </c>
      <c r="F32" s="4">
        <v>-1200</v>
      </c>
      <c r="G32" s="7">
        <f t="shared" si="1"/>
        <v>-198720</v>
      </c>
      <c r="I32" s="2" t="s">
        <v>37</v>
      </c>
      <c r="J32" s="2">
        <f>1.7*2*6*2+1.6*4*2</f>
        <v>53.6</v>
      </c>
      <c r="K32" s="12">
        <f>0.2*0.18+0.075*0.09</f>
        <v>0.04275</v>
      </c>
      <c r="L32" s="13">
        <f t="shared" ref="L32:L35" si="4">J32*K32</f>
        <v>2.2914</v>
      </c>
    </row>
    <row r="33" ht="27" customHeight="1" spans="1:12">
      <c r="A33" s="11" t="s">
        <v>56</v>
      </c>
      <c r="B33" s="9">
        <f>L32+L33+L34+L35</f>
        <v>5.2419</v>
      </c>
      <c r="C33" s="6">
        <v>46</v>
      </c>
      <c r="D33" s="9">
        <f t="shared" si="3"/>
        <v>241.1274</v>
      </c>
      <c r="E33" s="4" t="s">
        <v>30</v>
      </c>
      <c r="F33" s="4">
        <v>1200</v>
      </c>
      <c r="G33" s="7">
        <f t="shared" si="1"/>
        <v>289352.88</v>
      </c>
      <c r="I33" s="2" t="s">
        <v>39</v>
      </c>
      <c r="J33" s="2">
        <f>(1.15*2*2+1.7*2*4)*2</f>
        <v>36.4</v>
      </c>
      <c r="K33" s="12">
        <f>0.18*0.15+0.075*0.09</f>
        <v>0.03375</v>
      </c>
      <c r="L33" s="13">
        <f t="shared" si="4"/>
        <v>1.2285</v>
      </c>
    </row>
    <row r="34" ht="27" customHeight="1" spans="1:12">
      <c r="A34" s="11" t="s">
        <v>57</v>
      </c>
      <c r="B34" s="9">
        <f>0.1*0.5*(6.05*2+6.5*4+3.45*2)*2</f>
        <v>4.5</v>
      </c>
      <c r="C34" s="6">
        <v>46</v>
      </c>
      <c r="D34" s="9">
        <f t="shared" si="3"/>
        <v>207</v>
      </c>
      <c r="E34" s="4" t="s">
        <v>30</v>
      </c>
      <c r="F34" s="4">
        <v>-2000</v>
      </c>
      <c r="G34" s="7">
        <f t="shared" si="1"/>
        <v>-414000</v>
      </c>
      <c r="I34" s="2" t="s">
        <v>41</v>
      </c>
      <c r="J34" s="2">
        <f>(0.3*3*6+0.3*3)*2</f>
        <v>12.6</v>
      </c>
      <c r="K34" s="12">
        <f>0.2*0.15</f>
        <v>0.03</v>
      </c>
      <c r="L34" s="13">
        <f t="shared" si="4"/>
        <v>0.378</v>
      </c>
    </row>
    <row r="35" ht="27" customHeight="1" spans="1:12">
      <c r="A35" s="11" t="s">
        <v>58</v>
      </c>
      <c r="B35" s="9">
        <f>0.52*0.06*(6.05*2+6.5*4+3.45*2)*2</f>
        <v>2.808</v>
      </c>
      <c r="C35" s="6">
        <v>46</v>
      </c>
      <c r="D35" s="9">
        <f t="shared" si="3"/>
        <v>129.168</v>
      </c>
      <c r="E35" s="4" t="s">
        <v>30</v>
      </c>
      <c r="F35" s="4">
        <v>1500</v>
      </c>
      <c r="G35" s="7">
        <f t="shared" si="1"/>
        <v>193752</v>
      </c>
      <c r="I35" s="2" t="s">
        <v>43</v>
      </c>
      <c r="J35" s="2">
        <f>(1.2*2*6+1.2*2)*2</f>
        <v>33.6</v>
      </c>
      <c r="K35" s="12">
        <f>0.2*0.2</f>
        <v>0.04</v>
      </c>
      <c r="L35" s="13">
        <f t="shared" si="4"/>
        <v>1.344</v>
      </c>
    </row>
    <row r="36" ht="35" customHeight="1" spans="1:7">
      <c r="A36" s="4" t="s">
        <v>59</v>
      </c>
      <c r="B36" s="4"/>
      <c r="C36" s="4"/>
      <c r="D36" s="4"/>
      <c r="E36" s="9">
        <f>SUM(G2:G35)</f>
        <v>-521367.76</v>
      </c>
      <c r="F36" s="9"/>
      <c r="G36" s="9"/>
    </row>
  </sheetData>
  <mergeCells count="6">
    <mergeCell ref="A36:D36"/>
    <mergeCell ref="E36:G36"/>
    <mergeCell ref="A6:A7"/>
    <mergeCell ref="A8:A9"/>
    <mergeCell ref="A23:A24"/>
    <mergeCell ref="A25:A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张菲</cp:lastModifiedBy>
  <dcterms:created xsi:type="dcterms:W3CDTF">2020-12-18T00:26:00Z</dcterms:created>
  <dcterms:modified xsi:type="dcterms:W3CDTF">2021-04-30T02:34:21Z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3CAEE182E7564DECB55811B867AB5E9F</vt:lpwstr>
  </property>
</Properties>
</file>