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56" firstSheet="4" activeTab="4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  <sheet name="34-37#楼汇总表（表1）" sheetId="50" r:id="rId9"/>
    <sheet name="34#楼汇总表（表2）" sheetId="70" r:id="rId10"/>
    <sheet name="34#楼明细(表2.1) " sheetId="71" r:id="rId11"/>
    <sheet name="35#楼汇总表（表2）" sheetId="73" r:id="rId12"/>
    <sheet name="35#楼明细(表2.1) " sheetId="80" r:id="rId13"/>
    <sheet name="36#楼汇总表（表2）" sheetId="74" r:id="rId14"/>
    <sheet name="36#楼明细(表2.1)  " sheetId="75" r:id="rId15"/>
    <sheet name="37#楼汇总表（表2）" sheetId="43" r:id="rId16"/>
    <sheet name="37#楼明细(表2.1)" sheetId="49" r:id="rId17"/>
    <sheet name="38#楼汇总表（表2）" sheetId="78" r:id="rId18"/>
    <sheet name="38#明细表（表2.1）" sheetId="79" r:id="rId19"/>
    <sheet name="39#楼汇总表（表2）" sheetId="93" r:id="rId20"/>
    <sheet name="39#明细表（表2.1）" sheetId="86" r:id="rId21"/>
    <sheet name="40#楼汇总表（表2）" sheetId="94" r:id="rId22"/>
    <sheet name="40#明细表（表2.1）" sheetId="87" r:id="rId23"/>
    <sheet name="41#楼汇总表（表2） " sheetId="96" r:id="rId24"/>
    <sheet name="41#明细表（表2.1） " sheetId="88" r:id="rId25"/>
    <sheet name="幼儿园、开闭所汇总表（表2）" sheetId="91" r:id="rId26"/>
    <sheet name="地下车库汇总表（表2）" sheetId="89" r:id="rId27"/>
    <sheet name="户内避难间汇总表（表2）" sheetId="98" r:id="rId28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_FilterDatabase" localSheetId="26" hidden="1">'地下车库汇总表（表2）'!$B$2:$H$177</definedName>
    <definedName name="_xlnm.Print_Area" localSheetId="9">'34#楼汇总表（表2）'!#REF!</definedName>
    <definedName name="_xlnm.Print_Area" localSheetId="10">'34#楼明细(表2.1) '!#REF!</definedName>
    <definedName name="_xlnm.Print_Area" localSheetId="11">'35#楼汇总表（表2）'!$A$1:$F$12</definedName>
    <definedName name="_xlnm.Print_Area" localSheetId="13">'36#楼汇总表（表2）'!$A$1:$G$10</definedName>
    <definedName name="_xlnm.Print_Area" localSheetId="14">'36#楼明细(表2.1)  '!#REF!</definedName>
    <definedName name="_xlnm.Print_Area" localSheetId="15">'37#楼汇总表（表2）'!$A$1:$F$11</definedName>
    <definedName name="_xlnm.Print_Area" localSheetId="16">'37#楼明细(表2.1)'!#REF!</definedName>
    <definedName name="_xlnm.Print_Area" localSheetId="17">'38#楼汇总表（表2）'!$A$1:$F$11</definedName>
    <definedName name="_xlnm.Print_Area" localSheetId="18">'38#明细表（表2.1）'!$A$1:$F$33</definedName>
    <definedName name="_xlnm.Print_Titles" localSheetId="10">'34#楼明细(表2.1) '!$1:$1</definedName>
    <definedName name="_xlnm.Print_Titles" localSheetId="14">'36#楼明细(表2.1)  '!#REF!</definedName>
    <definedName name="_xlnm.Print_Titles" localSheetId="16">'37#楼明细(表2.1)'!#REF!</definedName>
    <definedName name="_xlnm.Print_Titles" localSheetId="18">'38#明细表（表2.1）'!#REF!</definedName>
    <definedName name="_xlnm.Print_Area" localSheetId="12">'35#楼明细(表2.1) '!#REF!</definedName>
    <definedName name="_xlnm.Print_Titles" localSheetId="12">'35#楼明细(表2.1) '!#REF!</definedName>
    <definedName name="_xlnm.Print_Area" localSheetId="4">'1结算审批表'!$A$1:$D$15</definedName>
    <definedName name="_xlnm.Print_Area" localSheetId="6">'3工程结算汇总表'!$A$1:$G$33</definedName>
    <definedName name="_xlnm.Print_Area" localSheetId="8">'34-37#楼汇总表（表1）'!$A$1:$F$22</definedName>
    <definedName name="_xlnm.Print_Area" localSheetId="20">'39#明细表（表2.1）'!$A$1:$F$33</definedName>
    <definedName name="_xlnm.Print_Titles" localSheetId="20">'39#明细表（表2.1）'!#REF!</definedName>
    <definedName name="_xlnm.Print_Area" localSheetId="22">'40#明细表（表2.1）'!$A$1:$F$26</definedName>
    <definedName name="_xlnm.Print_Titles" localSheetId="22">'40#明细表（表2.1）'!#REF!</definedName>
    <definedName name="_xlnm.Print_Area" localSheetId="24">'41#明细表（表2.1） '!$A$1:$F$32</definedName>
    <definedName name="_xlnm.Print_Titles" localSheetId="24">'41#明细表（表2.1） '!#REF!</definedName>
    <definedName name="_xlnm.Print_Area" localSheetId="26">'地下车库汇总表（表2）'!$A$1:$E$177</definedName>
    <definedName name="_xlnm.Print_Titles" localSheetId="26">'地下车库汇总表（表2）'!$1:$1</definedName>
    <definedName name="_xlnm.Print_Area" localSheetId="25">'幼儿园、开闭所汇总表（表2）'!$A$1:$F$8</definedName>
    <definedName name="_xlnm.Print_Titles" localSheetId="25">'幼儿园、开闭所汇总表（表2）'!$1:$1</definedName>
    <definedName name="_xlnm.Print_Area" localSheetId="19">'39#楼汇总表（表2）'!$A$1:$F$12</definedName>
    <definedName name="_xlnm.Print_Area" localSheetId="21">'40#楼汇总表（表2）'!#REF!</definedName>
    <definedName name="_xlnm.Print_Area" localSheetId="23">'41#楼汇总表（表2） '!$A$1:$F$11</definedName>
    <definedName name="_xlnm.Print_Area" localSheetId="27">'户内避难间汇总表（表2）'!$A$1:$F$8</definedName>
    <definedName name="_xlnm.Print_Area" localSheetId="5">'2资料存档目录'!$A$1:$F$28</definedName>
  </definedNames>
  <calcPr calcId="144525" fullPrecision="0"/>
</workbook>
</file>

<file path=xl/sharedStrings.xml><?xml version="1.0" encoding="utf-8"?>
<sst xmlns="http://schemas.openxmlformats.org/spreadsheetml/2006/main" count="1478" uniqueCount="573">
  <si>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</si>
  <si>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</si>
  <si>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</si>
  <si>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</si>
  <si>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</si>
  <si>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</si>
  <si>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</si>
  <si>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</si>
  <si>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</si>
  <si>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</si>
  <si>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</si>
  <si>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</si>
  <si>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</si>
  <si>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</si>
  <si>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</si>
  <si>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</si>
  <si>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</si>
  <si>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</si>
  <si>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</si>
  <si>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</si>
  <si>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</si>
  <si>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</si>
  <si>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</si>
  <si>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</si>
  <si>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</si>
  <si>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</si>
  <si>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</si>
  <si>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</si>
  <si>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</si>
  <si>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</si>
  <si>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</si>
  <si>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</si>
  <si>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</si>
  <si>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</si>
  <si>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</si>
  <si>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</si>
  <si>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</si>
  <si>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</si>
  <si>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</si>
  <si>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</si>
  <si>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</si>
  <si>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</si>
  <si>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</si>
  <si>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</si>
  <si>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</si>
  <si>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</si>
  <si>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</si>
  <si>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</si>
  <si>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</si>
  <si>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</si>
  <si>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</si>
  <si>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</si>
  <si>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</si>
  <si>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</si>
  <si>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</si>
  <si>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</si>
  <si>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</si>
  <si>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</si>
  <si>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</si>
  <si>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</si>
  <si>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</si>
  <si>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</si>
  <si>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</si>
  <si>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</si>
  <si>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</si>
  <si>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</si>
  <si>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</si>
  <si>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</si>
  <si>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</si>
  <si>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</si>
  <si>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</si>
  <si>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</si>
  <si>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</si>
  <si>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</si>
  <si>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</si>
  <si>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</si>
  <si>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</si>
  <si>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</si>
  <si>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</si>
  <si>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</si>
  <si>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</si>
  <si>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</si>
  <si>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</si>
  <si>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</si>
  <si>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</si>
  <si>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</si>
  <si>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</si>
  <si>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</si>
  <si>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</si>
  <si>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</si>
  <si>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</si>
  <si>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</si>
  <si>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</si>
  <si>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</si>
  <si>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</si>
  <si>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</si>
  <si>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</si>
  <si>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</si>
  <si>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</si>
  <si>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</si>
  <si>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</si>
  <si>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</si>
  <si>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</si>
  <si>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</si>
  <si>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</si>
  <si>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</si>
  <si>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</si>
  <si>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</si>
  <si>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</si>
  <si>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</si>
  <si>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</si>
  <si>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</si>
  <si>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</si>
  <si>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</si>
  <si>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</si>
  <si>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</si>
  <si>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</si>
  <si>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</si>
  <si>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</si>
  <si>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</si>
  <si>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</si>
  <si>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</si>
  <si>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</si>
  <si>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</si>
  <si>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</si>
  <si>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</si>
  <si>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</si>
  <si>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</si>
  <si>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</si>
  <si>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</si>
  <si>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</si>
  <si>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</si>
  <si>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</si>
  <si>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</si>
  <si>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</si>
  <si>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</si>
  <si>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</si>
  <si>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</si>
  <si>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</si>
  <si>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</si>
  <si>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</si>
  <si>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</si>
  <si>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</si>
  <si>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</si>
  <si>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</si>
  <si>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</si>
  <si>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</si>
  <si>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</si>
  <si>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</si>
  <si>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</si>
  <si>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</si>
  <si>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</si>
  <si>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</si>
  <si>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</si>
  <si>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</si>
  <si>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</si>
  <si>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</si>
  <si>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</si>
  <si>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</si>
  <si>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</si>
  <si>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</si>
  <si>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</si>
  <si>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</si>
  <si>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</si>
  <si>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</si>
  <si>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</si>
  <si>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</si>
  <si>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</si>
  <si>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</si>
  <si>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</si>
  <si>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</si>
  <si>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</si>
  <si>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</si>
  <si>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</si>
  <si>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</si>
  <si>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</si>
  <si>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</si>
  <si>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</si>
  <si>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</si>
  <si>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</si>
  <si>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</si>
  <si>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</si>
  <si>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</si>
  <si>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</si>
  <si>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</si>
  <si>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</si>
  <si>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</si>
  <si>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</si>
  <si>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</si>
  <si>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</si>
  <si>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</si>
  <si>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</si>
  <si>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</si>
  <si>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</si>
  <si>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</si>
  <si>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</si>
  <si>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</si>
  <si>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</si>
  <si>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</si>
  <si>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</si>
  <si>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</si>
  <si>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</si>
  <si>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</si>
  <si>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</si>
  <si>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</si>
  <si>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</si>
  <si>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</si>
  <si>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</si>
  <si>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</si>
  <si>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</si>
  <si>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</si>
  <si>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</si>
  <si>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</si>
  <si>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</si>
  <si>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</si>
  <si>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</si>
  <si>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</si>
  <si>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</si>
  <si>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</si>
  <si>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</si>
  <si>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</si>
  <si>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</si>
  <si>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</si>
  <si>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</si>
  <si>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</si>
  <si>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</si>
  <si>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</si>
  <si>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</si>
  <si>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</si>
  <si>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</si>
  <si>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</si>
  <si>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</si>
  <si>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</si>
  <si>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</si>
  <si>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</si>
  <si>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</si>
  <si>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</si>
  <si>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</si>
  <si>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</si>
  <si>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</si>
  <si>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</si>
  <si>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</si>
  <si>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</si>
  <si>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</si>
  <si>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</si>
  <si>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</si>
  <si>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</si>
  <si>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</si>
  <si>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</si>
  <si>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</si>
  <si>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</si>
  <si>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</si>
  <si>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</si>
  <si>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</si>
  <si>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</si>
  <si>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</si>
  <si>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</si>
  <si>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</si>
  <si>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</si>
  <si>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</si>
  <si>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</si>
  <si>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</si>
  <si>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</si>
  <si>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</si>
  <si>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</si>
  <si>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</si>
  <si>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</si>
  <si>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</si>
  <si>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</si>
  <si>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</si>
  <si>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</si>
  <si>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</si>
  <si>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</si>
  <si>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</si>
  <si>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</si>
  <si>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</si>
  <si>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</si>
  <si>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</si>
  <si>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</si>
  <si>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</si>
  <si>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</si>
  <si>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</si>
  <si>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</si>
  <si>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</si>
  <si>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</si>
  <si>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</si>
  <si>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</si>
  <si>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</si>
  <si>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</si>
  <si>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</si>
  <si>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</si>
  <si>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</si>
  <si>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</si>
  <si>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</si>
  <si>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</si>
  <si>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</si>
  <si>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</si>
  <si>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</si>
  <si>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</si>
  <si>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</si>
  <si>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</si>
  <si>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</si>
  <si>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</si>
  <si>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</si>
  <si>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</si>
  <si>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</si>
  <si>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</si>
  <si>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</si>
  <si>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</si>
  <si>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</si>
  <si>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</si>
  <si>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</si>
  <si>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</si>
  <si>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</si>
  <si>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</si>
  <si>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</si>
  <si>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</si>
  <si>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</si>
  <si>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</si>
  <si>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</si>
  <si>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</si>
  <si>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</si>
  <si>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</si>
  <si>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</si>
  <si>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</si>
  <si>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</si>
  <si>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</si>
  <si>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</si>
  <si>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</si>
  <si>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</si>
  <si>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</si>
  <si>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</si>
  <si>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</si>
  <si>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</si>
  <si>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</si>
  <si>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</si>
  <si>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</si>
  <si>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</si>
  <si>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</si>
  <si>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</si>
  <si>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</si>
  <si>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</si>
  <si>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r>
      <t>开元壹号68地块防火门制作及安装工程合同</t>
    </r>
    <r>
      <rPr>
        <b/>
        <sz val="14"/>
        <rFont val="楷体_GB2312"/>
        <charset val="134"/>
      </rPr>
      <t>结算审批表</t>
    </r>
  </si>
  <si>
    <t>项目名称</t>
  </si>
  <si>
    <t>开元壹号68地块</t>
  </si>
  <si>
    <t>合同编号</t>
  </si>
  <si>
    <t>KYYH.68-JA-070</t>
  </si>
  <si>
    <t>合同名称</t>
  </si>
  <si>
    <t>开元壹号68地块防火门制作及安装工程合同</t>
  </si>
  <si>
    <t>合同金额</t>
  </si>
  <si>
    <r>
      <rPr>
        <u/>
        <sz val="12"/>
        <rFont val="楷体_GB2312"/>
        <charset val="134"/>
      </rPr>
      <t>2700000.00</t>
    </r>
    <r>
      <rPr>
        <sz val="12"/>
        <rFont val="楷体_GB2312"/>
        <charset val="134"/>
      </rPr>
      <t>元</t>
    </r>
  </si>
  <si>
    <t>施工单位名称</t>
  </si>
  <si>
    <t>河南聚泰实业有限公司</t>
  </si>
  <si>
    <t>乙方送审价</t>
  </si>
  <si>
    <t>2131617.2元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</si>
  <si>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</si>
  <si>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</si>
  <si>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</si>
  <si>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</si>
  <si>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</si>
  <si>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</si>
  <si>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</si>
  <si>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</si>
  <si>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</si>
  <si>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</si>
  <si>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</si>
  <si>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</si>
  <si>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</si>
  <si>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</si>
  <si>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</si>
  <si>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</si>
  <si>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</si>
  <si>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</si>
  <si>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</si>
  <si>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</si>
  <si>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开元壹号68地块防火门制作及安装工程合同结算审批表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</si>
  <si>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</si>
  <si>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</si>
  <si>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</si>
  <si>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</si>
  <si>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</si>
  <si>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</si>
  <si>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</si>
  <si>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</si>
  <si>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</si>
  <si>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开元壹号68地块防火门制作及安装工程合同结算汇总表</t>
  </si>
  <si>
    <t>第4页</t>
  </si>
  <si>
    <t>开元壹号68地块防火门制作及安装工程合同结算价明细汇总表</t>
  </si>
  <si>
    <t>第5页</t>
  </si>
  <si>
    <t>结算通知书（合同编号：KYYH.68-JA-070）</t>
  </si>
  <si>
    <t>第6页</t>
  </si>
  <si>
    <t>结算申请报告（合同编号：KYYH.68-JA-070）</t>
  </si>
  <si>
    <t>第7页</t>
  </si>
  <si>
    <t>结算资料核对确认表</t>
  </si>
  <si>
    <t>第8页</t>
  </si>
  <si>
    <t>工程验收单（合同编号：KYYH.68-JA-070）</t>
  </si>
  <si>
    <t>1份2页</t>
  </si>
  <si>
    <t>第9~10页</t>
  </si>
  <si>
    <t>授权委托书（合同编号：KYYH.68-JA-070）</t>
  </si>
  <si>
    <t>第11页</t>
  </si>
  <si>
    <t>工程往来账目明细（合同编号：KYYH.68-JA-070）</t>
  </si>
  <si>
    <t>第12页</t>
  </si>
  <si>
    <t>电费结清证明（合同编号：KYYH.68-JA-070）</t>
  </si>
  <si>
    <t>1份3页</t>
  </si>
  <si>
    <t>第13~15页</t>
  </si>
  <si>
    <t>开元壹号68地块防火门制作及安装工程合同量价确认单</t>
  </si>
  <si>
    <t>1份25页</t>
  </si>
  <si>
    <t>第16~37页</t>
  </si>
  <si>
    <t>签字版</t>
  </si>
  <si>
    <t>开元壹号68地块防火门制作及安装工程合同（含审批表）（合同编号：KYYH.68-JA-070）</t>
  </si>
  <si>
    <t>1份18页</t>
  </si>
  <si>
    <t>第38~55页</t>
  </si>
  <si>
    <t>复印件</t>
  </si>
  <si>
    <r>
      <t>开元壹号68地块防火门制作及安装工程合同扣款单</t>
    </r>
    <r>
      <rPr>
        <sz val="11"/>
        <color rgb="FF006100"/>
        <rFont val="宋体"/>
        <charset val="134"/>
      </rPr>
      <t>（编号：</t>
    </r>
    <r>
      <rPr>
        <sz val="11"/>
        <color rgb="FF006100"/>
        <rFont val="宋体"/>
        <charset val="134"/>
        <scheme val="minor"/>
      </rPr>
      <t>编号：KYYH.68-JA-082-051</t>
    </r>
    <r>
      <rPr>
        <sz val="11"/>
        <color rgb="FF006100"/>
        <rFont val="宋体"/>
        <charset val="134"/>
      </rPr>
      <t>、编号：</t>
    </r>
    <r>
      <rPr>
        <sz val="11"/>
        <color rgb="FF006100"/>
        <rFont val="宋体"/>
        <charset val="134"/>
        <scheme val="minor"/>
      </rPr>
      <t>G2020-02、编号：KYYH.68-JA-113-1、编号：KYYH.68-JA-113-3、编号：GC2020-002</t>
    </r>
    <r>
      <rPr>
        <sz val="11"/>
        <color rgb="FF006100"/>
        <rFont val="宋体"/>
        <charset val="134"/>
      </rPr>
      <t>）</t>
    </r>
  </si>
  <si>
    <t>5份19页</t>
  </si>
  <si>
    <t>第56~74页</t>
  </si>
  <si>
    <r>
      <t>开元壹号68地块防火门制作及安装工程合同签证单</t>
    </r>
    <r>
      <rPr>
        <sz val="11"/>
        <color rgb="FF006100"/>
        <rFont val="宋体"/>
        <charset val="134"/>
      </rPr>
      <t>（编号：</t>
    </r>
    <r>
      <rPr>
        <sz val="11"/>
        <color rgb="FF006100"/>
        <rFont val="宋体"/>
        <charset val="134"/>
        <scheme val="minor"/>
      </rPr>
      <t>KYYH.68-JA-070-001</t>
    </r>
    <r>
      <rPr>
        <sz val="11"/>
        <color rgb="FF006100"/>
        <rFont val="宋体"/>
        <charset val="134"/>
      </rPr>
      <t>）</t>
    </r>
  </si>
  <si>
    <t>1份7页</t>
  </si>
  <si>
    <t>第75~81页</t>
  </si>
  <si>
    <t>2020年11月30日供应商约谈记录</t>
  </si>
  <si>
    <t>第82页</t>
  </si>
  <si>
    <t>施工方报送的结算资料</t>
  </si>
  <si>
    <t>1份41页</t>
  </si>
  <si>
    <t>第83~123页</t>
  </si>
  <si>
    <t>现场勘察记录表</t>
  </si>
  <si>
    <t>第124~130页</t>
  </si>
  <si>
    <t>开元壹号68地块防火门制作及安装工程合同竣工图</t>
  </si>
  <si>
    <t>1份57页</t>
  </si>
  <si>
    <t>第130~186页</t>
  </si>
  <si>
    <t>造价师：</t>
  </si>
  <si>
    <t>日期：</t>
  </si>
  <si>
    <t>工程结算汇总表</t>
  </si>
  <si>
    <t>合同编号：KYYH.68-JA-070                          合同金额：2700000元</t>
  </si>
  <si>
    <t>合同名称：开元壹号68地块防火门制作及安装工程合同</t>
  </si>
  <si>
    <t>甲    方：洛阳浩德鑫置地有限公司</t>
  </si>
  <si>
    <t>乙    方：河南聚泰实业有限公司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</si>
  <si>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</si>
  <si>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</si>
  <si>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</si>
  <si>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</si>
  <si>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</si>
  <si>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</si>
  <si>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</si>
  <si>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</si>
  <si>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</si>
  <si>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</si>
  <si>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</si>
  <si>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</si>
  <si>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</si>
  <si>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</si>
  <si>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</si>
  <si>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</si>
  <si>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</si>
  <si>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</si>
  <si>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</si>
  <si>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</si>
  <si>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</si>
  <si>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</si>
  <si>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</si>
  <si>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</si>
  <si>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</si>
  <si>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</si>
  <si>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</si>
  <si>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</si>
  <si>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</si>
  <si>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</si>
  <si>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</si>
  <si>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</si>
  <si>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开元壹号68地块防火门制作及安装工程合同
结算价明细汇总表</t>
  </si>
  <si>
    <t>工程造价（元）</t>
  </si>
  <si>
    <t>合同内结算</t>
  </si>
  <si>
    <t>详见确认单</t>
  </si>
  <si>
    <t>34#-41#楼、幼儿园、开闭所及地下车库防火门</t>
  </si>
  <si>
    <t>详见签证单</t>
  </si>
  <si>
    <t>开元壹号35#楼负二层增储藏间门2樘，一期2-7#楼地车车库增一樘甲级防火门</t>
  </si>
  <si>
    <t>编号：KYYH.68-JA-070-001</t>
  </si>
  <si>
    <t>扣款</t>
  </si>
  <si>
    <t>详见扣款单</t>
  </si>
  <si>
    <t>开元壹号交房工程维修任务派发单及验收确认单（编号：KYYH.68-JA-082-051）</t>
  </si>
  <si>
    <t>开元壹号交房工程维修任务派发单及验收确认单（编号：G2020-02）</t>
  </si>
  <si>
    <t>开元壹号交房工程维修任务派发单及验收确认单（编号：KYYH.68-JA-113-1）</t>
  </si>
  <si>
    <t>开元壹号交房工程维修任务派发单及验收确认单（编号：KYYH.68-JA-113-3）</t>
  </si>
  <si>
    <t>开元壹号工程维修任务派发单（编号：GC2020-002）</t>
  </si>
  <si>
    <t>34#-37#及一期车库防火门门框版厚度、合页厚度不符合合同要求但满足国际规范，同意降级验收；合页、闭门器、顺序器无合同约定品牌标识，经双方协商扣款金额9.21万元</t>
  </si>
  <si>
    <t>合计</t>
  </si>
  <si>
    <t>本合同协商结算总价</t>
  </si>
  <si>
    <t>舍尾数金额800.40元</t>
  </si>
  <si>
    <t>开元壹号68地块防火门制作及安装工程造价汇总表(表1)</t>
  </si>
  <si>
    <t>项目</t>
  </si>
  <si>
    <t>面积（m2）</t>
  </si>
  <si>
    <t>综合单价
(元/m2)</t>
  </si>
  <si>
    <t>合价(元)</t>
  </si>
  <si>
    <t>34#</t>
  </si>
  <si>
    <t>35#</t>
  </si>
  <si>
    <t>36#</t>
  </si>
  <si>
    <t>37#</t>
  </si>
  <si>
    <t>38#</t>
  </si>
  <si>
    <t>39#</t>
  </si>
  <si>
    <t>40#</t>
  </si>
  <si>
    <t>41#</t>
  </si>
  <si>
    <t>幼儿园、开闭所</t>
  </si>
  <si>
    <t>车库</t>
  </si>
  <si>
    <t>户内避难间</t>
  </si>
  <si>
    <t>68地块34#楼防火门面积合计</t>
  </si>
  <si>
    <t>部位</t>
  </si>
  <si>
    <t>樘数（樘）</t>
  </si>
  <si>
    <t>单樘平均面积（m2)</t>
  </si>
  <si>
    <t>面积（m2)</t>
  </si>
  <si>
    <t>地下</t>
  </si>
  <si>
    <t>FM丙1218</t>
  </si>
  <si>
    <t>FM乙1021</t>
  </si>
  <si>
    <t>FM乙1221</t>
  </si>
  <si>
    <t>地上</t>
  </si>
  <si>
    <t>FM甲1221</t>
  </si>
  <si>
    <t>68#地块34#楼防火门单樘面积明细</t>
  </si>
  <si>
    <t>宽（mm)</t>
  </si>
  <si>
    <t>高（mm)</t>
  </si>
  <si>
    <t>东单元-2层</t>
  </si>
  <si>
    <t>东单元-1层</t>
  </si>
  <si>
    <t>西单元顶层</t>
  </si>
  <si>
    <t>东单元顶层</t>
  </si>
  <si>
    <t>东单元1层</t>
  </si>
  <si>
    <t>东单元2层</t>
  </si>
  <si>
    <t>东单元3层</t>
  </si>
  <si>
    <t>东单元33层</t>
  </si>
  <si>
    <t>68地块35#楼防火门面积合计</t>
  </si>
  <si>
    <t>FM丙1018</t>
  </si>
  <si>
    <t>68#地块35#楼防火门单樘面积明细</t>
  </si>
  <si>
    <t>68地块36#楼防火门面积合计</t>
  </si>
  <si>
    <t>含设计修改通知单[施建36A-G14]出屋面M1021改为FM乙1021</t>
  </si>
  <si>
    <t>68#地块36#楼防火门单樘面积明细</t>
  </si>
  <si>
    <t>68地块37#楼防火门面积合计</t>
  </si>
  <si>
    <t>FM丙1221</t>
  </si>
  <si>
    <t>68#地块37#楼防火门单樘面积明细</t>
  </si>
  <si>
    <t>东单元32层</t>
  </si>
  <si>
    <t>68地块38#楼防火门面积合计</t>
  </si>
  <si>
    <t>FM丙0918</t>
  </si>
  <si>
    <t>FM丙0818</t>
  </si>
  <si>
    <t>68#地块38#楼防火门单樘面积明细</t>
  </si>
  <si>
    <t>西单元-1层</t>
  </si>
  <si>
    <t>西单元-2层</t>
  </si>
  <si>
    <t>西单元1层</t>
  </si>
  <si>
    <t>西单元2层</t>
  </si>
  <si>
    <t>西单元3层</t>
  </si>
  <si>
    <t>西单元33层</t>
  </si>
  <si>
    <t>68地块39#楼防火门面积合计</t>
  </si>
  <si>
    <t>FM丙0718</t>
  </si>
  <si>
    <t>FM甲1021</t>
  </si>
  <si>
    <t>68#地块39#楼防火门单樘面积明细</t>
  </si>
  <si>
    <t>-1层</t>
  </si>
  <si>
    <t>-2层</t>
  </si>
  <si>
    <t>33层</t>
  </si>
  <si>
    <t>顶层</t>
  </si>
  <si>
    <t>68地块40#楼防火门面积合计</t>
  </si>
  <si>
    <t>68#地块40#楼防火门单樘面积明细</t>
  </si>
  <si>
    <t>68地块41#楼防火门面积合计</t>
  </si>
  <si>
    <t>68#地块41#楼防火门单樘面积明细</t>
  </si>
  <si>
    <t>68地块幼儿园、开闭所防火门面积合计</t>
  </si>
  <si>
    <t>宽（mm）</t>
  </si>
  <si>
    <t>高（mm）</t>
  </si>
  <si>
    <t>幼儿园</t>
  </si>
  <si>
    <t>FM丙1021</t>
  </si>
  <si>
    <t>FM乙1521</t>
  </si>
  <si>
    <t>开闭所</t>
  </si>
  <si>
    <t>FM甲1827</t>
  </si>
  <si>
    <t>68地块地下车库防火门面积合计</t>
  </si>
  <si>
    <t>-1F</t>
  </si>
  <si>
    <t>-2F</t>
  </si>
  <si>
    <t>68#地块户内避难间防火门面积合计</t>
  </si>
  <si>
    <t>34#-1-404、34#-2-301、35#1-3204、35#-2-2601、36#-1-201、36#-2-201、37#-1-3104、37#-2-2304</t>
  </si>
  <si>
    <t>68#地块户内避难间防火门单樘面积明细</t>
  </si>
  <si>
    <t>35#-2-2601</t>
  </si>
  <si>
    <t>37#-2-2304</t>
  </si>
</sst>
</file>

<file path=xl/styles.xml><?xml version="1.0" encoding="utf-8"?>
<styleSheet xmlns="http://schemas.openxmlformats.org/spreadsheetml/2006/main">
  <numFmts count="8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_ "/>
    <numFmt numFmtId="178" formatCode="0.00&quot;元&quot;"/>
    <numFmt numFmtId="179" formatCode="[DBNum2][$RMB]General;[Red][DBNum2][$RMB]General"/>
  </numFmts>
  <fonts count="48"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8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b/>
      <sz val="12"/>
      <name val="楷体_GB2312"/>
      <charset val="134"/>
    </font>
    <font>
      <b/>
      <sz val="10.5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sz val="10"/>
      <color rgb="FF008000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.5"/>
      <name val="楷体_GB2312"/>
      <charset val="134"/>
    </font>
    <font>
      <sz val="11"/>
      <color rgb="FF006100"/>
      <name val="宋体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14" borderId="2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" fillId="19" borderId="29" applyNumberFormat="0" applyFon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9" fillId="5" borderId="27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40" fillId="31" borderId="33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176" fontId="0" fillId="0" borderId="0" xfId="0" applyNumberFormat="1" applyFill="1" applyBorder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 wrapText="1"/>
    </xf>
    <xf numFmtId="0" fontId="0" fillId="0" borderId="6" xfId="0" applyFont="1" applyFill="1" applyBorder="1">
      <alignment vertical="center"/>
    </xf>
    <xf numFmtId="0" fontId="0" fillId="0" borderId="6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7" fontId="4" fillId="0" borderId="23" xfId="0" applyNumberFormat="1" applyFont="1" applyFill="1" applyBorder="1" applyAlignment="1">
      <alignment horizontal="center" vertical="center" wrapText="1"/>
    </xf>
    <xf numFmtId="0" fontId="0" fillId="0" borderId="9" xfId="0" applyFill="1" applyBorder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0" xfId="50" applyFont="1" applyAlignment="1">
      <alignment horizontal="center" vertical="center" wrapText="1"/>
    </xf>
    <xf numFmtId="0" fontId="4" fillId="0" borderId="0" xfId="50" applyFont="1" applyAlignment="1">
      <alignment horizontal="center" vertical="center"/>
    </xf>
    <xf numFmtId="0" fontId="0" fillId="0" borderId="5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 wrapText="1"/>
    </xf>
    <xf numFmtId="176" fontId="4" fillId="0" borderId="5" xfId="50" applyNumberFormat="1" applyFont="1" applyBorder="1" applyAlignment="1">
      <alignment horizontal="center" vertical="center" wrapText="1"/>
    </xf>
    <xf numFmtId="0" fontId="10" fillId="0" borderId="5" xfId="5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76" fontId="11" fillId="0" borderId="15" xfId="31" applyNumberFormat="1" applyFont="1" applyFill="1" applyBorder="1" applyAlignment="1">
      <alignment horizontal="center" vertical="center" wrapText="1"/>
    </xf>
    <xf numFmtId="0" fontId="12" fillId="0" borderId="5" xfId="50" applyFont="1" applyFill="1" applyBorder="1" applyAlignment="1">
      <alignment horizontal="center" vertical="center" wrapText="1"/>
    </xf>
    <xf numFmtId="176" fontId="4" fillId="0" borderId="5" xfId="50" applyNumberFormat="1" applyFont="1" applyBorder="1" applyAlignment="1">
      <alignment horizontal="center" vertical="center"/>
    </xf>
    <xf numFmtId="0" fontId="10" fillId="0" borderId="5" xfId="50" applyFont="1" applyFill="1" applyBorder="1" applyAlignment="1">
      <alignment horizontal="center" vertical="center"/>
    </xf>
    <xf numFmtId="0" fontId="10" fillId="0" borderId="5" xfId="50" applyFont="1" applyFill="1" applyBorder="1" applyAlignment="1">
      <alignment horizontal="center" vertical="center" wrapText="1"/>
    </xf>
    <xf numFmtId="0" fontId="11" fillId="0" borderId="15" xfId="31" applyFont="1" applyFill="1" applyBorder="1" applyAlignment="1">
      <alignment horizontal="center" vertical="center" wrapText="1"/>
    </xf>
    <xf numFmtId="0" fontId="10" fillId="0" borderId="5" xfId="50" applyFont="1" applyBorder="1" applyAlignment="1">
      <alignment horizontal="center" vertical="center" wrapText="1"/>
    </xf>
    <xf numFmtId="176" fontId="4" fillId="0" borderId="5" xfId="5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justify" vertical="center"/>
    </xf>
    <xf numFmtId="0" fontId="0" fillId="0" borderId="0" xfId="50">
      <alignment vertical="center"/>
    </xf>
    <xf numFmtId="0" fontId="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justify" vertical="center" wrapText="1"/>
    </xf>
    <xf numFmtId="176" fontId="16" fillId="0" borderId="5" xfId="0" applyNumberFormat="1" applyFont="1" applyFill="1" applyBorder="1" applyAlignment="1">
      <alignment horizontal="justify" vertical="center" wrapText="1"/>
    </xf>
    <xf numFmtId="177" fontId="16" fillId="0" borderId="5" xfId="0" applyNumberFormat="1" applyFont="1" applyFill="1" applyBorder="1" applyAlignment="1">
      <alignment horizontal="justify" vertical="center" wrapText="1"/>
    </xf>
    <xf numFmtId="178" fontId="16" fillId="0" borderId="5" xfId="0" applyNumberFormat="1" applyFont="1" applyFill="1" applyBorder="1" applyAlignment="1">
      <alignment horizontal="justify" vertical="center" wrapText="1"/>
    </xf>
    <xf numFmtId="179" fontId="16" fillId="0" borderId="5" xfId="0" applyNumberFormat="1" applyFont="1" applyFill="1" applyBorder="1" applyAlignment="1">
      <alignment horizontal="justify" vertical="center" wrapText="1"/>
    </xf>
    <xf numFmtId="0" fontId="17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18" fillId="0" borderId="16" xfId="3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9" fillId="0" borderId="1" xfId="31" applyFont="1" applyFill="1" applyBorder="1" applyAlignment="1">
      <alignment horizontal="center" vertical="center" wrapText="1"/>
    </xf>
    <xf numFmtId="0" fontId="19" fillId="0" borderId="2" xfId="31" applyFont="1" applyFill="1" applyBorder="1" applyAlignment="1">
      <alignment horizontal="center" vertical="center" wrapText="1"/>
    </xf>
    <xf numFmtId="0" fontId="19" fillId="0" borderId="3" xfId="31" applyFont="1" applyFill="1" applyBorder="1" applyAlignment="1">
      <alignment horizontal="center" vertical="center" wrapText="1"/>
    </xf>
    <xf numFmtId="0" fontId="19" fillId="0" borderId="24" xfId="31" applyFont="1" applyFill="1" applyBorder="1" applyAlignment="1">
      <alignment horizontal="center" vertical="center" wrapText="1"/>
    </xf>
    <xf numFmtId="0" fontId="19" fillId="0" borderId="15" xfId="31" applyFont="1" applyFill="1" applyBorder="1" applyAlignment="1">
      <alignment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justify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center" vertical="center" wrapText="1"/>
    </xf>
    <xf numFmtId="178" fontId="23" fillId="0" borderId="6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wrapText="1"/>
    </xf>
    <xf numFmtId="0" fontId="16" fillId="0" borderId="6" xfId="0" applyNumberFormat="1" applyFont="1" applyFill="1" applyBorder="1" applyAlignment="1">
      <alignment horizontal="left" wrapText="1"/>
    </xf>
    <xf numFmtId="0" fontId="24" fillId="0" borderId="5" xfId="0" applyNumberFormat="1" applyFont="1" applyFill="1" applyBorder="1" applyAlignment="1">
      <alignment horizontal="left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NumberFormat="1" applyFont="1" applyFill="1" applyBorder="1" applyAlignment="1">
      <alignment horizontal="left" wrapText="1"/>
    </xf>
    <xf numFmtId="0" fontId="16" fillId="0" borderId="9" xfId="0" applyNumberFormat="1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13" xfId="0" applyBorder="1">
      <alignment vertical="center"/>
    </xf>
    <xf numFmtId="0" fontId="0" fillId="2" borderId="5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0" xfId="0" applyFill="1">
      <alignment vertical="center"/>
    </xf>
    <xf numFmtId="0" fontId="0" fillId="0" borderId="10" xfId="0" applyBorder="1">
      <alignment vertical="center"/>
    </xf>
    <xf numFmtId="0" fontId="0" fillId="3" borderId="10" xfId="0" applyFill="1" applyBorder="1">
      <alignment vertical="center"/>
    </xf>
    <xf numFmtId="0" fontId="0" fillId="0" borderId="25" xfId="0" applyBorder="1">
      <alignment vertical="center"/>
    </xf>
    <xf numFmtId="0" fontId="0" fillId="3" borderId="14" xfId="0" applyFill="1" applyBorder="1">
      <alignment vertical="center"/>
    </xf>
    <xf numFmtId="0" fontId="0" fillId="0" borderId="14" xfId="0" applyBorder="1">
      <alignment vertical="center"/>
    </xf>
    <xf numFmtId="0" fontId="3" fillId="0" borderId="6" xfId="0" applyFont="1" applyFill="1" applyBorder="1" applyAlignment="1" quotePrefix="1">
      <alignment horizontal="center" vertical="center"/>
    </xf>
    <xf numFmtId="0" fontId="0" fillId="0" borderId="5" xfId="0" applyFill="1" applyBorder="1" applyAlignment="1" quotePrefix="1">
      <alignment horizontal="center" vertical="center" wrapText="1"/>
    </xf>
    <xf numFmtId="49" fontId="0" fillId="0" borderId="5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</cellStyles>
  <tableStyles count="0" defaultTableStyle="TableStyleMedium9" defaultPivotStyle="PivotStyleLight16"/>
  <colors>
    <mruColors>
      <color rgb="007F9698"/>
      <color rgb="00009698"/>
      <color rgb="00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</row>
    <row r="2" spans="1:28">
      <c r="A2" s="166" t="s">
        <v>1</v>
      </c>
      <c r="B2" s="166" t="s">
        <v>2</v>
      </c>
      <c r="C2" s="166" t="s">
        <v>3</v>
      </c>
      <c r="D2" s="166" t="s">
        <v>4</v>
      </c>
      <c r="E2" s="166" t="s">
        <v>5</v>
      </c>
      <c r="F2" s="166" t="s">
        <v>6</v>
      </c>
      <c r="G2" s="166" t="s">
        <v>7</v>
      </c>
      <c r="H2" s="166" t="s">
        <v>8</v>
      </c>
      <c r="I2" s="166" t="s">
        <v>9</v>
      </c>
      <c r="J2" s="166" t="s">
        <v>10</v>
      </c>
      <c r="K2" s="166" t="s">
        <v>11</v>
      </c>
      <c r="L2" s="166" t="s">
        <v>12</v>
      </c>
      <c r="M2" s="166" t="s">
        <v>13</v>
      </c>
      <c r="N2" s="166" t="s">
        <v>14</v>
      </c>
      <c r="O2" s="166" t="s">
        <v>15</v>
      </c>
      <c r="P2" s="166" t="s">
        <v>16</v>
      </c>
      <c r="Q2" s="166" t="s">
        <v>17</v>
      </c>
      <c r="R2" s="166" t="s">
        <v>18</v>
      </c>
      <c r="S2" s="166" t="s">
        <v>19</v>
      </c>
      <c r="T2" s="166" t="s">
        <v>20</v>
      </c>
      <c r="U2" s="166" t="s">
        <v>21</v>
      </c>
      <c r="V2" s="166" t="s">
        <v>22</v>
      </c>
      <c r="W2" s="166" t="s">
        <v>23</v>
      </c>
      <c r="X2" s="166" t="s">
        <v>24</v>
      </c>
      <c r="Y2" s="166" t="s">
        <v>25</v>
      </c>
      <c r="Z2" s="166" t="s">
        <v>26</v>
      </c>
      <c r="AA2" s="166" t="s">
        <v>27</v>
      </c>
      <c r="AB2" s="166" t="s">
        <v>28</v>
      </c>
    </row>
    <row r="3" spans="1:28">
      <c r="A3" s="166" t="s">
        <v>29</v>
      </c>
      <c r="B3" s="166" t="s">
        <v>30</v>
      </c>
      <c r="C3" s="166"/>
      <c r="D3" s="166"/>
      <c r="E3" s="166"/>
      <c r="F3" s="166"/>
      <c r="G3" s="166">
        <v>1</v>
      </c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>
        <f>SUM(E3:AA3)</f>
        <v>1</v>
      </c>
    </row>
    <row r="4" spans="1:28">
      <c r="A4" s="166" t="s">
        <v>31</v>
      </c>
      <c r="B4" s="166" t="s">
        <v>32</v>
      </c>
      <c r="C4" s="166"/>
      <c r="D4" s="166"/>
      <c r="E4" s="166">
        <v>1</v>
      </c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>
        <f t="shared" ref="AB4:AB67" si="0">SUM(E4:AA4)</f>
        <v>1</v>
      </c>
    </row>
    <row r="5" spans="1:28">
      <c r="A5" s="166" t="s">
        <v>33</v>
      </c>
      <c r="B5" s="166" t="s">
        <v>34</v>
      </c>
      <c r="C5" s="166"/>
      <c r="D5" s="166"/>
      <c r="E5" s="166">
        <v>1</v>
      </c>
      <c r="F5" s="166">
        <v>1</v>
      </c>
      <c r="G5" s="166">
        <v>1</v>
      </c>
      <c r="H5" s="166">
        <v>2</v>
      </c>
      <c r="I5" s="166">
        <v>2</v>
      </c>
      <c r="J5" s="166">
        <v>2</v>
      </c>
      <c r="K5" s="166">
        <v>2</v>
      </c>
      <c r="L5" s="166">
        <v>2</v>
      </c>
      <c r="M5" s="166">
        <v>2</v>
      </c>
      <c r="N5" s="166">
        <v>2</v>
      </c>
      <c r="O5" s="166">
        <v>2</v>
      </c>
      <c r="P5" s="166">
        <v>2</v>
      </c>
      <c r="Q5" s="166">
        <v>2</v>
      </c>
      <c r="R5" s="166">
        <v>2</v>
      </c>
      <c r="S5" s="166">
        <v>2</v>
      </c>
      <c r="T5" s="166">
        <v>2</v>
      </c>
      <c r="U5" s="166">
        <v>2</v>
      </c>
      <c r="V5" s="166">
        <v>2</v>
      </c>
      <c r="W5" s="166">
        <v>2</v>
      </c>
      <c r="X5" s="166">
        <v>2</v>
      </c>
      <c r="Y5" s="166">
        <v>2</v>
      </c>
      <c r="Z5" s="166">
        <v>2</v>
      </c>
      <c r="AA5" s="166">
        <v>1</v>
      </c>
      <c r="AB5" s="166">
        <f t="shared" si="0"/>
        <v>42</v>
      </c>
    </row>
    <row r="6" spans="1:28">
      <c r="A6" s="166" t="s">
        <v>35</v>
      </c>
      <c r="B6" s="166" t="s">
        <v>36</v>
      </c>
      <c r="C6" s="166"/>
      <c r="D6" s="166"/>
      <c r="E6" s="166">
        <v>1</v>
      </c>
      <c r="F6" s="166">
        <v>1</v>
      </c>
      <c r="G6" s="166">
        <v>1</v>
      </c>
      <c r="H6" s="166"/>
      <c r="I6" s="166">
        <v>1</v>
      </c>
      <c r="J6" s="166">
        <v>1</v>
      </c>
      <c r="K6" s="166">
        <v>1</v>
      </c>
      <c r="L6" s="166">
        <v>1</v>
      </c>
      <c r="M6" s="166">
        <v>1</v>
      </c>
      <c r="N6" s="166">
        <v>1</v>
      </c>
      <c r="O6" s="166">
        <v>1</v>
      </c>
      <c r="P6" s="166">
        <v>1</v>
      </c>
      <c r="Q6" s="166">
        <v>1</v>
      </c>
      <c r="R6" s="166">
        <v>1</v>
      </c>
      <c r="S6" s="166">
        <v>1</v>
      </c>
      <c r="T6" s="166">
        <v>1</v>
      </c>
      <c r="U6" s="166">
        <v>1</v>
      </c>
      <c r="V6" s="166">
        <v>1</v>
      </c>
      <c r="W6" s="166">
        <v>1</v>
      </c>
      <c r="X6" s="166">
        <v>1</v>
      </c>
      <c r="Y6" s="166">
        <v>1</v>
      </c>
      <c r="Z6" s="166">
        <v>1</v>
      </c>
      <c r="AA6" s="166"/>
      <c r="AB6" s="166">
        <f t="shared" si="0"/>
        <v>21</v>
      </c>
    </row>
    <row r="7" spans="1:28">
      <c r="A7" s="166" t="s">
        <v>37</v>
      </c>
      <c r="B7" s="166" t="s">
        <v>38</v>
      </c>
      <c r="C7" s="166"/>
      <c r="D7" s="166"/>
      <c r="E7" s="166">
        <v>1</v>
      </c>
      <c r="F7" s="166">
        <v>1</v>
      </c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>
        <f t="shared" si="0"/>
        <v>2</v>
      </c>
    </row>
    <row r="8" spans="1:28">
      <c r="A8" s="166" t="s">
        <v>39</v>
      </c>
      <c r="B8" s="166" t="s">
        <v>40</v>
      </c>
      <c r="C8" s="166"/>
      <c r="D8" s="166"/>
      <c r="E8" s="166">
        <v>1</v>
      </c>
      <c r="F8" s="166"/>
      <c r="G8" s="166">
        <v>4</v>
      </c>
      <c r="H8" s="166">
        <v>2</v>
      </c>
      <c r="I8" s="166">
        <v>2</v>
      </c>
      <c r="J8" s="166">
        <v>2</v>
      </c>
      <c r="K8" s="166">
        <v>2</v>
      </c>
      <c r="L8" s="166">
        <v>2</v>
      </c>
      <c r="M8" s="166">
        <v>2</v>
      </c>
      <c r="N8" s="166">
        <v>2</v>
      </c>
      <c r="O8" s="166">
        <v>2</v>
      </c>
      <c r="P8" s="166">
        <v>2</v>
      </c>
      <c r="Q8" s="166">
        <v>2</v>
      </c>
      <c r="R8" s="166">
        <v>2</v>
      </c>
      <c r="S8" s="166">
        <v>2</v>
      </c>
      <c r="T8" s="166">
        <v>2</v>
      </c>
      <c r="U8" s="166">
        <v>2</v>
      </c>
      <c r="V8" s="166">
        <v>2</v>
      </c>
      <c r="W8" s="166">
        <v>2</v>
      </c>
      <c r="X8" s="166">
        <v>2</v>
      </c>
      <c r="Y8" s="166">
        <v>2</v>
      </c>
      <c r="Z8" s="166">
        <v>2</v>
      </c>
      <c r="AA8" s="166"/>
      <c r="AB8" s="166">
        <f t="shared" si="0"/>
        <v>43</v>
      </c>
    </row>
    <row r="9" spans="1:28">
      <c r="A9" s="166" t="s">
        <v>41</v>
      </c>
      <c r="B9" s="166" t="s">
        <v>42</v>
      </c>
      <c r="C9" s="166"/>
      <c r="D9" s="166"/>
      <c r="E9" s="166"/>
      <c r="F9" s="166">
        <v>1</v>
      </c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>
        <f t="shared" si="0"/>
        <v>1</v>
      </c>
    </row>
    <row r="10" spans="1:28">
      <c r="A10" s="166" t="s">
        <v>43</v>
      </c>
      <c r="B10" s="166" t="s">
        <v>44</v>
      </c>
      <c r="C10" s="166"/>
      <c r="D10" s="166"/>
      <c r="E10" s="166"/>
      <c r="F10" s="166">
        <v>2</v>
      </c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>
        <f t="shared" si="0"/>
        <v>2</v>
      </c>
    </row>
    <row r="11" spans="1:28">
      <c r="A11" s="166" t="s">
        <v>45</v>
      </c>
      <c r="B11" s="166" t="s">
        <v>46</v>
      </c>
      <c r="C11" s="166"/>
      <c r="D11" s="166"/>
      <c r="E11" s="166"/>
      <c r="F11" s="166">
        <v>2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>
        <f t="shared" si="0"/>
        <v>2</v>
      </c>
    </row>
    <row r="12" spans="1:28">
      <c r="A12" s="166" t="s">
        <v>47</v>
      </c>
      <c r="B12" s="166" t="s">
        <v>48</v>
      </c>
      <c r="C12" s="166"/>
      <c r="D12" s="166"/>
      <c r="E12" s="166"/>
      <c r="F12" s="166">
        <v>4</v>
      </c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>
        <f t="shared" si="0"/>
        <v>4</v>
      </c>
    </row>
    <row r="13" spans="1:28">
      <c r="A13" s="166" t="s">
        <v>49</v>
      </c>
      <c r="B13" s="166" t="s">
        <v>50</v>
      </c>
      <c r="C13" s="166"/>
      <c r="D13" s="166"/>
      <c r="E13" s="166"/>
      <c r="F13" s="166">
        <v>1</v>
      </c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>
        <f t="shared" si="0"/>
        <v>1</v>
      </c>
    </row>
    <row r="14" spans="1:28">
      <c r="A14" s="166" t="s">
        <v>51</v>
      </c>
      <c r="B14" s="166" t="s">
        <v>52</v>
      </c>
      <c r="C14" s="166"/>
      <c r="D14" s="166"/>
      <c r="E14" s="166"/>
      <c r="F14" s="166">
        <v>1</v>
      </c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>
        <f t="shared" si="0"/>
        <v>1</v>
      </c>
    </row>
    <row r="15" spans="1:28">
      <c r="A15" s="166" t="s">
        <v>53</v>
      </c>
      <c r="B15" s="166" t="s">
        <v>54</v>
      </c>
      <c r="C15" s="166"/>
      <c r="D15" s="166"/>
      <c r="E15" s="166"/>
      <c r="F15" s="166">
        <v>1</v>
      </c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>
        <f t="shared" si="0"/>
        <v>1</v>
      </c>
    </row>
    <row r="16" spans="1:28">
      <c r="A16" s="166" t="s">
        <v>55</v>
      </c>
      <c r="B16" s="166" t="s">
        <v>56</v>
      </c>
      <c r="C16" s="166"/>
      <c r="D16" s="166"/>
      <c r="E16" s="166"/>
      <c r="F16" s="166">
        <v>1</v>
      </c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>
        <f t="shared" si="0"/>
        <v>1</v>
      </c>
    </row>
    <row r="17" spans="1:28">
      <c r="A17" s="166" t="s">
        <v>57</v>
      </c>
      <c r="B17" s="166" t="s">
        <v>58</v>
      </c>
      <c r="C17" s="166"/>
      <c r="D17" s="166"/>
      <c r="E17" s="166"/>
      <c r="F17" s="166">
        <v>2</v>
      </c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>
        <f t="shared" si="0"/>
        <v>2</v>
      </c>
    </row>
    <row r="18" spans="1:28">
      <c r="A18" s="166" t="s">
        <v>59</v>
      </c>
      <c r="B18" s="166" t="s">
        <v>60</v>
      </c>
      <c r="C18" s="166"/>
      <c r="D18" s="166"/>
      <c r="E18" s="166"/>
      <c r="F18" s="166">
        <v>1</v>
      </c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>
        <f t="shared" si="0"/>
        <v>1</v>
      </c>
    </row>
    <row r="19" spans="1:28">
      <c r="A19" s="166" t="s">
        <v>61</v>
      </c>
      <c r="B19" s="166" t="s">
        <v>62</v>
      </c>
      <c r="C19" s="166"/>
      <c r="D19" s="166"/>
      <c r="E19" s="166"/>
      <c r="F19" s="166">
        <v>1</v>
      </c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>
        <f t="shared" si="0"/>
        <v>1</v>
      </c>
    </row>
    <row r="20" spans="1:28">
      <c r="A20" s="166" t="s">
        <v>63</v>
      </c>
      <c r="B20" s="166" t="s">
        <v>64</v>
      </c>
      <c r="C20" s="166"/>
      <c r="D20" s="166"/>
      <c r="E20" s="166"/>
      <c r="F20" s="166">
        <v>1</v>
      </c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>
        <f t="shared" si="0"/>
        <v>1</v>
      </c>
    </row>
    <row r="21" spans="1:28">
      <c r="A21" s="166" t="s">
        <v>65</v>
      </c>
      <c r="B21" s="166" t="s">
        <v>66</v>
      </c>
      <c r="C21" s="166"/>
      <c r="D21" s="166"/>
      <c r="E21" s="166"/>
      <c r="F21" s="166">
        <v>7</v>
      </c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>
        <f t="shared" si="0"/>
        <v>7</v>
      </c>
    </row>
    <row r="22" spans="1:28">
      <c r="A22" s="166" t="s">
        <v>67</v>
      </c>
      <c r="B22" s="166" t="s">
        <v>68</v>
      </c>
      <c r="C22" s="166"/>
      <c r="D22" s="166"/>
      <c r="E22" s="166"/>
      <c r="F22" s="166">
        <v>1</v>
      </c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>
        <f t="shared" si="0"/>
        <v>1</v>
      </c>
    </row>
    <row r="23" spans="1:28">
      <c r="A23" s="166" t="s">
        <v>69</v>
      </c>
      <c r="B23" s="166" t="s">
        <v>70</v>
      </c>
      <c r="C23" s="166"/>
      <c r="D23" s="166"/>
      <c r="E23" s="166"/>
      <c r="F23" s="166">
        <v>6</v>
      </c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>
        <f t="shared" si="0"/>
        <v>6</v>
      </c>
    </row>
    <row r="24" spans="1:28">
      <c r="A24" s="166" t="s">
        <v>71</v>
      </c>
      <c r="B24" s="166" t="s">
        <v>72</v>
      </c>
      <c r="C24" s="166"/>
      <c r="D24" s="166"/>
      <c r="E24" s="166"/>
      <c r="F24" s="166">
        <v>4</v>
      </c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>
        <f t="shared" si="0"/>
        <v>4</v>
      </c>
    </row>
    <row r="25" spans="1:28">
      <c r="A25" s="166" t="s">
        <v>73</v>
      </c>
      <c r="B25" s="166" t="s">
        <v>74</v>
      </c>
      <c r="C25" s="166"/>
      <c r="D25" s="166"/>
      <c r="E25" s="166"/>
      <c r="F25" s="166">
        <v>1</v>
      </c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>
        <f t="shared" si="0"/>
        <v>1</v>
      </c>
    </row>
    <row r="26" spans="1:28">
      <c r="A26" s="166" t="s">
        <v>75</v>
      </c>
      <c r="B26" s="166" t="s">
        <v>76</v>
      </c>
      <c r="C26" s="166"/>
      <c r="D26" s="166"/>
      <c r="E26" s="166"/>
      <c r="F26" s="166">
        <v>1</v>
      </c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>
        <f t="shared" si="0"/>
        <v>1</v>
      </c>
    </row>
    <row r="27" spans="1:28">
      <c r="A27" s="166" t="s">
        <v>77</v>
      </c>
      <c r="B27" s="166" t="s">
        <v>78</v>
      </c>
      <c r="C27" s="166"/>
      <c r="D27" s="166"/>
      <c r="E27" s="166"/>
      <c r="F27" s="166">
        <v>1</v>
      </c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>
        <f t="shared" si="0"/>
        <v>1</v>
      </c>
    </row>
    <row r="28" spans="1:28">
      <c r="A28" s="166" t="s">
        <v>79</v>
      </c>
      <c r="B28" s="166" t="s">
        <v>80</v>
      </c>
      <c r="C28" s="166"/>
      <c r="D28" s="166"/>
      <c r="E28" s="166"/>
      <c r="F28" s="166">
        <v>1</v>
      </c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>
        <f t="shared" si="0"/>
        <v>1</v>
      </c>
    </row>
    <row r="29" spans="1:28">
      <c r="A29" s="166" t="s">
        <v>81</v>
      </c>
      <c r="B29" s="166" t="s">
        <v>82</v>
      </c>
      <c r="C29" s="166"/>
      <c r="D29" s="166"/>
      <c r="E29" s="166"/>
      <c r="F29" s="166">
        <v>1</v>
      </c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>
        <f t="shared" si="0"/>
        <v>1</v>
      </c>
    </row>
    <row r="30" spans="1:28">
      <c r="A30" s="166" t="s">
        <v>83</v>
      </c>
      <c r="B30" s="166" t="s">
        <v>84</v>
      </c>
      <c r="C30" s="166"/>
      <c r="D30" s="166"/>
      <c r="E30" s="166"/>
      <c r="F30" s="166">
        <v>1</v>
      </c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>
        <f t="shared" si="0"/>
        <v>1</v>
      </c>
    </row>
    <row r="31" spans="1:28">
      <c r="A31" s="166" t="s">
        <v>85</v>
      </c>
      <c r="B31" s="166" t="s">
        <v>86</v>
      </c>
      <c r="C31" s="166"/>
      <c r="D31" s="166"/>
      <c r="E31" s="166"/>
      <c r="F31" s="166">
        <v>1</v>
      </c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>
        <f t="shared" si="0"/>
        <v>1</v>
      </c>
    </row>
    <row r="32" spans="1:28">
      <c r="A32" s="166" t="s">
        <v>87</v>
      </c>
      <c r="B32" s="166" t="s">
        <v>88</v>
      </c>
      <c r="C32" s="166"/>
      <c r="D32" s="166"/>
      <c r="E32" s="166"/>
      <c r="F32" s="166"/>
      <c r="G32" s="166">
        <v>2</v>
      </c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>
        <f t="shared" si="0"/>
        <v>2</v>
      </c>
    </row>
    <row r="33" spans="1:28">
      <c r="A33" s="166" t="s">
        <v>89</v>
      </c>
      <c r="B33" s="166" t="s">
        <v>90</v>
      </c>
      <c r="C33" s="166"/>
      <c r="D33" s="166"/>
      <c r="E33" s="166"/>
      <c r="F33" s="166"/>
      <c r="G33" s="166">
        <v>3</v>
      </c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>
        <f t="shared" si="0"/>
        <v>3</v>
      </c>
    </row>
    <row r="34" spans="1:28">
      <c r="A34" s="166" t="s">
        <v>91</v>
      </c>
      <c r="B34" s="166" t="s">
        <v>92</v>
      </c>
      <c r="C34" s="166"/>
      <c r="D34" s="166"/>
      <c r="E34" s="166"/>
      <c r="F34" s="166"/>
      <c r="G34" s="166">
        <v>1</v>
      </c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>
        <f t="shared" si="0"/>
        <v>1</v>
      </c>
    </row>
    <row r="35" spans="1:28">
      <c r="A35" s="166" t="s">
        <v>93</v>
      </c>
      <c r="B35" s="166" t="s">
        <v>94</v>
      </c>
      <c r="C35" s="166"/>
      <c r="D35" s="166"/>
      <c r="E35" s="166"/>
      <c r="F35" s="166"/>
      <c r="G35" s="166">
        <v>1</v>
      </c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>
        <f t="shared" si="0"/>
        <v>1</v>
      </c>
    </row>
    <row r="36" spans="1:28">
      <c r="A36" s="166" t="s">
        <v>95</v>
      </c>
      <c r="B36" s="166" t="s">
        <v>96</v>
      </c>
      <c r="C36" s="166"/>
      <c r="D36" s="166"/>
      <c r="E36" s="166"/>
      <c r="F36" s="166"/>
      <c r="G36" s="166">
        <v>1</v>
      </c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>
        <f t="shared" si="0"/>
        <v>1</v>
      </c>
    </row>
    <row r="37" spans="1:28">
      <c r="A37" s="166" t="s">
        <v>97</v>
      </c>
      <c r="B37" s="166" t="s">
        <v>98</v>
      </c>
      <c r="C37" s="166"/>
      <c r="D37" s="166"/>
      <c r="E37" s="166"/>
      <c r="F37" s="166"/>
      <c r="G37" s="166">
        <v>1</v>
      </c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>
        <f t="shared" si="0"/>
        <v>1</v>
      </c>
    </row>
    <row r="38" spans="1:28">
      <c r="A38" s="166" t="s">
        <v>99</v>
      </c>
      <c r="B38" s="166" t="s">
        <v>100</v>
      </c>
      <c r="C38" s="166"/>
      <c r="D38" s="166"/>
      <c r="E38" s="166"/>
      <c r="F38" s="166"/>
      <c r="G38" s="166">
        <v>1</v>
      </c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>
        <f t="shared" si="0"/>
        <v>1</v>
      </c>
    </row>
    <row r="39" spans="1:28">
      <c r="A39" s="166" t="s">
        <v>101</v>
      </c>
      <c r="B39" s="166" t="s">
        <v>102</v>
      </c>
      <c r="C39" s="166"/>
      <c r="D39" s="166"/>
      <c r="E39" s="166"/>
      <c r="F39" s="166"/>
      <c r="G39" s="166">
        <v>1</v>
      </c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>
        <f t="shared" si="0"/>
        <v>1</v>
      </c>
    </row>
    <row r="40" spans="1:28">
      <c r="A40" s="166" t="s">
        <v>103</v>
      </c>
      <c r="B40" s="166" t="s">
        <v>104</v>
      </c>
      <c r="C40" s="166"/>
      <c r="D40" s="166"/>
      <c r="E40" s="166"/>
      <c r="F40" s="166"/>
      <c r="G40" s="166">
        <v>1</v>
      </c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>
        <f t="shared" si="0"/>
        <v>1</v>
      </c>
    </row>
    <row r="41" spans="1:28">
      <c r="A41" s="166" t="s">
        <v>105</v>
      </c>
      <c r="B41" s="166" t="s">
        <v>106</v>
      </c>
      <c r="C41" s="166"/>
      <c r="D41" s="166"/>
      <c r="E41" s="166"/>
      <c r="F41" s="166"/>
      <c r="G41" s="166">
        <v>1</v>
      </c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>
        <f t="shared" si="0"/>
        <v>1</v>
      </c>
    </row>
    <row r="42" spans="1:28">
      <c r="A42" s="166" t="s">
        <v>107</v>
      </c>
      <c r="B42" s="166" t="s">
        <v>108</v>
      </c>
      <c r="C42" s="166"/>
      <c r="D42" s="166"/>
      <c r="E42" s="166"/>
      <c r="F42" s="166"/>
      <c r="G42" s="166">
        <v>1</v>
      </c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>
        <f t="shared" si="0"/>
        <v>1</v>
      </c>
    </row>
    <row r="43" spans="1:28">
      <c r="A43" s="166" t="s">
        <v>109</v>
      </c>
      <c r="B43" s="166" t="s">
        <v>110</v>
      </c>
      <c r="C43" s="166"/>
      <c r="D43" s="166"/>
      <c r="E43" s="166"/>
      <c r="F43" s="166"/>
      <c r="G43" s="166">
        <v>1</v>
      </c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>
        <f t="shared" si="0"/>
        <v>1</v>
      </c>
    </row>
    <row r="44" spans="1:28">
      <c r="A44" s="166" t="s">
        <v>111</v>
      </c>
      <c r="B44" s="166" t="s">
        <v>112</v>
      </c>
      <c r="C44" s="166"/>
      <c r="D44" s="166"/>
      <c r="E44" s="166"/>
      <c r="F44" s="166"/>
      <c r="G44" s="166">
        <v>1</v>
      </c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>
        <f t="shared" si="0"/>
        <v>1</v>
      </c>
    </row>
    <row r="45" spans="1:28">
      <c r="A45" s="166" t="s">
        <v>113</v>
      </c>
      <c r="B45" s="166" t="s">
        <v>114</v>
      </c>
      <c r="C45" s="166"/>
      <c r="D45" s="166"/>
      <c r="E45" s="166"/>
      <c r="F45" s="166"/>
      <c r="G45" s="166">
        <v>6</v>
      </c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>
        <f t="shared" si="0"/>
        <v>6</v>
      </c>
    </row>
    <row r="46" spans="1:28">
      <c r="A46" s="166" t="s">
        <v>115</v>
      </c>
      <c r="B46" s="166" t="s">
        <v>116</v>
      </c>
      <c r="C46" s="166"/>
      <c r="D46" s="166"/>
      <c r="E46" s="166"/>
      <c r="F46" s="166"/>
      <c r="G46" s="166">
        <v>1</v>
      </c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>
        <f t="shared" si="0"/>
        <v>1</v>
      </c>
    </row>
    <row r="47" spans="1:28">
      <c r="A47" s="166" t="s">
        <v>117</v>
      </c>
      <c r="B47" s="168" t="s">
        <v>118</v>
      </c>
      <c r="C47" s="166"/>
      <c r="D47" s="166"/>
      <c r="E47" s="166"/>
      <c r="F47" s="166"/>
      <c r="G47" s="166">
        <v>1</v>
      </c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>
        <f t="shared" si="0"/>
        <v>1</v>
      </c>
    </row>
    <row r="48" spans="1:28">
      <c r="A48" s="166" t="s">
        <v>119</v>
      </c>
      <c r="B48" s="166" t="s">
        <v>120</v>
      </c>
      <c r="C48" s="166"/>
      <c r="D48" s="166"/>
      <c r="E48" s="166"/>
      <c r="F48" s="166"/>
      <c r="G48" s="166">
        <v>4</v>
      </c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>
        <f t="shared" si="0"/>
        <v>4</v>
      </c>
    </row>
    <row r="49" spans="1:28">
      <c r="A49" s="166" t="s">
        <v>121</v>
      </c>
      <c r="B49" s="166" t="s">
        <v>122</v>
      </c>
      <c r="C49" s="166"/>
      <c r="D49" s="166"/>
      <c r="E49" s="166"/>
      <c r="F49" s="166"/>
      <c r="G49" s="166">
        <v>1</v>
      </c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>
        <f t="shared" si="0"/>
        <v>1</v>
      </c>
    </row>
    <row r="50" spans="1:28">
      <c r="A50" s="166" t="s">
        <v>123</v>
      </c>
      <c r="B50" s="166" t="s">
        <v>124</v>
      </c>
      <c r="C50" s="166"/>
      <c r="D50" s="166"/>
      <c r="E50" s="166"/>
      <c r="F50" s="166"/>
      <c r="G50" s="166">
        <v>1</v>
      </c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>
        <f t="shared" si="0"/>
        <v>1</v>
      </c>
    </row>
    <row r="51" spans="1:28">
      <c r="A51" s="166" t="s">
        <v>125</v>
      </c>
      <c r="B51" s="166" t="s">
        <v>126</v>
      </c>
      <c r="C51" s="166"/>
      <c r="D51" s="166"/>
      <c r="E51" s="166"/>
      <c r="F51" s="166"/>
      <c r="G51" s="166">
        <v>1</v>
      </c>
      <c r="H51" s="166">
        <v>2</v>
      </c>
      <c r="I51" s="166">
        <v>2</v>
      </c>
      <c r="J51" s="166">
        <v>2</v>
      </c>
      <c r="K51" s="166">
        <v>2</v>
      </c>
      <c r="L51" s="166">
        <v>2</v>
      </c>
      <c r="M51" s="166">
        <v>2</v>
      </c>
      <c r="N51" s="166">
        <v>2</v>
      </c>
      <c r="O51" s="166">
        <v>2</v>
      </c>
      <c r="P51" s="166">
        <v>2</v>
      </c>
      <c r="Q51" s="166">
        <v>2</v>
      </c>
      <c r="R51" s="166">
        <v>2</v>
      </c>
      <c r="S51" s="166">
        <v>2</v>
      </c>
      <c r="T51" s="166">
        <v>2</v>
      </c>
      <c r="U51" s="166">
        <v>2</v>
      </c>
      <c r="V51" s="166">
        <v>2</v>
      </c>
      <c r="W51" s="166">
        <v>2</v>
      </c>
      <c r="X51" s="166">
        <v>2</v>
      </c>
      <c r="Y51" s="166">
        <v>2</v>
      </c>
      <c r="Z51" s="166">
        <v>2</v>
      </c>
      <c r="AA51" s="166">
        <v>2</v>
      </c>
      <c r="AB51" s="166">
        <f t="shared" si="0"/>
        <v>41</v>
      </c>
    </row>
    <row r="52" spans="1:28">
      <c r="A52" s="166" t="s">
        <v>127</v>
      </c>
      <c r="B52" s="166" t="s">
        <v>128</v>
      </c>
      <c r="C52" s="166"/>
      <c r="D52" s="166"/>
      <c r="E52" s="166"/>
      <c r="F52" s="166"/>
      <c r="G52" s="166">
        <v>1</v>
      </c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>
        <f t="shared" si="0"/>
        <v>1</v>
      </c>
    </row>
    <row r="53" spans="1:28">
      <c r="A53" s="166" t="s">
        <v>129</v>
      </c>
      <c r="B53" s="166" t="s">
        <v>130</v>
      </c>
      <c r="C53" s="166"/>
      <c r="D53" s="166"/>
      <c r="E53" s="166"/>
      <c r="F53" s="166"/>
      <c r="G53" s="166">
        <v>1</v>
      </c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>
        <f t="shared" si="0"/>
        <v>1</v>
      </c>
    </row>
    <row r="54" spans="1:28">
      <c r="A54" s="166" t="s">
        <v>131</v>
      </c>
      <c r="B54" s="166" t="s">
        <v>132</v>
      </c>
      <c r="C54" s="166"/>
      <c r="D54" s="166"/>
      <c r="E54" s="166"/>
      <c r="F54" s="166"/>
      <c r="G54" s="166">
        <v>1</v>
      </c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>
        <f t="shared" si="0"/>
        <v>1</v>
      </c>
    </row>
    <row r="55" spans="1:28">
      <c r="A55" s="166" t="s">
        <v>133</v>
      </c>
      <c r="B55" s="167" t="s">
        <v>134</v>
      </c>
      <c r="C55" s="167"/>
      <c r="D55" s="167"/>
      <c r="E55" s="167"/>
      <c r="F55" s="167"/>
      <c r="G55" s="167">
        <v>1</v>
      </c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6">
        <f t="shared" si="0"/>
        <v>1</v>
      </c>
    </row>
    <row r="56" spans="1:28">
      <c r="A56" s="171" t="s">
        <v>135</v>
      </c>
      <c r="B56" s="166" t="s">
        <v>136</v>
      </c>
      <c r="C56" s="166"/>
      <c r="D56" s="166"/>
      <c r="E56" s="166"/>
      <c r="F56" s="166"/>
      <c r="G56" s="166">
        <v>2</v>
      </c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>
        <f t="shared" si="0"/>
        <v>2</v>
      </c>
    </row>
    <row r="57" spans="1:28">
      <c r="A57" s="171" t="s">
        <v>137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>
        <f t="shared" si="0"/>
        <v>0</v>
      </c>
    </row>
    <row r="58" spans="1:28">
      <c r="A58" s="171" t="s">
        <v>138</v>
      </c>
      <c r="B58" s="166" t="s">
        <v>139</v>
      </c>
      <c r="C58" s="166"/>
      <c r="D58" s="166"/>
      <c r="E58" s="166"/>
      <c r="F58" s="166"/>
      <c r="G58" s="166">
        <v>1</v>
      </c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>
        <f t="shared" si="0"/>
        <v>1</v>
      </c>
    </row>
    <row r="59" spans="1:28">
      <c r="A59" s="171" t="s">
        <v>140</v>
      </c>
      <c r="B59" s="166" t="s">
        <v>141</v>
      </c>
      <c r="C59" s="166"/>
      <c r="D59" s="166"/>
      <c r="E59" s="166"/>
      <c r="F59" s="166"/>
      <c r="G59" s="166"/>
      <c r="H59" s="166">
        <v>1</v>
      </c>
      <c r="I59" s="166">
        <v>1</v>
      </c>
      <c r="J59" s="166">
        <v>1</v>
      </c>
      <c r="K59" s="166">
        <v>1</v>
      </c>
      <c r="L59" s="166">
        <v>1</v>
      </c>
      <c r="M59" s="166">
        <v>1</v>
      </c>
      <c r="N59" s="166">
        <v>1</v>
      </c>
      <c r="O59" s="166">
        <v>1</v>
      </c>
      <c r="P59" s="166">
        <v>1</v>
      </c>
      <c r="Q59" s="166">
        <v>1</v>
      </c>
      <c r="R59" s="166">
        <v>1</v>
      </c>
      <c r="S59" s="166">
        <v>1</v>
      </c>
      <c r="T59" s="166">
        <v>1</v>
      </c>
      <c r="U59" s="166">
        <v>1</v>
      </c>
      <c r="V59" s="166">
        <v>1</v>
      </c>
      <c r="W59" s="166">
        <v>1</v>
      </c>
      <c r="X59" s="166">
        <v>1</v>
      </c>
      <c r="Y59" s="166">
        <v>1</v>
      </c>
      <c r="Z59" s="166">
        <v>1</v>
      </c>
      <c r="AA59" s="166"/>
      <c r="AB59" s="166">
        <f t="shared" si="0"/>
        <v>19</v>
      </c>
    </row>
    <row r="60" spans="1:28">
      <c r="A60" s="171" t="s">
        <v>142</v>
      </c>
      <c r="B60" s="166" t="s">
        <v>143</v>
      </c>
      <c r="C60" s="166"/>
      <c r="D60" s="166"/>
      <c r="E60" s="166"/>
      <c r="F60" s="166"/>
      <c r="G60" s="166"/>
      <c r="H60" s="166">
        <v>1</v>
      </c>
      <c r="I60" s="166">
        <v>1</v>
      </c>
      <c r="J60" s="166">
        <v>1</v>
      </c>
      <c r="K60" s="166">
        <v>1</v>
      </c>
      <c r="L60" s="166">
        <v>1</v>
      </c>
      <c r="M60" s="166">
        <v>1</v>
      </c>
      <c r="N60" s="166">
        <v>1</v>
      </c>
      <c r="O60" s="166">
        <v>1</v>
      </c>
      <c r="P60" s="166">
        <v>1</v>
      </c>
      <c r="Q60" s="166">
        <v>1</v>
      </c>
      <c r="R60" s="166">
        <v>1</v>
      </c>
      <c r="S60" s="166">
        <v>1</v>
      </c>
      <c r="T60" s="166">
        <v>1</v>
      </c>
      <c r="U60" s="166">
        <v>1</v>
      </c>
      <c r="V60" s="166">
        <v>1</v>
      </c>
      <c r="W60" s="166">
        <v>1</v>
      </c>
      <c r="X60" s="166">
        <v>1</v>
      </c>
      <c r="Y60" s="166">
        <v>1</v>
      </c>
      <c r="Z60" s="166">
        <v>1</v>
      </c>
      <c r="AA60" s="166"/>
      <c r="AB60" s="166">
        <f t="shared" si="0"/>
        <v>19</v>
      </c>
    </row>
    <row r="61" spans="1:28">
      <c r="A61" s="171" t="s">
        <v>144</v>
      </c>
      <c r="B61" s="166" t="s">
        <v>145</v>
      </c>
      <c r="C61" s="166"/>
      <c r="D61" s="166"/>
      <c r="E61" s="166"/>
      <c r="F61" s="166"/>
      <c r="G61" s="166"/>
      <c r="H61" s="166">
        <v>4</v>
      </c>
      <c r="I61" s="166">
        <v>4</v>
      </c>
      <c r="J61" s="166">
        <v>4</v>
      </c>
      <c r="K61" s="166">
        <v>4</v>
      </c>
      <c r="L61" s="166">
        <v>4</v>
      </c>
      <c r="M61" s="166">
        <v>4</v>
      </c>
      <c r="N61" s="166">
        <v>4</v>
      </c>
      <c r="O61" s="166">
        <v>4</v>
      </c>
      <c r="P61" s="166">
        <v>4</v>
      </c>
      <c r="Q61" s="166">
        <v>4</v>
      </c>
      <c r="R61" s="166">
        <v>4</v>
      </c>
      <c r="S61" s="166">
        <v>4</v>
      </c>
      <c r="T61" s="166">
        <v>4</v>
      </c>
      <c r="U61" s="166">
        <v>4</v>
      </c>
      <c r="V61" s="166">
        <v>4</v>
      </c>
      <c r="W61" s="166">
        <v>4</v>
      </c>
      <c r="X61" s="166">
        <v>4</v>
      </c>
      <c r="Y61" s="166">
        <v>4</v>
      </c>
      <c r="Z61" s="166">
        <v>4</v>
      </c>
      <c r="AA61" s="166"/>
      <c r="AB61" s="166">
        <f t="shared" si="0"/>
        <v>76</v>
      </c>
    </row>
    <row r="62" spans="1:28">
      <c r="A62" s="171" t="s">
        <v>146</v>
      </c>
      <c r="B62" s="166" t="s">
        <v>147</v>
      </c>
      <c r="C62" s="166"/>
      <c r="D62" s="166"/>
      <c r="E62" s="166"/>
      <c r="F62" s="166"/>
      <c r="G62" s="166"/>
      <c r="H62" s="166">
        <v>3</v>
      </c>
      <c r="I62" s="166">
        <v>3</v>
      </c>
      <c r="J62" s="166">
        <v>3</v>
      </c>
      <c r="K62" s="166">
        <v>3</v>
      </c>
      <c r="L62" s="166">
        <v>3</v>
      </c>
      <c r="M62" s="166">
        <v>3</v>
      </c>
      <c r="N62" s="166">
        <v>3</v>
      </c>
      <c r="O62" s="166">
        <v>3</v>
      </c>
      <c r="P62" s="166">
        <v>3</v>
      </c>
      <c r="Q62" s="166">
        <v>3</v>
      </c>
      <c r="R62" s="166">
        <v>3</v>
      </c>
      <c r="S62" s="166">
        <v>3</v>
      </c>
      <c r="T62" s="166">
        <v>3</v>
      </c>
      <c r="U62" s="166">
        <v>3</v>
      </c>
      <c r="V62" s="166">
        <v>3</v>
      </c>
      <c r="W62" s="166">
        <v>3</v>
      </c>
      <c r="X62" s="166">
        <v>3</v>
      </c>
      <c r="Y62" s="166">
        <v>3</v>
      </c>
      <c r="Z62" s="166">
        <v>3</v>
      </c>
      <c r="AA62" s="166"/>
      <c r="AB62" s="166">
        <f t="shared" si="0"/>
        <v>57</v>
      </c>
    </row>
    <row r="63" spans="1:28">
      <c r="A63" s="171" t="s">
        <v>148</v>
      </c>
      <c r="B63" s="166" t="s">
        <v>149</v>
      </c>
      <c r="C63" s="166"/>
      <c r="D63" s="166"/>
      <c r="E63" s="166"/>
      <c r="F63" s="166"/>
      <c r="G63" s="166"/>
      <c r="H63" s="166">
        <v>6</v>
      </c>
      <c r="I63" s="166">
        <v>6</v>
      </c>
      <c r="J63" s="166">
        <v>6</v>
      </c>
      <c r="K63" s="166">
        <v>6</v>
      </c>
      <c r="L63" s="166">
        <v>6</v>
      </c>
      <c r="M63" s="166">
        <v>6</v>
      </c>
      <c r="N63" s="166">
        <v>6</v>
      </c>
      <c r="O63" s="166">
        <v>6</v>
      </c>
      <c r="P63" s="166">
        <v>6</v>
      </c>
      <c r="Q63" s="166">
        <v>6</v>
      </c>
      <c r="R63" s="166">
        <v>6</v>
      </c>
      <c r="S63" s="166">
        <v>6</v>
      </c>
      <c r="T63" s="166">
        <v>6</v>
      </c>
      <c r="U63" s="166">
        <v>6</v>
      </c>
      <c r="V63" s="166">
        <v>6</v>
      </c>
      <c r="W63" s="166">
        <v>6</v>
      </c>
      <c r="X63" s="166">
        <v>6</v>
      </c>
      <c r="Y63" s="166">
        <v>6</v>
      </c>
      <c r="Z63" s="166">
        <v>6</v>
      </c>
      <c r="AA63" s="166"/>
      <c r="AB63" s="166">
        <f t="shared" si="0"/>
        <v>114</v>
      </c>
    </row>
    <row r="64" spans="1:28">
      <c r="A64" s="171" t="s">
        <v>150</v>
      </c>
      <c r="B64" s="166" t="s">
        <v>151</v>
      </c>
      <c r="C64" s="166"/>
      <c r="D64" s="166"/>
      <c r="E64" s="166"/>
      <c r="F64" s="166"/>
      <c r="G64" s="166"/>
      <c r="H64" s="166">
        <v>6</v>
      </c>
      <c r="I64" s="166">
        <v>6</v>
      </c>
      <c r="J64" s="166">
        <v>6</v>
      </c>
      <c r="K64" s="166">
        <v>6</v>
      </c>
      <c r="L64" s="166">
        <v>6</v>
      </c>
      <c r="M64" s="166">
        <v>6</v>
      </c>
      <c r="N64" s="166">
        <v>6</v>
      </c>
      <c r="O64" s="166">
        <v>6</v>
      </c>
      <c r="P64" s="166">
        <v>6</v>
      </c>
      <c r="Q64" s="166">
        <v>6</v>
      </c>
      <c r="R64" s="166">
        <v>6</v>
      </c>
      <c r="S64" s="166">
        <v>6</v>
      </c>
      <c r="T64" s="166">
        <v>6</v>
      </c>
      <c r="U64" s="166">
        <v>6</v>
      </c>
      <c r="V64" s="166">
        <v>6</v>
      </c>
      <c r="W64" s="166">
        <v>6</v>
      </c>
      <c r="X64" s="166">
        <v>6</v>
      </c>
      <c r="Y64" s="166">
        <v>6</v>
      </c>
      <c r="Z64" s="166">
        <v>6</v>
      </c>
      <c r="AA64" s="166"/>
      <c r="AB64" s="166">
        <f t="shared" si="0"/>
        <v>114</v>
      </c>
    </row>
    <row r="65" spans="1:28">
      <c r="A65" s="171" t="s">
        <v>152</v>
      </c>
      <c r="B65" s="166" t="s">
        <v>153</v>
      </c>
      <c r="C65" s="166"/>
      <c r="D65" s="166"/>
      <c r="E65" s="166"/>
      <c r="F65" s="166"/>
      <c r="G65" s="166"/>
      <c r="H65" s="166">
        <v>3</v>
      </c>
      <c r="I65" s="166">
        <v>1</v>
      </c>
      <c r="J65" s="166">
        <v>1</v>
      </c>
      <c r="K65" s="166">
        <v>1</v>
      </c>
      <c r="L65" s="166">
        <v>2</v>
      </c>
      <c r="M65" s="166">
        <v>1</v>
      </c>
      <c r="N65" s="166">
        <v>2</v>
      </c>
      <c r="O65" s="166">
        <v>1</v>
      </c>
      <c r="P65" s="166">
        <v>1</v>
      </c>
      <c r="Q65" s="166">
        <v>1</v>
      </c>
      <c r="R65" s="166">
        <v>1</v>
      </c>
      <c r="S65" s="166">
        <v>1</v>
      </c>
      <c r="T65" s="166">
        <v>1</v>
      </c>
      <c r="U65" s="166">
        <v>1</v>
      </c>
      <c r="V65" s="166">
        <v>1</v>
      </c>
      <c r="W65" s="166">
        <v>1</v>
      </c>
      <c r="X65" s="166">
        <v>1</v>
      </c>
      <c r="Y65" s="166">
        <v>1</v>
      </c>
      <c r="Z65" s="166">
        <v>1</v>
      </c>
      <c r="AA65" s="166"/>
      <c r="AB65" s="166">
        <f t="shared" si="0"/>
        <v>23</v>
      </c>
    </row>
    <row r="66" spans="1:28">
      <c r="A66" s="171" t="s">
        <v>154</v>
      </c>
      <c r="B66" s="166" t="s">
        <v>155</v>
      </c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>
        <f t="shared" si="0"/>
        <v>0</v>
      </c>
    </row>
    <row r="67" spans="1:28">
      <c r="A67" s="171" t="s">
        <v>156</v>
      </c>
      <c r="B67" s="166" t="s">
        <v>157</v>
      </c>
      <c r="C67" s="166"/>
      <c r="D67" s="166"/>
      <c r="E67" s="166"/>
      <c r="F67" s="166"/>
      <c r="G67" s="166"/>
      <c r="H67" s="166">
        <v>1</v>
      </c>
      <c r="I67" s="166">
        <v>1</v>
      </c>
      <c r="J67" s="166">
        <v>1</v>
      </c>
      <c r="K67" s="166">
        <v>1</v>
      </c>
      <c r="L67" s="166">
        <v>1</v>
      </c>
      <c r="M67" s="166">
        <v>1</v>
      </c>
      <c r="N67" s="166">
        <v>1</v>
      </c>
      <c r="O67" s="166">
        <v>1</v>
      </c>
      <c r="P67" s="166">
        <v>1</v>
      </c>
      <c r="Q67" s="166">
        <v>1</v>
      </c>
      <c r="R67" s="166">
        <v>1</v>
      </c>
      <c r="S67" s="166">
        <v>1</v>
      </c>
      <c r="T67" s="166">
        <v>1</v>
      </c>
      <c r="U67" s="166">
        <v>1</v>
      </c>
      <c r="V67" s="166">
        <v>1</v>
      </c>
      <c r="W67" s="166">
        <v>1</v>
      </c>
      <c r="X67" s="166">
        <v>1</v>
      </c>
      <c r="Y67" s="166">
        <v>1</v>
      </c>
      <c r="Z67" s="166">
        <v>1</v>
      </c>
      <c r="AA67" s="166"/>
      <c r="AB67" s="166">
        <f t="shared" si="0"/>
        <v>19</v>
      </c>
    </row>
    <row r="68" spans="1:28">
      <c r="A68" s="171" t="s">
        <v>158</v>
      </c>
      <c r="B68" s="166" t="s">
        <v>159</v>
      </c>
      <c r="C68" s="166"/>
      <c r="D68" s="166"/>
      <c r="E68" s="166"/>
      <c r="F68" s="166"/>
      <c r="G68" s="166"/>
      <c r="H68" s="166">
        <v>2</v>
      </c>
      <c r="I68" s="166">
        <v>2</v>
      </c>
      <c r="J68" s="166">
        <v>2</v>
      </c>
      <c r="K68" s="166">
        <v>2</v>
      </c>
      <c r="L68" s="166">
        <v>2</v>
      </c>
      <c r="M68" s="166">
        <v>2</v>
      </c>
      <c r="N68" s="166">
        <v>2</v>
      </c>
      <c r="O68" s="166">
        <v>2</v>
      </c>
      <c r="P68" s="166">
        <v>2</v>
      </c>
      <c r="Q68" s="166">
        <v>2</v>
      </c>
      <c r="R68" s="166">
        <v>2</v>
      </c>
      <c r="S68" s="166">
        <v>2</v>
      </c>
      <c r="T68" s="166">
        <v>2</v>
      </c>
      <c r="U68" s="166">
        <v>2</v>
      </c>
      <c r="V68" s="166">
        <v>2</v>
      </c>
      <c r="W68" s="166">
        <v>2</v>
      </c>
      <c r="X68" s="166">
        <v>2</v>
      </c>
      <c r="Y68" s="166">
        <v>2</v>
      </c>
      <c r="Z68" s="166">
        <v>2</v>
      </c>
      <c r="AA68" s="166"/>
      <c r="AB68" s="166">
        <f t="shared" ref="AB68:AB91" si="1">SUM(E68:AA68)</f>
        <v>38</v>
      </c>
    </row>
    <row r="69" spans="1:28">
      <c r="A69" s="171" t="s">
        <v>160</v>
      </c>
      <c r="B69" s="166" t="s">
        <v>161</v>
      </c>
      <c r="C69" s="166"/>
      <c r="D69" s="166"/>
      <c r="E69" s="166"/>
      <c r="F69" s="166"/>
      <c r="G69" s="166"/>
      <c r="H69" s="166">
        <v>2</v>
      </c>
      <c r="I69" s="166">
        <v>1</v>
      </c>
      <c r="J69" s="166">
        <v>1</v>
      </c>
      <c r="K69" s="166">
        <v>1</v>
      </c>
      <c r="L69" s="166">
        <v>1</v>
      </c>
      <c r="M69" s="166">
        <v>1</v>
      </c>
      <c r="N69" s="166">
        <v>1</v>
      </c>
      <c r="O69" s="166">
        <v>1</v>
      </c>
      <c r="P69" s="166">
        <v>1</v>
      </c>
      <c r="Q69" s="166">
        <v>1</v>
      </c>
      <c r="R69" s="166">
        <v>1</v>
      </c>
      <c r="S69" s="166">
        <v>1</v>
      </c>
      <c r="T69" s="166">
        <v>1</v>
      </c>
      <c r="U69" s="166">
        <v>1</v>
      </c>
      <c r="V69" s="166">
        <v>1</v>
      </c>
      <c r="W69" s="166">
        <v>1</v>
      </c>
      <c r="X69" s="166">
        <v>1</v>
      </c>
      <c r="Y69" s="166">
        <v>1</v>
      </c>
      <c r="Z69" s="166">
        <v>1</v>
      </c>
      <c r="AA69" s="166"/>
      <c r="AB69" s="166">
        <f t="shared" si="1"/>
        <v>20</v>
      </c>
    </row>
    <row r="70" spans="1:28">
      <c r="A70" s="171" t="s">
        <v>162</v>
      </c>
      <c r="B70" s="166" t="s">
        <v>163</v>
      </c>
      <c r="C70" s="166"/>
      <c r="D70" s="166"/>
      <c r="E70" s="166"/>
      <c r="F70" s="166"/>
      <c r="G70" s="166"/>
      <c r="H70" s="166">
        <v>2</v>
      </c>
      <c r="I70" s="166">
        <v>2</v>
      </c>
      <c r="J70" s="166">
        <v>2</v>
      </c>
      <c r="K70" s="166">
        <v>2</v>
      </c>
      <c r="L70" s="166">
        <v>2</v>
      </c>
      <c r="M70" s="166">
        <v>2</v>
      </c>
      <c r="N70" s="166">
        <v>2</v>
      </c>
      <c r="O70" s="166">
        <v>2</v>
      </c>
      <c r="P70" s="166">
        <v>2</v>
      </c>
      <c r="Q70" s="166">
        <v>2</v>
      </c>
      <c r="R70" s="166">
        <v>2</v>
      </c>
      <c r="S70" s="166">
        <v>2</v>
      </c>
      <c r="T70" s="166">
        <v>2</v>
      </c>
      <c r="U70" s="166">
        <v>2</v>
      </c>
      <c r="V70" s="166">
        <v>2</v>
      </c>
      <c r="W70" s="166">
        <v>2</v>
      </c>
      <c r="X70" s="166">
        <v>2</v>
      </c>
      <c r="Y70" s="166">
        <v>2</v>
      </c>
      <c r="Z70" s="166">
        <v>2</v>
      </c>
      <c r="AA70" s="166"/>
      <c r="AB70" s="166">
        <f t="shared" si="1"/>
        <v>38</v>
      </c>
    </row>
    <row r="71" spans="1:28">
      <c r="A71" s="171" t="s">
        <v>164</v>
      </c>
      <c r="B71" s="166" t="s">
        <v>165</v>
      </c>
      <c r="C71" s="166"/>
      <c r="D71" s="166"/>
      <c r="E71" s="166"/>
      <c r="F71" s="166"/>
      <c r="G71" s="166"/>
      <c r="H71" s="166">
        <v>1</v>
      </c>
      <c r="I71" s="166">
        <v>1</v>
      </c>
      <c r="J71" s="166">
        <v>1</v>
      </c>
      <c r="K71" s="166">
        <v>1</v>
      </c>
      <c r="L71" s="166">
        <v>1</v>
      </c>
      <c r="M71" s="166">
        <v>1</v>
      </c>
      <c r="N71" s="166">
        <v>1</v>
      </c>
      <c r="O71" s="166">
        <v>1</v>
      </c>
      <c r="P71" s="166">
        <v>1</v>
      </c>
      <c r="Q71" s="166">
        <v>1</v>
      </c>
      <c r="R71" s="166">
        <v>1</v>
      </c>
      <c r="S71" s="166">
        <v>1</v>
      </c>
      <c r="T71" s="166">
        <v>1</v>
      </c>
      <c r="U71" s="166">
        <v>1</v>
      </c>
      <c r="V71" s="166">
        <v>1</v>
      </c>
      <c r="W71" s="166">
        <v>1</v>
      </c>
      <c r="X71" s="166">
        <v>1</v>
      </c>
      <c r="Y71" s="166">
        <v>1</v>
      </c>
      <c r="Z71" s="166">
        <v>1</v>
      </c>
      <c r="AA71" s="166"/>
      <c r="AB71" s="166">
        <f t="shared" si="1"/>
        <v>19</v>
      </c>
    </row>
    <row r="72" spans="1:28">
      <c r="A72" s="171" t="s">
        <v>166</v>
      </c>
      <c r="B72" s="166" t="s">
        <v>167</v>
      </c>
      <c r="C72" s="166"/>
      <c r="D72" s="166"/>
      <c r="E72" s="166"/>
      <c r="F72" s="166"/>
      <c r="G72" s="166"/>
      <c r="H72" s="166">
        <v>1</v>
      </c>
      <c r="I72" s="166">
        <v>1</v>
      </c>
      <c r="J72" s="166">
        <v>1</v>
      </c>
      <c r="K72" s="166">
        <v>1</v>
      </c>
      <c r="L72" s="166">
        <v>1</v>
      </c>
      <c r="M72" s="166">
        <v>1</v>
      </c>
      <c r="N72" s="166">
        <v>1</v>
      </c>
      <c r="O72" s="166">
        <v>1</v>
      </c>
      <c r="P72" s="166">
        <v>1</v>
      </c>
      <c r="Q72" s="166">
        <v>1</v>
      </c>
      <c r="R72" s="166">
        <v>1</v>
      </c>
      <c r="S72" s="166">
        <v>1</v>
      </c>
      <c r="T72" s="166">
        <v>1</v>
      </c>
      <c r="U72" s="166">
        <v>1</v>
      </c>
      <c r="V72" s="166">
        <v>1</v>
      </c>
      <c r="W72" s="166">
        <v>1</v>
      </c>
      <c r="X72" s="166">
        <v>1</v>
      </c>
      <c r="Y72" s="166">
        <v>1</v>
      </c>
      <c r="Z72" s="166">
        <v>1</v>
      </c>
      <c r="AA72" s="166"/>
      <c r="AB72" s="166">
        <f t="shared" si="1"/>
        <v>19</v>
      </c>
    </row>
    <row r="73" spans="1:28">
      <c r="A73" s="171" t="s">
        <v>168</v>
      </c>
      <c r="B73" s="166" t="s">
        <v>169</v>
      </c>
      <c r="C73" s="166"/>
      <c r="D73" s="166"/>
      <c r="E73" s="166"/>
      <c r="F73" s="166"/>
      <c r="G73" s="166"/>
      <c r="H73" s="166">
        <v>2</v>
      </c>
      <c r="I73" s="166">
        <v>2</v>
      </c>
      <c r="J73" s="166">
        <v>2</v>
      </c>
      <c r="K73" s="166">
        <v>2</v>
      </c>
      <c r="L73" s="166">
        <v>2</v>
      </c>
      <c r="M73" s="166">
        <v>2</v>
      </c>
      <c r="N73" s="166">
        <v>2</v>
      </c>
      <c r="O73" s="166">
        <v>2</v>
      </c>
      <c r="P73" s="166">
        <v>2</v>
      </c>
      <c r="Q73" s="166">
        <v>2</v>
      </c>
      <c r="R73" s="166">
        <v>2</v>
      </c>
      <c r="S73" s="166">
        <v>2</v>
      </c>
      <c r="T73" s="166">
        <v>2</v>
      </c>
      <c r="U73" s="166">
        <v>2</v>
      </c>
      <c r="V73" s="166">
        <v>2</v>
      </c>
      <c r="W73" s="166">
        <v>2</v>
      </c>
      <c r="X73" s="166">
        <v>2</v>
      </c>
      <c r="Y73" s="166">
        <v>2</v>
      </c>
      <c r="Z73" s="166">
        <v>2</v>
      </c>
      <c r="AA73" s="166"/>
      <c r="AB73" s="166">
        <f t="shared" si="1"/>
        <v>38</v>
      </c>
    </row>
    <row r="74" spans="1:28">
      <c r="A74" s="171" t="s">
        <v>170</v>
      </c>
      <c r="B74" s="166" t="s">
        <v>171</v>
      </c>
      <c r="C74" s="166"/>
      <c r="D74" s="166"/>
      <c r="E74" s="166"/>
      <c r="F74" s="166"/>
      <c r="G74" s="166"/>
      <c r="H74" s="166">
        <v>1</v>
      </c>
      <c r="I74" s="166">
        <v>1</v>
      </c>
      <c r="J74" s="166">
        <v>1</v>
      </c>
      <c r="K74" s="166">
        <v>1</v>
      </c>
      <c r="L74" s="166">
        <v>1</v>
      </c>
      <c r="M74" s="166">
        <v>1</v>
      </c>
      <c r="N74" s="166">
        <v>1</v>
      </c>
      <c r="O74" s="166">
        <v>1</v>
      </c>
      <c r="P74" s="166">
        <v>1</v>
      </c>
      <c r="Q74" s="166">
        <v>1</v>
      </c>
      <c r="R74" s="166">
        <v>1</v>
      </c>
      <c r="S74" s="166">
        <v>1</v>
      </c>
      <c r="T74" s="166">
        <v>1</v>
      </c>
      <c r="U74" s="166">
        <v>1</v>
      </c>
      <c r="V74" s="166">
        <v>1</v>
      </c>
      <c r="W74" s="166">
        <v>1</v>
      </c>
      <c r="X74" s="166">
        <v>1</v>
      </c>
      <c r="Y74" s="166">
        <v>1</v>
      </c>
      <c r="Z74" s="166">
        <v>1</v>
      </c>
      <c r="AA74" s="166"/>
      <c r="AB74" s="166">
        <f t="shared" si="1"/>
        <v>19</v>
      </c>
    </row>
    <row r="75" spans="1:28">
      <c r="A75" s="166" t="s">
        <v>172</v>
      </c>
      <c r="B75" s="166" t="s">
        <v>173</v>
      </c>
      <c r="C75" s="166"/>
      <c r="D75" s="166"/>
      <c r="E75" s="166"/>
      <c r="F75" s="166"/>
      <c r="G75" s="166"/>
      <c r="H75" s="166">
        <v>1</v>
      </c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>
        <f t="shared" si="1"/>
        <v>1</v>
      </c>
    </row>
    <row r="76" spans="1:28">
      <c r="A76" s="166" t="s">
        <v>174</v>
      </c>
      <c r="B76" s="166" t="s">
        <v>175</v>
      </c>
      <c r="C76" s="166"/>
      <c r="D76" s="166"/>
      <c r="E76" s="166"/>
      <c r="F76" s="166"/>
      <c r="G76" s="166"/>
      <c r="H76" s="166">
        <v>1</v>
      </c>
      <c r="I76" s="166">
        <v>1</v>
      </c>
      <c r="J76" s="166">
        <v>1</v>
      </c>
      <c r="K76" s="166">
        <v>1</v>
      </c>
      <c r="L76" s="166">
        <v>1</v>
      </c>
      <c r="M76" s="166">
        <v>1</v>
      </c>
      <c r="N76" s="166">
        <v>1</v>
      </c>
      <c r="O76" s="166">
        <v>1</v>
      </c>
      <c r="P76" s="166">
        <v>1</v>
      </c>
      <c r="Q76" s="166">
        <v>1</v>
      </c>
      <c r="R76" s="166">
        <v>1</v>
      </c>
      <c r="S76" s="166">
        <v>1</v>
      </c>
      <c r="T76" s="166">
        <v>1</v>
      </c>
      <c r="U76" s="166">
        <v>1</v>
      </c>
      <c r="V76" s="166">
        <v>1</v>
      </c>
      <c r="W76" s="166">
        <v>1</v>
      </c>
      <c r="X76" s="166">
        <v>1</v>
      </c>
      <c r="Y76" s="166">
        <v>1</v>
      </c>
      <c r="Z76" s="166">
        <v>1</v>
      </c>
      <c r="AA76" s="166"/>
      <c r="AB76" s="166">
        <f t="shared" si="1"/>
        <v>19</v>
      </c>
    </row>
    <row r="77" spans="1:28">
      <c r="A77" s="166" t="s">
        <v>176</v>
      </c>
      <c r="B77" s="166" t="s">
        <v>177</v>
      </c>
      <c r="C77" s="166"/>
      <c r="D77" s="166"/>
      <c r="E77" s="166"/>
      <c r="F77" s="166"/>
      <c r="G77" s="166"/>
      <c r="H77" s="166">
        <v>1</v>
      </c>
      <c r="I77" s="166">
        <v>1</v>
      </c>
      <c r="J77" s="166">
        <v>1</v>
      </c>
      <c r="K77" s="166">
        <v>1</v>
      </c>
      <c r="L77" s="166">
        <v>1</v>
      </c>
      <c r="M77" s="166">
        <v>1</v>
      </c>
      <c r="N77" s="166">
        <v>1</v>
      </c>
      <c r="O77" s="166">
        <v>1</v>
      </c>
      <c r="P77" s="166">
        <v>1</v>
      </c>
      <c r="Q77" s="166">
        <v>1</v>
      </c>
      <c r="R77" s="166">
        <v>1</v>
      </c>
      <c r="S77" s="166">
        <v>1</v>
      </c>
      <c r="T77" s="166">
        <v>1</v>
      </c>
      <c r="U77" s="166">
        <v>1</v>
      </c>
      <c r="V77" s="166">
        <v>1</v>
      </c>
      <c r="W77" s="166">
        <v>1</v>
      </c>
      <c r="X77" s="166">
        <v>1</v>
      </c>
      <c r="Y77" s="166">
        <v>1</v>
      </c>
      <c r="Z77" s="166">
        <v>1</v>
      </c>
      <c r="AA77" s="166"/>
      <c r="AB77" s="166">
        <f t="shared" si="1"/>
        <v>19</v>
      </c>
    </row>
    <row r="78" spans="1:28">
      <c r="A78" s="166" t="s">
        <v>178</v>
      </c>
      <c r="B78" s="166" t="s">
        <v>179</v>
      </c>
      <c r="C78" s="166"/>
      <c r="D78" s="166"/>
      <c r="E78" s="166"/>
      <c r="F78" s="166"/>
      <c r="G78" s="166"/>
      <c r="H78" s="166">
        <v>1</v>
      </c>
      <c r="I78" s="166">
        <v>1</v>
      </c>
      <c r="J78" s="166">
        <v>1</v>
      </c>
      <c r="K78" s="166">
        <v>1</v>
      </c>
      <c r="L78" s="166">
        <v>1</v>
      </c>
      <c r="M78" s="166">
        <v>1</v>
      </c>
      <c r="N78" s="166">
        <v>1</v>
      </c>
      <c r="O78" s="166">
        <v>1</v>
      </c>
      <c r="P78" s="166">
        <v>1</v>
      </c>
      <c r="Q78" s="166">
        <v>1</v>
      </c>
      <c r="R78" s="166">
        <v>1</v>
      </c>
      <c r="S78" s="166">
        <v>1</v>
      </c>
      <c r="T78" s="166">
        <v>1</v>
      </c>
      <c r="U78" s="166">
        <v>1</v>
      </c>
      <c r="V78" s="166">
        <v>1</v>
      </c>
      <c r="W78" s="166">
        <v>1</v>
      </c>
      <c r="X78" s="166">
        <v>1</v>
      </c>
      <c r="Y78" s="166">
        <v>1</v>
      </c>
      <c r="Z78" s="166">
        <v>1</v>
      </c>
      <c r="AA78" s="166"/>
      <c r="AB78" s="166">
        <f t="shared" si="1"/>
        <v>19</v>
      </c>
    </row>
    <row r="79" spans="1:28">
      <c r="A79" s="166" t="s">
        <v>180</v>
      </c>
      <c r="B79" s="166" t="s">
        <v>181</v>
      </c>
      <c r="C79" s="166"/>
      <c r="D79" s="166"/>
      <c r="E79" s="166"/>
      <c r="F79" s="166"/>
      <c r="G79" s="166"/>
      <c r="H79" s="166">
        <v>1</v>
      </c>
      <c r="I79" s="166">
        <v>1</v>
      </c>
      <c r="J79" s="166">
        <v>1</v>
      </c>
      <c r="K79" s="166">
        <v>1</v>
      </c>
      <c r="L79" s="166">
        <v>1</v>
      </c>
      <c r="M79" s="166">
        <v>1</v>
      </c>
      <c r="N79" s="166">
        <v>1</v>
      </c>
      <c r="O79" s="166">
        <v>1</v>
      </c>
      <c r="P79" s="166">
        <v>1</v>
      </c>
      <c r="Q79" s="166">
        <v>1</v>
      </c>
      <c r="R79" s="166">
        <v>1</v>
      </c>
      <c r="S79" s="166">
        <v>1</v>
      </c>
      <c r="T79" s="166">
        <v>1</v>
      </c>
      <c r="U79" s="166">
        <v>1</v>
      </c>
      <c r="V79" s="166">
        <v>1</v>
      </c>
      <c r="W79" s="166">
        <v>1</v>
      </c>
      <c r="X79" s="166">
        <v>1</v>
      </c>
      <c r="Y79" s="166">
        <v>1</v>
      </c>
      <c r="Z79" s="166">
        <v>1</v>
      </c>
      <c r="AA79" s="166"/>
      <c r="AB79" s="166">
        <f t="shared" si="1"/>
        <v>19</v>
      </c>
    </row>
    <row r="80" spans="1:28">
      <c r="A80" s="166" t="s">
        <v>182</v>
      </c>
      <c r="B80" s="166" t="s">
        <v>183</v>
      </c>
      <c r="C80" s="166"/>
      <c r="D80" s="166"/>
      <c r="E80" s="166"/>
      <c r="F80" s="166"/>
      <c r="G80" s="166"/>
      <c r="H80" s="166">
        <v>1</v>
      </c>
      <c r="I80" s="166">
        <v>1</v>
      </c>
      <c r="J80" s="166">
        <v>1</v>
      </c>
      <c r="K80" s="166">
        <v>1</v>
      </c>
      <c r="L80" s="166">
        <v>1</v>
      </c>
      <c r="M80" s="166">
        <v>1</v>
      </c>
      <c r="N80" s="166">
        <v>1</v>
      </c>
      <c r="O80" s="166">
        <v>1</v>
      </c>
      <c r="P80" s="166">
        <v>1</v>
      </c>
      <c r="Q80" s="166">
        <v>1</v>
      </c>
      <c r="R80" s="166">
        <v>1</v>
      </c>
      <c r="S80" s="166">
        <v>1</v>
      </c>
      <c r="T80" s="166">
        <v>1</v>
      </c>
      <c r="U80" s="166">
        <v>1</v>
      </c>
      <c r="V80" s="166">
        <v>1</v>
      </c>
      <c r="W80" s="166">
        <v>1</v>
      </c>
      <c r="X80" s="166">
        <v>1</v>
      </c>
      <c r="Y80" s="166">
        <v>1</v>
      </c>
      <c r="Z80" s="166">
        <v>1</v>
      </c>
      <c r="AA80" s="166"/>
      <c r="AB80" s="166">
        <f t="shared" si="1"/>
        <v>19</v>
      </c>
    </row>
    <row r="81" spans="1:28">
      <c r="A81" s="166" t="s">
        <v>184</v>
      </c>
      <c r="B81" s="166" t="s">
        <v>185</v>
      </c>
      <c r="C81" s="166"/>
      <c r="D81" s="166"/>
      <c r="E81" s="166"/>
      <c r="F81" s="166"/>
      <c r="G81" s="166"/>
      <c r="H81" s="166"/>
      <c r="I81" s="166">
        <v>2</v>
      </c>
      <c r="J81" s="166">
        <v>2</v>
      </c>
      <c r="K81" s="166">
        <v>2</v>
      </c>
      <c r="L81" s="166">
        <v>1</v>
      </c>
      <c r="M81" s="166">
        <v>2</v>
      </c>
      <c r="N81" s="166">
        <v>1</v>
      </c>
      <c r="O81" s="166">
        <v>2</v>
      </c>
      <c r="P81" s="166">
        <v>2</v>
      </c>
      <c r="Q81" s="166">
        <v>2</v>
      </c>
      <c r="R81" s="166">
        <v>2</v>
      </c>
      <c r="S81" s="166">
        <v>2</v>
      </c>
      <c r="T81" s="166">
        <v>2</v>
      </c>
      <c r="U81" s="166">
        <v>2</v>
      </c>
      <c r="V81" s="166">
        <v>2</v>
      </c>
      <c r="W81" s="166">
        <v>2</v>
      </c>
      <c r="X81" s="166">
        <v>2</v>
      </c>
      <c r="Y81" s="166">
        <v>2</v>
      </c>
      <c r="Z81" s="166">
        <v>2</v>
      </c>
      <c r="AA81" s="166"/>
      <c r="AB81" s="166">
        <f t="shared" si="1"/>
        <v>34</v>
      </c>
    </row>
    <row r="82" spans="1:28">
      <c r="A82" s="166" t="s">
        <v>186</v>
      </c>
      <c r="B82" s="166" t="s">
        <v>187</v>
      </c>
      <c r="C82" s="166"/>
      <c r="D82" s="166"/>
      <c r="E82" s="166"/>
      <c r="F82" s="166"/>
      <c r="G82" s="166"/>
      <c r="H82" s="166"/>
      <c r="I82" s="166">
        <v>1</v>
      </c>
      <c r="J82" s="166">
        <v>1</v>
      </c>
      <c r="K82" s="166">
        <v>1</v>
      </c>
      <c r="L82" s="166">
        <v>1</v>
      </c>
      <c r="M82" s="166">
        <v>1</v>
      </c>
      <c r="N82" s="166">
        <v>1</v>
      </c>
      <c r="O82" s="166">
        <v>1</v>
      </c>
      <c r="P82" s="166">
        <v>1</v>
      </c>
      <c r="Q82" s="166">
        <v>1</v>
      </c>
      <c r="R82" s="166">
        <v>1</v>
      </c>
      <c r="S82" s="166">
        <v>1</v>
      </c>
      <c r="T82" s="166">
        <v>1</v>
      </c>
      <c r="U82" s="166">
        <v>1</v>
      </c>
      <c r="V82" s="166">
        <v>1</v>
      </c>
      <c r="W82" s="166">
        <v>1</v>
      </c>
      <c r="X82" s="166">
        <v>1</v>
      </c>
      <c r="Y82" s="166">
        <v>1</v>
      </c>
      <c r="Z82" s="166">
        <v>1</v>
      </c>
      <c r="AA82" s="166"/>
      <c r="AB82" s="166">
        <f t="shared" si="1"/>
        <v>18</v>
      </c>
    </row>
    <row r="83" spans="1:28">
      <c r="A83" s="166" t="s">
        <v>188</v>
      </c>
      <c r="B83" s="166" t="s">
        <v>189</v>
      </c>
      <c r="C83" s="166"/>
      <c r="D83" s="166"/>
      <c r="E83" s="166"/>
      <c r="F83" s="166"/>
      <c r="G83" s="166">
        <v>1</v>
      </c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>
        <f t="shared" si="1"/>
        <v>1</v>
      </c>
    </row>
    <row r="84" spans="1:28">
      <c r="A84" s="166" t="s">
        <v>190</v>
      </c>
      <c r="B84" s="166" t="s">
        <v>191</v>
      </c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>
        <v>2</v>
      </c>
      <c r="AB84" s="166">
        <f t="shared" si="1"/>
        <v>2</v>
      </c>
    </row>
    <row r="85" spans="1:28">
      <c r="A85" s="166" t="s">
        <v>192</v>
      </c>
      <c r="B85" s="166" t="s">
        <v>193</v>
      </c>
      <c r="C85" s="166"/>
      <c r="D85" s="166"/>
      <c r="E85" s="166"/>
      <c r="F85" s="166"/>
      <c r="G85" s="166">
        <v>1</v>
      </c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>
        <f t="shared" si="1"/>
        <v>1</v>
      </c>
    </row>
    <row r="86" spans="1:28">
      <c r="A86" s="166" t="s">
        <v>194</v>
      </c>
      <c r="B86" s="166" t="s">
        <v>195</v>
      </c>
      <c r="C86" s="166"/>
      <c r="D86" s="166"/>
      <c r="E86" s="166"/>
      <c r="F86" s="166">
        <v>1</v>
      </c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>
        <f t="shared" si="1"/>
        <v>1</v>
      </c>
    </row>
    <row r="87" spans="1:28">
      <c r="A87" s="166" t="s">
        <v>196</v>
      </c>
      <c r="B87" s="166" t="s">
        <v>155</v>
      </c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>
        <f t="shared" si="1"/>
        <v>0</v>
      </c>
    </row>
    <row r="88" spans="1:28">
      <c r="A88" s="166" t="s">
        <v>197</v>
      </c>
      <c r="B88" s="166" t="s">
        <v>198</v>
      </c>
      <c r="C88" s="166"/>
      <c r="D88" s="166"/>
      <c r="E88" s="166"/>
      <c r="G88" s="166">
        <v>1</v>
      </c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>
        <f t="shared" si="1"/>
        <v>1</v>
      </c>
    </row>
    <row r="89" spans="1:28">
      <c r="A89" s="166" t="s">
        <v>199</v>
      </c>
      <c r="B89" s="166" t="s">
        <v>200</v>
      </c>
      <c r="C89" s="166"/>
      <c r="D89" s="166"/>
      <c r="E89" s="166"/>
      <c r="F89" s="166">
        <v>21</v>
      </c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>
        <f t="shared" si="1"/>
        <v>21</v>
      </c>
    </row>
    <row r="90" spans="1:28">
      <c r="A90" s="166" t="s">
        <v>201</v>
      </c>
      <c r="B90" s="166" t="s">
        <v>202</v>
      </c>
      <c r="C90" s="166"/>
      <c r="D90" s="166"/>
      <c r="E90" s="166"/>
      <c r="F90" s="166">
        <v>3</v>
      </c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>
        <f t="shared" si="1"/>
        <v>3</v>
      </c>
    </row>
    <row r="91" spans="1:28">
      <c r="A91" s="166" t="s">
        <v>203</v>
      </c>
      <c r="B91" s="166" t="s">
        <v>204</v>
      </c>
      <c r="C91" s="166"/>
      <c r="D91" s="166"/>
      <c r="E91" s="166">
        <v>1</v>
      </c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>
        <f t="shared" si="1"/>
        <v>1</v>
      </c>
    </row>
    <row r="92" spans="28:28">
      <c r="AB92" s="175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F12"/>
  <sheetViews>
    <sheetView workbookViewId="0">
      <selection activeCell="L8" sqref="L8"/>
    </sheetView>
  </sheetViews>
  <sheetFormatPr defaultColWidth="8.7" defaultRowHeight="14.25" outlineLevelCol="5"/>
  <cols>
    <col min="1" max="3" width="12.625" style="64" customWidth="1"/>
    <col min="4" max="4" width="17.75" style="64" customWidth="1"/>
    <col min="5" max="6" width="12.625" style="64" customWidth="1"/>
    <col min="7" max="24" width="8.7" style="64"/>
    <col min="25" max="16377" width="6.125" style="64"/>
    <col min="16378" max="16384" width="8.7" style="64"/>
  </cols>
  <sheetData>
    <row r="1" s="65" customFormat="1" ht="40.5" customHeight="1" spans="1:6">
      <c r="A1" s="55" t="s">
        <v>503</v>
      </c>
      <c r="B1" s="55"/>
      <c r="C1" s="55"/>
      <c r="D1" s="55"/>
      <c r="E1" s="55"/>
      <c r="F1" s="55"/>
    </row>
    <row r="2" s="66" customFormat="1" ht="44.25" customHeight="1" spans="1:6">
      <c r="A2" s="4" t="s">
        <v>504</v>
      </c>
      <c r="B2" s="5" t="s">
        <v>370</v>
      </c>
      <c r="C2" s="5" t="s">
        <v>505</v>
      </c>
      <c r="D2" s="6" t="s">
        <v>506</v>
      </c>
      <c r="E2" s="6" t="s">
        <v>507</v>
      </c>
      <c r="F2" s="7" t="s">
        <v>374</v>
      </c>
    </row>
    <row r="3" s="65" customFormat="1" ht="48" customHeight="1" spans="1:6">
      <c r="A3" s="8" t="s">
        <v>508</v>
      </c>
      <c r="B3" s="9" t="s">
        <v>509</v>
      </c>
      <c r="C3" s="9">
        <v>8</v>
      </c>
      <c r="D3" s="10">
        <f>'34#楼明细(表2.1) '!E3</f>
        <v>2.06</v>
      </c>
      <c r="E3" s="10">
        <f t="shared" ref="E3:E9" si="0">C3*D3</f>
        <v>16.48</v>
      </c>
      <c r="F3" s="17"/>
    </row>
    <row r="4" s="65" customFormat="1" ht="48" customHeight="1" spans="1:6">
      <c r="A4" s="8"/>
      <c r="B4" s="9" t="s">
        <v>510</v>
      </c>
      <c r="C4" s="9">
        <v>4</v>
      </c>
      <c r="D4" s="10">
        <f>'34#楼明细(表2.1) '!E7</f>
        <v>1.91</v>
      </c>
      <c r="E4" s="10">
        <f t="shared" si="0"/>
        <v>7.64</v>
      </c>
      <c r="F4" s="17"/>
    </row>
    <row r="5" s="65" customFormat="1" ht="48" customHeight="1" spans="1:6">
      <c r="A5" s="8"/>
      <c r="B5" s="9" t="s">
        <v>511</v>
      </c>
      <c r="C5" s="9">
        <v>4</v>
      </c>
      <c r="D5" s="10">
        <f>'34#楼明细(表2.1) '!E9</f>
        <v>2.42</v>
      </c>
      <c r="E5" s="10">
        <f t="shared" si="0"/>
        <v>9.68</v>
      </c>
      <c r="F5" s="17"/>
    </row>
    <row r="6" s="65" customFormat="1" ht="42" customHeight="1" spans="1:6">
      <c r="A6" s="8" t="s">
        <v>512</v>
      </c>
      <c r="B6" s="9" t="s">
        <v>513</v>
      </c>
      <c r="C6" s="9">
        <v>4</v>
      </c>
      <c r="D6" s="10">
        <f>'34#楼明细(表2.1) '!E11</f>
        <v>2.49</v>
      </c>
      <c r="E6" s="10">
        <f t="shared" si="0"/>
        <v>9.96</v>
      </c>
      <c r="F6" s="17"/>
    </row>
    <row r="7" s="65" customFormat="1" ht="48" customHeight="1" spans="1:6">
      <c r="A7" s="8"/>
      <c r="B7" s="9" t="s">
        <v>509</v>
      </c>
      <c r="C7" s="9">
        <v>134</v>
      </c>
      <c r="D7" s="10">
        <f>'34#楼明细(表2.1) '!E13</f>
        <v>2.03</v>
      </c>
      <c r="E7" s="10">
        <f t="shared" si="0"/>
        <v>272.02</v>
      </c>
      <c r="F7" s="17"/>
    </row>
    <row r="8" s="65" customFormat="1" ht="48" customHeight="1" spans="1:6">
      <c r="A8" s="8"/>
      <c r="B8" s="9" t="s">
        <v>510</v>
      </c>
      <c r="C8" s="9">
        <v>202</v>
      </c>
      <c r="D8" s="10">
        <f>'34#楼明细(表2.1) '!E18</f>
        <v>1.9</v>
      </c>
      <c r="E8" s="10">
        <f t="shared" si="0"/>
        <v>383.8</v>
      </c>
      <c r="F8" s="17"/>
    </row>
    <row r="9" s="65" customFormat="1" ht="48" customHeight="1" spans="1:6">
      <c r="A9" s="8"/>
      <c r="B9" s="9" t="s">
        <v>511</v>
      </c>
      <c r="C9" s="9">
        <v>66</v>
      </c>
      <c r="D9" s="10">
        <f>'34#楼明细(表2.1) '!E27</f>
        <v>2.21</v>
      </c>
      <c r="E9" s="10">
        <f t="shared" si="0"/>
        <v>145.86</v>
      </c>
      <c r="F9" s="11"/>
    </row>
    <row r="10" s="65" customFormat="1" ht="48" customHeight="1" spans="1:6">
      <c r="A10" s="12" t="s">
        <v>484</v>
      </c>
      <c r="B10" s="13"/>
      <c r="C10" s="13">
        <f>SUM(C3:C9)</f>
        <v>422</v>
      </c>
      <c r="D10" s="14"/>
      <c r="E10" s="14">
        <f>SUM(E3:E9)</f>
        <v>845.44</v>
      </c>
      <c r="F10" s="21"/>
    </row>
    <row r="11" s="65" customFormat="1" ht="48" customHeight="1"/>
    <row r="12" s="65" customFormat="1" ht="55.5" customHeight="1"/>
  </sheetData>
  <mergeCells count="3">
    <mergeCell ref="A1:F1"/>
    <mergeCell ref="A3:A5"/>
    <mergeCell ref="A6:A9"/>
  </mergeCells>
  <printOptions horizontalCentered="1"/>
  <pageMargins left="0.708661417322835" right="0.708661417322835" top="0.748031496062992" bottom="0.748031496062992" header="0.31496062992126" footer="0.31496062992126"/>
  <pageSetup paperSize="9" scale="8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F40"/>
  <sheetViews>
    <sheetView workbookViewId="0">
      <pane ySplit="1" topLeftCell="A2" activePane="bottomLeft" state="frozen"/>
      <selection/>
      <selection pane="bottomLeft" activeCell="I21" sqref="I21"/>
    </sheetView>
  </sheetViews>
  <sheetFormatPr defaultColWidth="12.625" defaultRowHeight="25" customHeight="1" outlineLevelCol="5"/>
  <cols>
    <col min="1" max="1" width="9.5" style="64" customWidth="1"/>
    <col min="2" max="4" width="12.625" style="64" customWidth="1"/>
    <col min="5" max="5" width="18.75" style="64" customWidth="1"/>
    <col min="6" max="16384" width="12.625" style="64" customWidth="1"/>
  </cols>
  <sheetData>
    <row r="1" customHeight="1" spans="1:6">
      <c r="A1" s="53" t="s">
        <v>514</v>
      </c>
      <c r="B1" s="54"/>
      <c r="C1" s="54"/>
      <c r="D1" s="53"/>
      <c r="E1" s="53"/>
      <c r="F1" s="53"/>
    </row>
    <row r="2" customHeight="1" spans="1:6">
      <c r="A2" s="4" t="s">
        <v>504</v>
      </c>
      <c r="B2" s="5" t="s">
        <v>370</v>
      </c>
      <c r="C2" s="5" t="s">
        <v>515</v>
      </c>
      <c r="D2" s="5" t="s">
        <v>516</v>
      </c>
      <c r="E2" s="6" t="s">
        <v>506</v>
      </c>
      <c r="F2" s="7" t="s">
        <v>374</v>
      </c>
    </row>
    <row r="3" customHeight="1" spans="1:6">
      <c r="A3" s="8" t="s">
        <v>508</v>
      </c>
      <c r="B3" s="9" t="s">
        <v>509</v>
      </c>
      <c r="C3" s="9">
        <v>1120</v>
      </c>
      <c r="D3" s="9">
        <v>1770</v>
      </c>
      <c r="E3" s="10">
        <f>(C3*D3+C4*D4+C5*D5+C6*D6)/4/1000000</f>
        <v>2.06</v>
      </c>
      <c r="F3" s="17" t="s">
        <v>517</v>
      </c>
    </row>
    <row r="4" customHeight="1" spans="1:6">
      <c r="A4" s="8"/>
      <c r="B4" s="9"/>
      <c r="C4" s="9">
        <v>1120</v>
      </c>
      <c r="D4" s="9">
        <v>1780</v>
      </c>
      <c r="E4" s="10"/>
      <c r="F4" s="17" t="s">
        <v>517</v>
      </c>
    </row>
    <row r="5" customHeight="1" spans="1:6">
      <c r="A5" s="8"/>
      <c r="B5" s="9"/>
      <c r="C5" s="9">
        <v>1200</v>
      </c>
      <c r="D5" s="9">
        <v>1780</v>
      </c>
      <c r="E5" s="10"/>
      <c r="F5" s="17" t="s">
        <v>518</v>
      </c>
    </row>
    <row r="6" customHeight="1" spans="1:6">
      <c r="A6" s="8"/>
      <c r="B6" s="9"/>
      <c r="C6" s="9">
        <v>1200</v>
      </c>
      <c r="D6" s="9">
        <v>1780</v>
      </c>
      <c r="E6" s="10"/>
      <c r="F6" s="17" t="s">
        <v>518</v>
      </c>
    </row>
    <row r="7" customHeight="1" spans="1:6">
      <c r="A7" s="8"/>
      <c r="B7" s="9" t="s">
        <v>510</v>
      </c>
      <c r="C7" s="9">
        <v>930</v>
      </c>
      <c r="D7" s="9">
        <v>2070</v>
      </c>
      <c r="E7" s="10">
        <f t="shared" ref="E7:E11" si="0">(C7*D7+C8*D8)/2/1000000</f>
        <v>1.91</v>
      </c>
      <c r="F7" s="17" t="s">
        <v>517</v>
      </c>
    </row>
    <row r="8" customHeight="1" spans="1:6">
      <c r="A8" s="8"/>
      <c r="B8" s="9"/>
      <c r="C8" s="9">
        <v>930</v>
      </c>
      <c r="D8" s="9">
        <v>2040</v>
      </c>
      <c r="E8" s="10"/>
      <c r="F8" s="17" t="s">
        <v>518</v>
      </c>
    </row>
    <row r="9" customHeight="1" spans="1:6">
      <c r="A9" s="8"/>
      <c r="B9" s="9" t="s">
        <v>511</v>
      </c>
      <c r="C9" s="9">
        <v>1150</v>
      </c>
      <c r="D9" s="9">
        <v>2070</v>
      </c>
      <c r="E9" s="10">
        <f t="shared" si="0"/>
        <v>2.42</v>
      </c>
      <c r="F9" s="17" t="s">
        <v>517</v>
      </c>
    </row>
    <row r="10" customHeight="1" spans="1:6">
      <c r="A10" s="8"/>
      <c r="B10" s="9"/>
      <c r="C10" s="9">
        <v>1180</v>
      </c>
      <c r="D10" s="9">
        <v>2090</v>
      </c>
      <c r="E10" s="10"/>
      <c r="F10" s="17" t="s">
        <v>518</v>
      </c>
    </row>
    <row r="11" customHeight="1" spans="1:6">
      <c r="A11" s="8" t="s">
        <v>512</v>
      </c>
      <c r="B11" s="9" t="s">
        <v>513</v>
      </c>
      <c r="C11" s="9">
        <v>1200</v>
      </c>
      <c r="D11" s="9">
        <v>2080</v>
      </c>
      <c r="E11" s="10">
        <f t="shared" si="0"/>
        <v>2.49</v>
      </c>
      <c r="F11" s="17" t="s">
        <v>519</v>
      </c>
    </row>
    <row r="12" customHeight="1" spans="1:6">
      <c r="A12" s="8"/>
      <c r="B12" s="9"/>
      <c r="C12" s="9">
        <v>1200</v>
      </c>
      <c r="D12" s="9">
        <v>2070</v>
      </c>
      <c r="E12" s="10"/>
      <c r="F12" s="17" t="s">
        <v>520</v>
      </c>
    </row>
    <row r="13" customHeight="1" spans="1:6">
      <c r="A13" s="8"/>
      <c r="B13" s="9" t="s">
        <v>509</v>
      </c>
      <c r="C13" s="9">
        <v>1120</v>
      </c>
      <c r="D13" s="9">
        <v>1730</v>
      </c>
      <c r="E13" s="10">
        <f>(C13*D13+C14*D14+C15*D15+C16*D16+C17*D17)/5/1000000</f>
        <v>2.03</v>
      </c>
      <c r="F13" s="17" t="s">
        <v>521</v>
      </c>
    </row>
    <row r="14" customHeight="1" spans="1:6">
      <c r="A14" s="8"/>
      <c r="B14" s="9"/>
      <c r="C14" s="9">
        <v>1120</v>
      </c>
      <c r="D14" s="9">
        <v>1720</v>
      </c>
      <c r="E14" s="10"/>
      <c r="F14" s="17" t="s">
        <v>521</v>
      </c>
    </row>
    <row r="15" customHeight="1" spans="1:6">
      <c r="A15" s="8"/>
      <c r="B15" s="9"/>
      <c r="C15" s="9">
        <v>1200</v>
      </c>
      <c r="D15" s="9">
        <v>1780</v>
      </c>
      <c r="E15" s="10"/>
      <c r="F15" s="17" t="s">
        <v>522</v>
      </c>
    </row>
    <row r="16" customHeight="1" spans="1:6">
      <c r="A16" s="8"/>
      <c r="B16" s="9"/>
      <c r="C16" s="9">
        <v>1200</v>
      </c>
      <c r="D16" s="9">
        <v>1780</v>
      </c>
      <c r="E16" s="10"/>
      <c r="F16" s="17" t="s">
        <v>523</v>
      </c>
    </row>
    <row r="17" customHeight="1" spans="1:6">
      <c r="A17" s="8"/>
      <c r="B17" s="9"/>
      <c r="C17" s="9">
        <v>1130</v>
      </c>
      <c r="D17" s="9">
        <v>1780</v>
      </c>
      <c r="E17" s="10"/>
      <c r="F17" s="17" t="s">
        <v>524</v>
      </c>
    </row>
    <row r="18" customHeight="1" spans="1:6">
      <c r="A18" s="8"/>
      <c r="B18" s="9" t="s">
        <v>510</v>
      </c>
      <c r="C18" s="9">
        <v>920</v>
      </c>
      <c r="D18" s="9">
        <v>2020</v>
      </c>
      <c r="E18" s="10">
        <f>(C18*D18+C19*D19+C20*D20+C21*D21+C22*D22+C23*D23+C24*D24+C25*D25+C26*D26)/9/1000000</f>
        <v>1.9</v>
      </c>
      <c r="F18" s="17" t="s">
        <v>521</v>
      </c>
    </row>
    <row r="19" customHeight="1" spans="1:6">
      <c r="A19" s="8"/>
      <c r="B19" s="9"/>
      <c r="C19" s="9">
        <v>950</v>
      </c>
      <c r="D19" s="9">
        <v>2050</v>
      </c>
      <c r="E19" s="10"/>
      <c r="F19" s="17" t="s">
        <v>521</v>
      </c>
    </row>
    <row r="20" customHeight="1" spans="1:6">
      <c r="A20" s="8"/>
      <c r="B20" s="9"/>
      <c r="C20" s="9">
        <v>920</v>
      </c>
      <c r="D20" s="9">
        <v>2030</v>
      </c>
      <c r="E20" s="10"/>
      <c r="F20" s="17" t="s">
        <v>522</v>
      </c>
    </row>
    <row r="21" customHeight="1" spans="1:6">
      <c r="A21" s="8"/>
      <c r="B21" s="9"/>
      <c r="C21" s="9">
        <v>930</v>
      </c>
      <c r="D21" s="9">
        <v>2030</v>
      </c>
      <c r="E21" s="10"/>
      <c r="F21" s="17" t="s">
        <v>522</v>
      </c>
    </row>
    <row r="22" customHeight="1" spans="1:6">
      <c r="A22" s="8"/>
      <c r="B22" s="9"/>
      <c r="C22" s="9">
        <v>970</v>
      </c>
      <c r="D22" s="9">
        <v>2060</v>
      </c>
      <c r="E22" s="10"/>
      <c r="F22" s="17" t="s">
        <v>523</v>
      </c>
    </row>
    <row r="23" customHeight="1" spans="1:6">
      <c r="A23" s="8"/>
      <c r="B23" s="9"/>
      <c r="C23" s="9">
        <v>930</v>
      </c>
      <c r="D23" s="9">
        <v>2050</v>
      </c>
      <c r="E23" s="10"/>
      <c r="F23" s="17" t="s">
        <v>523</v>
      </c>
    </row>
    <row r="24" customHeight="1" spans="1:6">
      <c r="A24" s="8"/>
      <c r="B24" s="9"/>
      <c r="C24" s="9">
        <v>930</v>
      </c>
      <c r="D24" s="9">
        <v>2030</v>
      </c>
      <c r="E24" s="10"/>
      <c r="F24" s="17" t="s">
        <v>523</v>
      </c>
    </row>
    <row r="25" customHeight="1" spans="1:6">
      <c r="A25" s="8"/>
      <c r="B25" s="9"/>
      <c r="C25" s="9">
        <v>920</v>
      </c>
      <c r="D25" s="9">
        <v>2050</v>
      </c>
      <c r="E25" s="10"/>
      <c r="F25" s="17" t="s">
        <v>524</v>
      </c>
    </row>
    <row r="26" customHeight="1" spans="1:6">
      <c r="A26" s="8"/>
      <c r="B26" s="9"/>
      <c r="C26" s="9">
        <v>930</v>
      </c>
      <c r="D26" s="9">
        <v>2030</v>
      </c>
      <c r="E26" s="10"/>
      <c r="F26" s="17" t="s">
        <v>524</v>
      </c>
    </row>
    <row r="27" customHeight="1" spans="1:6">
      <c r="A27" s="8"/>
      <c r="B27" s="9" t="s">
        <v>511</v>
      </c>
      <c r="C27" s="9">
        <v>1100</v>
      </c>
      <c r="D27" s="9">
        <v>2050</v>
      </c>
      <c r="E27" s="10">
        <f>(C27*D27+C28*D28+C29*D29+C30*D30)/4/1000000</f>
        <v>2.21</v>
      </c>
      <c r="F27" s="17" t="s">
        <v>521</v>
      </c>
    </row>
    <row r="28" customHeight="1" spans="1:6">
      <c r="A28" s="8"/>
      <c r="B28" s="9"/>
      <c r="C28" s="9">
        <v>1130</v>
      </c>
      <c r="D28" s="9">
        <v>2040</v>
      </c>
      <c r="E28" s="10"/>
      <c r="F28" s="17" t="s">
        <v>522</v>
      </c>
    </row>
    <row r="29" customHeight="1" spans="1:6">
      <c r="A29" s="8"/>
      <c r="B29" s="9"/>
      <c r="C29" s="9">
        <v>1200</v>
      </c>
      <c r="D29" s="9">
        <v>1780</v>
      </c>
      <c r="E29" s="10"/>
      <c r="F29" s="17" t="s">
        <v>523</v>
      </c>
    </row>
    <row r="30" customHeight="1" spans="1:6">
      <c r="A30" s="18"/>
      <c r="B30" s="19"/>
      <c r="C30" s="19">
        <v>1200</v>
      </c>
      <c r="D30" s="19">
        <v>1780</v>
      </c>
      <c r="E30" s="20"/>
      <c r="F30" s="21" t="s">
        <v>523</v>
      </c>
    </row>
    <row r="38" s="63" customFormat="1" customHeight="1"/>
    <row r="40" s="63" customFormat="1" customHeight="1"/>
  </sheetData>
  <mergeCells count="17">
    <mergeCell ref="A1:F1"/>
    <mergeCell ref="A3:A10"/>
    <mergeCell ref="A11:A30"/>
    <mergeCell ref="B3:B6"/>
    <mergeCell ref="B7:B8"/>
    <mergeCell ref="B9:B10"/>
    <mergeCell ref="B11:B12"/>
    <mergeCell ref="B13:B17"/>
    <mergeCell ref="B18:B26"/>
    <mergeCell ref="B27:B30"/>
    <mergeCell ref="E3:E6"/>
    <mergeCell ref="E7:E8"/>
    <mergeCell ref="E9:E10"/>
    <mergeCell ref="E11:E12"/>
    <mergeCell ref="E13:E17"/>
    <mergeCell ref="E18:E26"/>
    <mergeCell ref="E27:E30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 horizont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H32"/>
  <sheetViews>
    <sheetView workbookViewId="0">
      <selection activeCell="H15" sqref="H15"/>
    </sheetView>
  </sheetViews>
  <sheetFormatPr defaultColWidth="12.625" defaultRowHeight="25" customHeight="1" outlineLevelCol="7"/>
  <cols>
    <col min="1" max="1" width="10.5" style="2" customWidth="1"/>
    <col min="2" max="3" width="12.625" style="2" customWidth="1"/>
    <col min="4" max="4" width="18.25" style="2" customWidth="1"/>
    <col min="5" max="16384" width="12.625" style="2" customWidth="1"/>
  </cols>
  <sheetData>
    <row r="1" s="1" customFormat="1" customHeight="1" spans="1:6">
      <c r="A1" s="55" t="s">
        <v>525</v>
      </c>
      <c r="B1" s="55"/>
      <c r="C1" s="55"/>
      <c r="D1" s="55"/>
      <c r="E1" s="55"/>
      <c r="F1" s="55"/>
    </row>
    <row r="2" s="1" customFormat="1" customHeight="1" spans="1:6">
      <c r="A2" s="4" t="s">
        <v>504</v>
      </c>
      <c r="B2" s="5" t="s">
        <v>370</v>
      </c>
      <c r="C2" s="5" t="s">
        <v>505</v>
      </c>
      <c r="D2" s="6" t="s">
        <v>506</v>
      </c>
      <c r="E2" s="6" t="s">
        <v>507</v>
      </c>
      <c r="F2" s="7" t="s">
        <v>374</v>
      </c>
    </row>
    <row r="3" s="1" customFormat="1" customHeight="1" spans="1:6">
      <c r="A3" s="8" t="s">
        <v>508</v>
      </c>
      <c r="B3" s="9" t="s">
        <v>526</v>
      </c>
      <c r="C3" s="9">
        <v>12</v>
      </c>
      <c r="D3" s="10">
        <f>'35#楼明细(表2.1) '!E3</f>
        <v>1.69</v>
      </c>
      <c r="E3" s="10">
        <f t="shared" ref="E3:E9" si="0">C3*D3</f>
        <v>20.28</v>
      </c>
      <c r="F3" s="11"/>
    </row>
    <row r="4" s="1" customFormat="1" customHeight="1" spans="1:6">
      <c r="A4" s="8"/>
      <c r="B4" s="9" t="s">
        <v>510</v>
      </c>
      <c r="C4" s="9">
        <v>4</v>
      </c>
      <c r="D4" s="10">
        <f>'35#楼明细(表2.1) '!E8</f>
        <v>2</v>
      </c>
      <c r="E4" s="10">
        <f t="shared" si="0"/>
        <v>8</v>
      </c>
      <c r="F4" s="11"/>
    </row>
    <row r="5" s="1" customFormat="1" customHeight="1" spans="1:6">
      <c r="A5" s="8"/>
      <c r="B5" s="9" t="s">
        <v>511</v>
      </c>
      <c r="C5" s="9">
        <v>4</v>
      </c>
      <c r="D5" s="10">
        <f>'35#楼明细(表2.1) '!E10</f>
        <v>2.43</v>
      </c>
      <c r="E5" s="10">
        <f t="shared" si="0"/>
        <v>9.72</v>
      </c>
      <c r="F5" s="11"/>
    </row>
    <row r="6" s="1" customFormat="1" customHeight="1" spans="1:7">
      <c r="A6" s="8" t="s">
        <v>512</v>
      </c>
      <c r="B6" s="9" t="s">
        <v>526</v>
      </c>
      <c r="C6" s="9">
        <v>200</v>
      </c>
      <c r="D6" s="10">
        <f>'35#楼明细(表2.1) '!E12</f>
        <v>1.7</v>
      </c>
      <c r="E6" s="10">
        <f t="shared" si="0"/>
        <v>340</v>
      </c>
      <c r="F6" s="11"/>
      <c r="G6" s="16"/>
    </row>
    <row r="7" s="1" customFormat="1" customHeight="1" spans="1:6">
      <c r="A7" s="8"/>
      <c r="B7" s="9" t="s">
        <v>510</v>
      </c>
      <c r="C7" s="9">
        <v>202</v>
      </c>
      <c r="D7" s="10">
        <f>'35#楼明细(表2.1) '!E21</f>
        <v>1.98</v>
      </c>
      <c r="E7" s="10">
        <f t="shared" si="0"/>
        <v>399.96</v>
      </c>
      <c r="F7" s="59"/>
    </row>
    <row r="8" s="1" customFormat="1" customHeight="1" spans="1:6">
      <c r="A8" s="8"/>
      <c r="B8" s="9" t="s">
        <v>511</v>
      </c>
      <c r="C8" s="9">
        <v>66</v>
      </c>
      <c r="D8" s="10">
        <f>'35#楼明细(表2.1) '!E29</f>
        <v>2.36</v>
      </c>
      <c r="E8" s="10">
        <f t="shared" si="0"/>
        <v>155.76</v>
      </c>
      <c r="F8" s="11"/>
    </row>
    <row r="9" s="1" customFormat="1" customHeight="1" spans="1:6">
      <c r="A9" s="8"/>
      <c r="B9" s="9" t="s">
        <v>513</v>
      </c>
      <c r="C9" s="9">
        <v>2</v>
      </c>
      <c r="D9" s="10">
        <f>'35#楼明细(表2.1) '!E32</f>
        <v>2.44</v>
      </c>
      <c r="E9" s="10">
        <f t="shared" si="0"/>
        <v>4.88</v>
      </c>
      <c r="F9" s="11"/>
    </row>
    <row r="10" s="1" customFormat="1" customHeight="1" spans="1:6">
      <c r="A10" s="12" t="s">
        <v>484</v>
      </c>
      <c r="B10" s="13"/>
      <c r="C10" s="13">
        <f>SUM(C3:C9)</f>
        <v>490</v>
      </c>
      <c r="D10" s="14"/>
      <c r="E10" s="14">
        <f>SUM(E3:E9)</f>
        <v>938.6</v>
      </c>
      <c r="F10" s="60"/>
    </row>
    <row r="11" s="1" customFormat="1" customHeight="1" spans="1:8">
      <c r="A11" s="22"/>
      <c r="B11" s="22"/>
      <c r="C11" s="22"/>
      <c r="D11" s="22"/>
      <c r="E11" s="23"/>
      <c r="F11" s="22"/>
      <c r="H11" s="2"/>
    </row>
    <row r="12" s="1" customFormat="1" customHeight="1" spans="1:6">
      <c r="A12" s="22"/>
      <c r="B12" s="22"/>
      <c r="C12" s="22"/>
      <c r="D12" s="22"/>
      <c r="E12" s="23"/>
      <c r="F12" s="22"/>
    </row>
    <row r="13" customHeight="1" spans="1:6">
      <c r="A13" s="22"/>
      <c r="B13" s="22"/>
      <c r="C13" s="22"/>
      <c r="D13" s="22"/>
      <c r="E13" s="23"/>
      <c r="F13" s="22"/>
    </row>
    <row r="14" customHeight="1" spans="1:6">
      <c r="A14" s="22"/>
      <c r="B14" s="22"/>
      <c r="C14" s="22"/>
      <c r="D14" s="22"/>
      <c r="E14" s="23"/>
      <c r="F14" s="22"/>
    </row>
    <row r="15" customHeight="1" spans="1:6">
      <c r="A15" s="22"/>
      <c r="B15" s="22"/>
      <c r="C15" s="22"/>
      <c r="D15" s="22"/>
      <c r="E15" s="23"/>
      <c r="F15" s="22"/>
    </row>
    <row r="16" customHeight="1" spans="1:6">
      <c r="A16" s="22"/>
      <c r="B16" s="22"/>
      <c r="C16" s="22"/>
      <c r="D16" s="22"/>
      <c r="E16" s="23"/>
      <c r="F16" s="22"/>
    </row>
    <row r="17" customHeight="1" spans="1:6">
      <c r="A17" s="22"/>
      <c r="B17" s="22"/>
      <c r="C17" s="22"/>
      <c r="D17" s="22"/>
      <c r="E17" s="23"/>
      <c r="F17" s="22"/>
    </row>
    <row r="18" customHeight="1" spans="1:6">
      <c r="A18" s="22"/>
      <c r="B18" s="22"/>
      <c r="C18" s="22"/>
      <c r="D18" s="22"/>
      <c r="E18" s="23"/>
      <c r="F18" s="22"/>
    </row>
    <row r="19" customHeight="1" spans="1:6">
      <c r="A19" s="22"/>
      <c r="B19" s="22"/>
      <c r="C19" s="22"/>
      <c r="D19" s="22"/>
      <c r="E19" s="23"/>
      <c r="F19" s="22"/>
    </row>
    <row r="20" customHeight="1" spans="1:6">
      <c r="A20" s="22"/>
      <c r="B20" s="22"/>
      <c r="C20" s="22"/>
      <c r="D20" s="22"/>
      <c r="E20" s="23"/>
      <c r="F20" s="22"/>
    </row>
    <row r="21" customHeight="1" spans="1:6">
      <c r="A21" s="22"/>
      <c r="B21" s="22"/>
      <c r="C21" s="22"/>
      <c r="D21" s="22"/>
      <c r="E21" s="23"/>
      <c r="F21" s="22"/>
    </row>
    <row r="22" customHeight="1" spans="1:6">
      <c r="A22" s="22"/>
      <c r="B22" s="22"/>
      <c r="C22" s="22"/>
      <c r="D22" s="22"/>
      <c r="E22" s="23"/>
      <c r="F22" s="22"/>
    </row>
    <row r="23" customHeight="1" spans="1:6">
      <c r="A23" s="22"/>
      <c r="B23" s="22"/>
      <c r="C23" s="22"/>
      <c r="D23" s="22"/>
      <c r="E23" s="23"/>
      <c r="F23" s="22"/>
    </row>
    <row r="24" customHeight="1" spans="1:6">
      <c r="A24" s="22"/>
      <c r="B24" s="22"/>
      <c r="C24" s="22"/>
      <c r="D24" s="22"/>
      <c r="E24" s="23"/>
      <c r="F24" s="22"/>
    </row>
    <row r="25" customHeight="1" spans="1:6">
      <c r="A25" s="22"/>
      <c r="B25" s="22"/>
      <c r="C25" s="22"/>
      <c r="D25" s="22"/>
      <c r="E25" s="23"/>
      <c r="F25" s="22"/>
    </row>
    <row r="26" customHeight="1" spans="1:6">
      <c r="A26" s="22"/>
      <c r="B26" s="22"/>
      <c r="C26" s="22"/>
      <c r="D26" s="22"/>
      <c r="E26" s="23"/>
      <c r="F26" s="22"/>
    </row>
    <row r="27" customHeight="1" spans="1:6">
      <c r="A27" s="22"/>
      <c r="B27" s="22"/>
      <c r="C27" s="22"/>
      <c r="D27" s="22"/>
      <c r="E27" s="23"/>
      <c r="F27" s="22"/>
    </row>
    <row r="28" customHeight="1" spans="1:6">
      <c r="A28" s="22"/>
      <c r="B28" s="22"/>
      <c r="C28" s="22"/>
      <c r="D28" s="22"/>
      <c r="E28" s="23"/>
      <c r="F28" s="22"/>
    </row>
    <row r="29" customHeight="1" spans="1:6">
      <c r="A29" s="22"/>
      <c r="B29" s="22"/>
      <c r="C29" s="22"/>
      <c r="D29" s="22"/>
      <c r="E29" s="23"/>
      <c r="F29" s="22"/>
    </row>
    <row r="30" customHeight="1" spans="1:6">
      <c r="A30" s="22"/>
      <c r="B30" s="22"/>
      <c r="C30" s="22"/>
      <c r="D30" s="22"/>
      <c r="E30" s="23"/>
      <c r="F30" s="22"/>
    </row>
    <row r="31" customHeight="1" spans="1:6">
      <c r="A31" s="22"/>
      <c r="B31" s="22"/>
      <c r="C31" s="22"/>
      <c r="D31" s="22"/>
      <c r="E31" s="23"/>
      <c r="F31" s="22"/>
    </row>
    <row r="32" customHeight="1" spans="1:6">
      <c r="A32" s="22"/>
      <c r="B32" s="22"/>
      <c r="C32" s="22"/>
      <c r="D32" s="22"/>
      <c r="E32" s="23"/>
      <c r="F32" s="22"/>
    </row>
  </sheetData>
  <mergeCells count="3">
    <mergeCell ref="A1:F1"/>
    <mergeCell ref="A3:A5"/>
    <mergeCell ref="A6:A9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 horizont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F42"/>
  <sheetViews>
    <sheetView workbookViewId="0">
      <pane ySplit="1" topLeftCell="A2" activePane="bottomLeft" state="frozen"/>
      <selection/>
      <selection pane="bottomLeft" activeCell="J11" sqref="J11"/>
    </sheetView>
  </sheetViews>
  <sheetFormatPr defaultColWidth="12.625" defaultRowHeight="25" customHeight="1" outlineLevelCol="5"/>
  <cols>
    <col min="1" max="1" width="10.625" style="51" customWidth="1"/>
    <col min="2" max="4" width="12.625" style="51" customWidth="1"/>
    <col min="5" max="5" width="18.125" style="52" customWidth="1"/>
    <col min="6" max="16384" width="12.625" style="51" customWidth="1"/>
  </cols>
  <sheetData>
    <row r="1" customHeight="1" spans="1:6">
      <c r="A1" s="53" t="s">
        <v>527</v>
      </c>
      <c r="B1" s="54"/>
      <c r="C1" s="54"/>
      <c r="D1" s="53"/>
      <c r="E1" s="53"/>
      <c r="F1" s="53"/>
    </row>
    <row r="2" customHeight="1" spans="1:6">
      <c r="A2" s="4" t="s">
        <v>504</v>
      </c>
      <c r="B2" s="5" t="s">
        <v>370</v>
      </c>
      <c r="C2" s="5" t="s">
        <v>515</v>
      </c>
      <c r="D2" s="5" t="s">
        <v>516</v>
      </c>
      <c r="E2" s="6" t="s">
        <v>506</v>
      </c>
      <c r="F2" s="7" t="s">
        <v>374</v>
      </c>
    </row>
    <row r="3" s="51" customFormat="1" customHeight="1" spans="1:6">
      <c r="A3" s="8" t="s">
        <v>508</v>
      </c>
      <c r="B3" s="9" t="s">
        <v>526</v>
      </c>
      <c r="C3" s="9">
        <v>980</v>
      </c>
      <c r="D3" s="9">
        <v>1760</v>
      </c>
      <c r="E3" s="10">
        <f>(C3*D3+C4*D4+C5*D5+C6*D6+C7*D7)/5/1000000</f>
        <v>1.69</v>
      </c>
      <c r="F3" s="17" t="s">
        <v>517</v>
      </c>
    </row>
    <row r="4" s="51" customFormat="1" customHeight="1" spans="1:6">
      <c r="A4" s="8"/>
      <c r="B4" s="9"/>
      <c r="C4" s="9">
        <v>970</v>
      </c>
      <c r="D4" s="9">
        <v>1770</v>
      </c>
      <c r="E4" s="10"/>
      <c r="F4" s="17" t="s">
        <v>517</v>
      </c>
    </row>
    <row r="5" s="51" customFormat="1" customHeight="1" spans="1:6">
      <c r="A5" s="8"/>
      <c r="B5" s="9"/>
      <c r="C5" s="9">
        <v>980</v>
      </c>
      <c r="D5" s="9">
        <v>1710</v>
      </c>
      <c r="E5" s="10"/>
      <c r="F5" s="17" t="s">
        <v>518</v>
      </c>
    </row>
    <row r="6" s="51" customFormat="1" customHeight="1" spans="1:6">
      <c r="A6" s="8"/>
      <c r="B6" s="9"/>
      <c r="C6" s="9">
        <v>980</v>
      </c>
      <c r="D6" s="9">
        <v>1710</v>
      </c>
      <c r="E6" s="10"/>
      <c r="F6" s="17" t="s">
        <v>518</v>
      </c>
    </row>
    <row r="7" s="51" customFormat="1" customHeight="1" spans="1:6">
      <c r="A7" s="8"/>
      <c r="B7" s="9"/>
      <c r="C7" s="9">
        <v>970</v>
      </c>
      <c r="D7" s="9">
        <v>1710</v>
      </c>
      <c r="E7" s="10"/>
      <c r="F7" s="17" t="s">
        <v>518</v>
      </c>
    </row>
    <row r="8" s="51" customFormat="1" customHeight="1" spans="1:6">
      <c r="A8" s="8"/>
      <c r="B8" s="9" t="s">
        <v>510</v>
      </c>
      <c r="C8" s="9">
        <v>960</v>
      </c>
      <c r="D8" s="9">
        <v>2080</v>
      </c>
      <c r="E8" s="10">
        <f>(C8*D8+C9*D9)/2/1000000</f>
        <v>2</v>
      </c>
      <c r="F8" s="17" t="s">
        <v>517</v>
      </c>
    </row>
    <row r="9" s="51" customFormat="1" customHeight="1" spans="1:6">
      <c r="A9" s="8"/>
      <c r="B9" s="9"/>
      <c r="C9" s="9">
        <v>970</v>
      </c>
      <c r="D9" s="9">
        <v>2070</v>
      </c>
      <c r="E9" s="10"/>
      <c r="F9" s="17" t="s">
        <v>518</v>
      </c>
    </row>
    <row r="10" s="51" customFormat="1" customHeight="1" spans="1:6">
      <c r="A10" s="8"/>
      <c r="B10" s="9" t="s">
        <v>511</v>
      </c>
      <c r="C10" s="9">
        <v>1150</v>
      </c>
      <c r="D10" s="9">
        <v>2090</v>
      </c>
      <c r="E10" s="10">
        <f>(C10*D10+C11*D11)/2/1000000</f>
        <v>2.43</v>
      </c>
      <c r="F10" s="17" t="s">
        <v>517</v>
      </c>
    </row>
    <row r="11" s="51" customFormat="1" customHeight="1" spans="1:6">
      <c r="A11" s="8"/>
      <c r="B11" s="9"/>
      <c r="C11" s="9">
        <v>1180</v>
      </c>
      <c r="D11" s="9">
        <v>2080</v>
      </c>
      <c r="E11" s="10"/>
      <c r="F11" s="17" t="s">
        <v>518</v>
      </c>
    </row>
    <row r="12" s="51" customFormat="1" customHeight="1" spans="1:6">
      <c r="A12" s="8" t="s">
        <v>512</v>
      </c>
      <c r="B12" s="9" t="s">
        <v>526</v>
      </c>
      <c r="C12" s="9">
        <v>970</v>
      </c>
      <c r="D12" s="9">
        <v>1760</v>
      </c>
      <c r="E12" s="10">
        <f>(C12*D12+C13*D13+C14*D14+C15*D15+C16*D16+C17*D17+C18*D18+C19*D19+C20*D20)/9/1000000</f>
        <v>1.7</v>
      </c>
      <c r="F12" s="17" t="s">
        <v>521</v>
      </c>
    </row>
    <row r="13" s="51" customFormat="1" customHeight="1" spans="1:6">
      <c r="A13" s="8"/>
      <c r="B13" s="9"/>
      <c r="C13" s="9">
        <v>970</v>
      </c>
      <c r="D13" s="9">
        <v>1760</v>
      </c>
      <c r="E13" s="10"/>
      <c r="F13" s="17" t="s">
        <v>521</v>
      </c>
    </row>
    <row r="14" s="51" customFormat="1" customHeight="1" spans="1:6">
      <c r="A14" s="8"/>
      <c r="B14" s="9"/>
      <c r="C14" s="9">
        <v>970</v>
      </c>
      <c r="D14" s="9">
        <v>1770</v>
      </c>
      <c r="E14" s="10"/>
      <c r="F14" s="17" t="s">
        <v>521</v>
      </c>
    </row>
    <row r="15" s="51" customFormat="1" customHeight="1" spans="1:6">
      <c r="A15" s="8"/>
      <c r="B15" s="9"/>
      <c r="C15" s="9">
        <f>(850+55*2)</f>
        <v>960</v>
      </c>
      <c r="D15" s="9">
        <v>1750</v>
      </c>
      <c r="E15" s="10"/>
      <c r="F15" s="17" t="s">
        <v>522</v>
      </c>
    </row>
    <row r="16" s="51" customFormat="1" customHeight="1" spans="1:6">
      <c r="A16" s="8"/>
      <c r="B16" s="9"/>
      <c r="C16" s="9">
        <v>970</v>
      </c>
      <c r="D16" s="9">
        <v>1780</v>
      </c>
      <c r="E16" s="10"/>
      <c r="F16" s="17" t="s">
        <v>522</v>
      </c>
    </row>
    <row r="17" s="51" customFormat="1" customHeight="1" spans="1:6">
      <c r="A17" s="8"/>
      <c r="B17" s="9"/>
      <c r="C17" s="9">
        <v>950</v>
      </c>
      <c r="D17" s="9">
        <v>1750</v>
      </c>
      <c r="E17" s="10"/>
      <c r="F17" s="17" t="s">
        <v>522</v>
      </c>
    </row>
    <row r="18" s="51" customFormat="1" customHeight="1" spans="1:6">
      <c r="A18" s="8"/>
      <c r="B18" s="9"/>
      <c r="C18" s="9">
        <v>960</v>
      </c>
      <c r="D18" s="9">
        <v>1770</v>
      </c>
      <c r="E18" s="10"/>
      <c r="F18" s="17" t="s">
        <v>524</v>
      </c>
    </row>
    <row r="19" s="51" customFormat="1" customHeight="1" spans="1:6">
      <c r="A19" s="8"/>
      <c r="B19" s="9"/>
      <c r="C19" s="9">
        <v>960</v>
      </c>
      <c r="D19" s="9">
        <v>1750</v>
      </c>
      <c r="E19" s="10"/>
      <c r="F19" s="17" t="s">
        <v>524</v>
      </c>
    </row>
    <row r="20" s="51" customFormat="1" customHeight="1" spans="1:6">
      <c r="A20" s="8"/>
      <c r="B20" s="9"/>
      <c r="C20" s="9">
        <v>970</v>
      </c>
      <c r="D20" s="9">
        <v>1770</v>
      </c>
      <c r="E20" s="10"/>
      <c r="F20" s="17" t="s">
        <v>524</v>
      </c>
    </row>
    <row r="21" s="51" customFormat="1" customHeight="1" spans="1:6">
      <c r="A21" s="8"/>
      <c r="B21" s="9" t="s">
        <v>510</v>
      </c>
      <c r="C21" s="9">
        <v>960</v>
      </c>
      <c r="D21" s="9">
        <v>2050</v>
      </c>
      <c r="E21" s="10">
        <f>(C21*D21+C22*D22+C23*D23+C24*D24+C25*D25+C26*D26+C27*D27+C28*D28)/8/1000000</f>
        <v>1.98</v>
      </c>
      <c r="F21" s="17" t="s">
        <v>521</v>
      </c>
    </row>
    <row r="22" s="51" customFormat="1" customHeight="1" spans="1:6">
      <c r="A22" s="8"/>
      <c r="B22" s="9"/>
      <c r="C22" s="9">
        <v>950</v>
      </c>
      <c r="D22" s="9">
        <v>2050</v>
      </c>
      <c r="E22" s="10"/>
      <c r="F22" s="17" t="s">
        <v>521</v>
      </c>
    </row>
    <row r="23" s="51" customFormat="1" customHeight="1" spans="1:6">
      <c r="A23" s="8"/>
      <c r="B23" s="9"/>
      <c r="C23" s="9">
        <v>940</v>
      </c>
      <c r="D23" s="9">
        <v>2050</v>
      </c>
      <c r="E23" s="10"/>
      <c r="F23" s="17" t="s">
        <v>521</v>
      </c>
    </row>
    <row r="24" s="51" customFormat="1" customHeight="1" spans="1:6">
      <c r="A24" s="8"/>
      <c r="B24" s="9"/>
      <c r="C24" s="9">
        <v>960</v>
      </c>
      <c r="D24" s="9">
        <v>2070</v>
      </c>
      <c r="E24" s="10"/>
      <c r="F24" s="17" t="s">
        <v>522</v>
      </c>
    </row>
    <row r="25" s="51" customFormat="1" customHeight="1" spans="1:6">
      <c r="A25" s="8"/>
      <c r="B25" s="9"/>
      <c r="C25" s="9">
        <v>960</v>
      </c>
      <c r="D25" s="9">
        <v>2070</v>
      </c>
      <c r="E25" s="10"/>
      <c r="F25" s="17" t="s">
        <v>522</v>
      </c>
    </row>
    <row r="26" s="51" customFormat="1" customHeight="1" spans="1:6">
      <c r="A26" s="8"/>
      <c r="B26" s="9"/>
      <c r="C26" s="9">
        <v>980</v>
      </c>
      <c r="D26" s="9">
        <v>2050</v>
      </c>
      <c r="E26" s="10"/>
      <c r="F26" s="17" t="s">
        <v>522</v>
      </c>
    </row>
    <row r="27" s="51" customFormat="1" customHeight="1" spans="1:6">
      <c r="A27" s="8"/>
      <c r="B27" s="9"/>
      <c r="C27" s="9">
        <v>970</v>
      </c>
      <c r="D27" s="9">
        <v>2070</v>
      </c>
      <c r="E27" s="10"/>
      <c r="F27" s="17" t="s">
        <v>524</v>
      </c>
    </row>
    <row r="28" s="51" customFormat="1" customHeight="1" spans="1:6">
      <c r="A28" s="8"/>
      <c r="B28" s="9"/>
      <c r="C28" s="9">
        <v>970</v>
      </c>
      <c r="D28" s="9">
        <v>2070</v>
      </c>
      <c r="E28" s="10"/>
      <c r="F28" s="17" t="s">
        <v>524</v>
      </c>
    </row>
    <row r="29" s="51" customFormat="1" customHeight="1" spans="1:6">
      <c r="A29" s="8"/>
      <c r="B29" s="9" t="s">
        <v>511</v>
      </c>
      <c r="C29" s="9">
        <v>1130</v>
      </c>
      <c r="D29" s="9">
        <v>2070</v>
      </c>
      <c r="E29" s="10">
        <f>(C29*D29+C30*D30+C31*D31)/3/1000000</f>
        <v>2.36</v>
      </c>
      <c r="F29" s="17" t="s">
        <v>521</v>
      </c>
    </row>
    <row r="30" s="51" customFormat="1" customHeight="1" spans="1:6">
      <c r="A30" s="8"/>
      <c r="B30" s="9"/>
      <c r="C30" s="9">
        <f>(1040+55*2)</f>
        <v>1150</v>
      </c>
      <c r="D30" s="9">
        <f>(2000+55)</f>
        <v>2055</v>
      </c>
      <c r="E30" s="10"/>
      <c r="F30" s="17" t="s">
        <v>522</v>
      </c>
    </row>
    <row r="31" s="51" customFormat="1" customHeight="1" spans="1:6">
      <c r="A31" s="8"/>
      <c r="B31" s="9"/>
      <c r="C31" s="9">
        <f>(1050+55*2)</f>
        <v>1160</v>
      </c>
      <c r="D31" s="9">
        <f>(2000+55)</f>
        <v>2055</v>
      </c>
      <c r="E31" s="10"/>
      <c r="F31" s="17" t="s">
        <v>524</v>
      </c>
    </row>
    <row r="32" s="51" customFormat="1" customHeight="1" spans="1:6">
      <c r="A32" s="8"/>
      <c r="B32" s="9" t="s">
        <v>513</v>
      </c>
      <c r="C32" s="9">
        <v>1160</v>
      </c>
      <c r="D32" s="9">
        <v>2060</v>
      </c>
      <c r="E32" s="10">
        <f>(C32*D32+C33*D33)/2/1000000</f>
        <v>2.44</v>
      </c>
      <c r="F32" s="17" t="s">
        <v>519</v>
      </c>
    </row>
    <row r="33" s="51" customFormat="1" customHeight="1" spans="1:6">
      <c r="A33" s="18"/>
      <c r="B33" s="19"/>
      <c r="C33" s="19">
        <v>1200</v>
      </c>
      <c r="D33" s="19">
        <v>2080</v>
      </c>
      <c r="E33" s="20"/>
      <c r="F33" s="21" t="s">
        <v>520</v>
      </c>
    </row>
    <row r="40" s="63" customFormat="1" customHeight="1" spans="1:6">
      <c r="A40" s="51"/>
      <c r="B40" s="51"/>
      <c r="C40" s="51"/>
      <c r="D40" s="51"/>
      <c r="E40" s="52"/>
      <c r="F40" s="51"/>
    </row>
    <row r="42" s="63" customFormat="1" customHeight="1" spans="1:6">
      <c r="A42" s="51"/>
      <c r="B42" s="51"/>
      <c r="C42" s="51"/>
      <c r="D42" s="51"/>
      <c r="E42" s="52"/>
      <c r="F42" s="51"/>
    </row>
  </sheetData>
  <mergeCells count="17">
    <mergeCell ref="A1:F1"/>
    <mergeCell ref="A3:A11"/>
    <mergeCell ref="A12:A33"/>
    <mergeCell ref="B3:B7"/>
    <mergeCell ref="B8:B9"/>
    <mergeCell ref="B10:B11"/>
    <mergeCell ref="B12:B20"/>
    <mergeCell ref="B21:B28"/>
    <mergeCell ref="B29:B31"/>
    <mergeCell ref="B32:B33"/>
    <mergeCell ref="E3:E7"/>
    <mergeCell ref="E8:E9"/>
    <mergeCell ref="E10:E11"/>
    <mergeCell ref="E12:E20"/>
    <mergeCell ref="E21:E28"/>
    <mergeCell ref="E29:E31"/>
    <mergeCell ref="E32:E33"/>
  </mergeCells>
  <printOptions horizontalCentered="1"/>
  <pageMargins left="0.747916666666667" right="0.747916666666667" top="0.511805555555556" bottom="0.984027777777778" header="0.314583333333333" footer="0.511805555555556"/>
  <pageSetup paperSize="9" scale="84" orientation="portrait" horizontalDpi="600"/>
  <headerFooter alignWithMargins="0"/>
  <rowBreaks count="1" manualBreakCount="1">
    <brk id="3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H32"/>
  <sheetViews>
    <sheetView workbookViewId="0">
      <selection activeCell="A1" sqref="$A1:$XFD1048576"/>
    </sheetView>
  </sheetViews>
  <sheetFormatPr defaultColWidth="12.625" defaultRowHeight="25" customHeight="1" outlineLevelCol="7"/>
  <cols>
    <col min="1" max="1" width="10.25" style="2" customWidth="1"/>
    <col min="2" max="3" width="12.625" style="2" customWidth="1"/>
    <col min="4" max="4" width="17.375" style="2" customWidth="1"/>
    <col min="5" max="5" width="12.625" style="2" customWidth="1"/>
    <col min="6" max="6" width="19.025" style="2" customWidth="1"/>
    <col min="7" max="16384" width="12.625" style="2" customWidth="1"/>
  </cols>
  <sheetData>
    <row r="1" s="1" customFormat="1" customHeight="1" spans="1:6">
      <c r="A1" s="55" t="s">
        <v>528</v>
      </c>
      <c r="B1" s="55"/>
      <c r="C1" s="55"/>
      <c r="D1" s="55"/>
      <c r="E1" s="55"/>
      <c r="F1" s="55"/>
    </row>
    <row r="2" s="1" customFormat="1" customHeight="1" spans="1:6">
      <c r="A2" s="4" t="s">
        <v>504</v>
      </c>
      <c r="B2" s="5" t="s">
        <v>370</v>
      </c>
      <c r="C2" s="5" t="s">
        <v>505</v>
      </c>
      <c r="D2" s="6" t="s">
        <v>506</v>
      </c>
      <c r="E2" s="6" t="s">
        <v>507</v>
      </c>
      <c r="F2" s="7" t="s">
        <v>374</v>
      </c>
    </row>
    <row r="3" s="1" customFormat="1" customHeight="1" spans="1:6">
      <c r="A3" s="8" t="s">
        <v>508</v>
      </c>
      <c r="B3" s="9" t="s">
        <v>526</v>
      </c>
      <c r="C3" s="9">
        <v>12</v>
      </c>
      <c r="D3" s="10">
        <f>'36#楼明细(表2.1)  '!E3</f>
        <v>1.74</v>
      </c>
      <c r="E3" s="10">
        <f t="shared" ref="E3:E9" si="0">C3*D3</f>
        <v>20.88</v>
      </c>
      <c r="F3" s="11"/>
    </row>
    <row r="4" s="1" customFormat="1" customHeight="1" spans="1:6">
      <c r="A4" s="8"/>
      <c r="B4" s="9" t="s">
        <v>510</v>
      </c>
      <c r="C4" s="9">
        <v>4</v>
      </c>
      <c r="D4" s="10">
        <f>'36#楼明细(表2.1)  '!E9</f>
        <v>1.98</v>
      </c>
      <c r="E4" s="10">
        <f t="shared" si="0"/>
        <v>7.92</v>
      </c>
      <c r="F4" s="11"/>
    </row>
    <row r="5" s="1" customFormat="1" customHeight="1" spans="1:6">
      <c r="A5" s="8"/>
      <c r="B5" s="9" t="s">
        <v>511</v>
      </c>
      <c r="C5" s="9">
        <v>4</v>
      </c>
      <c r="D5" s="10">
        <f>'36#楼明细(表2.1)  '!E11</f>
        <v>2.4</v>
      </c>
      <c r="E5" s="10">
        <f t="shared" si="0"/>
        <v>9.6</v>
      </c>
      <c r="F5" s="11"/>
    </row>
    <row r="6" s="1" customFormat="1" customHeight="1" spans="1:7">
      <c r="A6" s="8" t="s">
        <v>512</v>
      </c>
      <c r="B6" s="9" t="s">
        <v>526</v>
      </c>
      <c r="C6" s="9">
        <v>200</v>
      </c>
      <c r="D6" s="10">
        <f>'36#楼明细(表2.1)  '!E13</f>
        <v>1.71</v>
      </c>
      <c r="E6" s="10">
        <f t="shared" si="0"/>
        <v>342</v>
      </c>
      <c r="F6" s="11"/>
      <c r="G6" s="16"/>
    </row>
    <row r="7" s="1" customFormat="1" customHeight="1" spans="1:6">
      <c r="A7" s="8"/>
      <c r="B7" s="9" t="s">
        <v>513</v>
      </c>
      <c r="C7" s="9">
        <v>2</v>
      </c>
      <c r="D7" s="10">
        <f>'36#楼明细(表2.1)  '!E18</f>
        <v>2.44</v>
      </c>
      <c r="E7" s="10">
        <f t="shared" si="0"/>
        <v>4.88</v>
      </c>
      <c r="F7" s="11"/>
    </row>
    <row r="8" s="1" customFormat="1" customHeight="1" spans="1:6">
      <c r="A8" s="8"/>
      <c r="B8" s="9" t="s">
        <v>510</v>
      </c>
      <c r="C8" s="9">
        <v>198</v>
      </c>
      <c r="D8" s="10">
        <f>'36#楼明细(表2.1)  '!E19</f>
        <v>1.99</v>
      </c>
      <c r="E8" s="10">
        <f t="shared" si="0"/>
        <v>394.02</v>
      </c>
      <c r="F8" s="59" t="s">
        <v>529</v>
      </c>
    </row>
    <row r="9" s="1" customFormat="1" customHeight="1" spans="1:6">
      <c r="A9" s="8"/>
      <c r="B9" s="9" t="s">
        <v>511</v>
      </c>
      <c r="C9" s="9">
        <v>66</v>
      </c>
      <c r="D9" s="10">
        <f>'36#楼明细(表2.1)  '!E27</f>
        <v>2.38</v>
      </c>
      <c r="E9" s="10">
        <f t="shared" si="0"/>
        <v>157.08</v>
      </c>
      <c r="F9" s="11"/>
    </row>
    <row r="10" s="1" customFormat="1" customHeight="1" spans="1:6">
      <c r="A10" s="12" t="s">
        <v>484</v>
      </c>
      <c r="B10" s="13"/>
      <c r="C10" s="13">
        <f>SUM(C3:C9)</f>
        <v>486</v>
      </c>
      <c r="D10" s="14"/>
      <c r="E10" s="14">
        <f>SUM(E3:E9)</f>
        <v>936.38</v>
      </c>
      <c r="F10" s="60"/>
    </row>
    <row r="11" s="1" customFormat="1" customHeight="1" spans="1:8">
      <c r="A11" s="22"/>
      <c r="B11" s="22"/>
      <c r="C11" s="22"/>
      <c r="D11" s="22"/>
      <c r="E11" s="23"/>
      <c r="F11" s="22"/>
      <c r="H11" s="2"/>
    </row>
    <row r="12" s="1" customFormat="1" customHeight="1" spans="1:6">
      <c r="A12" s="22"/>
      <c r="B12" s="22"/>
      <c r="C12" s="22"/>
      <c r="D12" s="22"/>
      <c r="E12" s="23"/>
      <c r="F12" s="22"/>
    </row>
    <row r="13" s="2" customFormat="1" customHeight="1" spans="1:6">
      <c r="A13" s="22"/>
      <c r="B13" s="22"/>
      <c r="C13" s="22"/>
      <c r="D13" s="22"/>
      <c r="E13" s="23"/>
      <c r="F13" s="22"/>
    </row>
    <row r="14" s="2" customFormat="1" customHeight="1" spans="1:6">
      <c r="A14" s="22"/>
      <c r="B14" s="22"/>
      <c r="C14" s="22"/>
      <c r="D14" s="22"/>
      <c r="E14" s="23"/>
      <c r="F14" s="22"/>
    </row>
    <row r="15" s="2" customFormat="1" customHeight="1" spans="1:6">
      <c r="A15" s="22"/>
      <c r="B15" s="22"/>
      <c r="C15" s="22"/>
      <c r="D15" s="22"/>
      <c r="E15" s="23"/>
      <c r="F15" s="22"/>
    </row>
    <row r="16" s="2" customFormat="1" customHeight="1" spans="1:6">
      <c r="A16" s="22"/>
      <c r="B16" s="22"/>
      <c r="C16" s="22"/>
      <c r="D16" s="22"/>
      <c r="E16" s="23"/>
      <c r="F16" s="22"/>
    </row>
    <row r="17" s="2" customFormat="1" customHeight="1" spans="1:6">
      <c r="A17" s="22"/>
      <c r="B17" s="22"/>
      <c r="C17" s="22"/>
      <c r="D17" s="22"/>
      <c r="E17" s="23"/>
      <c r="F17" s="22"/>
    </row>
    <row r="18" s="2" customFormat="1" customHeight="1" spans="1:6">
      <c r="A18" s="22"/>
      <c r="B18" s="22"/>
      <c r="C18" s="22"/>
      <c r="D18" s="22"/>
      <c r="E18" s="23"/>
      <c r="F18" s="22"/>
    </row>
    <row r="19" s="2" customFormat="1" customHeight="1" spans="1:6">
      <c r="A19" s="22"/>
      <c r="B19" s="22"/>
      <c r="C19" s="22"/>
      <c r="D19" s="22"/>
      <c r="E19" s="23"/>
      <c r="F19" s="22"/>
    </row>
    <row r="20" s="2" customFormat="1" customHeight="1" spans="1:6">
      <c r="A20" s="22"/>
      <c r="B20" s="22"/>
      <c r="C20" s="22"/>
      <c r="D20" s="22"/>
      <c r="E20" s="23"/>
      <c r="F20" s="22"/>
    </row>
    <row r="21" s="2" customFormat="1" customHeight="1" spans="1:6">
      <c r="A21" s="22"/>
      <c r="B21" s="22"/>
      <c r="C21" s="22"/>
      <c r="D21" s="22"/>
      <c r="E21" s="23"/>
      <c r="F21" s="22"/>
    </row>
    <row r="22" s="2" customFormat="1" customHeight="1" spans="1:6">
      <c r="A22" s="22"/>
      <c r="B22" s="22"/>
      <c r="C22" s="22"/>
      <c r="D22" s="22"/>
      <c r="E22" s="23"/>
      <c r="F22" s="22"/>
    </row>
    <row r="23" s="2" customFormat="1" customHeight="1" spans="1:6">
      <c r="A23" s="22"/>
      <c r="B23" s="22"/>
      <c r="C23" s="22"/>
      <c r="D23" s="22"/>
      <c r="E23" s="23"/>
      <c r="F23" s="22"/>
    </row>
    <row r="24" s="2" customFormat="1" customHeight="1" spans="1:6">
      <c r="A24" s="22"/>
      <c r="B24" s="22"/>
      <c r="C24" s="22"/>
      <c r="D24" s="22"/>
      <c r="E24" s="23"/>
      <c r="F24" s="22"/>
    </row>
    <row r="25" s="2" customFormat="1" customHeight="1" spans="1:6">
      <c r="A25" s="22"/>
      <c r="B25" s="22"/>
      <c r="C25" s="22"/>
      <c r="D25" s="22"/>
      <c r="E25" s="23"/>
      <c r="F25" s="22"/>
    </row>
    <row r="26" s="2" customFormat="1" customHeight="1" spans="1:6">
      <c r="A26" s="22"/>
      <c r="B26" s="22"/>
      <c r="C26" s="22"/>
      <c r="D26" s="22"/>
      <c r="E26" s="23"/>
      <c r="F26" s="22"/>
    </row>
    <row r="27" s="2" customFormat="1" customHeight="1" spans="1:6">
      <c r="A27" s="22"/>
      <c r="B27" s="22"/>
      <c r="C27" s="22"/>
      <c r="D27" s="22"/>
      <c r="E27" s="23"/>
      <c r="F27" s="22"/>
    </row>
    <row r="28" s="2" customFormat="1" customHeight="1" spans="1:6">
      <c r="A28" s="22"/>
      <c r="B28" s="22"/>
      <c r="C28" s="22"/>
      <c r="D28" s="22"/>
      <c r="E28" s="23"/>
      <c r="F28" s="22"/>
    </row>
    <row r="29" s="2" customFormat="1" customHeight="1" spans="1:6">
      <c r="A29" s="22"/>
      <c r="B29" s="22"/>
      <c r="C29" s="22"/>
      <c r="D29" s="22"/>
      <c r="E29" s="23"/>
      <c r="F29" s="22"/>
    </row>
    <row r="30" s="2" customFormat="1" customHeight="1" spans="1:6">
      <c r="A30" s="22"/>
      <c r="B30" s="22"/>
      <c r="C30" s="22"/>
      <c r="D30" s="22"/>
      <c r="E30" s="23"/>
      <c r="F30" s="22"/>
    </row>
    <row r="31" s="2" customFormat="1" customHeight="1" spans="1:6">
      <c r="A31" s="22"/>
      <c r="B31" s="22"/>
      <c r="C31" s="22"/>
      <c r="D31" s="22"/>
      <c r="E31" s="23"/>
      <c r="F31" s="22"/>
    </row>
    <row r="32" s="2" customFormat="1" customHeight="1" spans="1:6">
      <c r="A32" s="22"/>
      <c r="B32" s="22"/>
      <c r="C32" s="22"/>
      <c r="D32" s="22"/>
      <c r="E32" s="23"/>
      <c r="F32" s="22"/>
    </row>
  </sheetData>
  <mergeCells count="3">
    <mergeCell ref="A1:F1"/>
    <mergeCell ref="A3:A5"/>
    <mergeCell ref="A6:A9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 horizont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37"/>
  <sheetViews>
    <sheetView workbookViewId="0">
      <pane ySplit="1" topLeftCell="A11" activePane="bottomLeft" state="frozen"/>
      <selection/>
      <selection pane="bottomLeft" activeCell="K21" sqref="K21"/>
    </sheetView>
  </sheetViews>
  <sheetFormatPr defaultColWidth="12.625" defaultRowHeight="25" customHeight="1"/>
  <cols>
    <col min="1" max="1" width="11" style="57" customWidth="1"/>
    <col min="2" max="4" width="12.625" style="57" customWidth="1"/>
    <col min="5" max="5" width="17.625" style="58" customWidth="1"/>
    <col min="6" max="16384" width="12.625" style="57" customWidth="1"/>
  </cols>
  <sheetData>
    <row r="1" customHeight="1" spans="1:6">
      <c r="A1" s="53" t="s">
        <v>530</v>
      </c>
      <c r="B1" s="54"/>
      <c r="C1" s="54"/>
      <c r="D1" s="53"/>
      <c r="E1" s="53"/>
      <c r="F1" s="53"/>
    </row>
    <row r="2" customHeight="1" spans="1:6">
      <c r="A2" s="4" t="s">
        <v>504</v>
      </c>
      <c r="B2" s="5" t="s">
        <v>370</v>
      </c>
      <c r="C2" s="5" t="s">
        <v>515</v>
      </c>
      <c r="D2" s="5" t="s">
        <v>516</v>
      </c>
      <c r="E2" s="6" t="s">
        <v>506</v>
      </c>
      <c r="F2" s="7" t="s">
        <v>374</v>
      </c>
    </row>
    <row r="3" s="1" customFormat="1" customHeight="1" spans="1:6">
      <c r="A3" s="8" t="s">
        <v>508</v>
      </c>
      <c r="B3" s="9" t="s">
        <v>526</v>
      </c>
      <c r="C3" s="9">
        <v>980</v>
      </c>
      <c r="D3" s="9">
        <v>1790</v>
      </c>
      <c r="E3" s="10">
        <f>(C3*D3+C4*D4+C5*D5+C6*D6+C7*D7+C8*D8)/6/1000000</f>
        <v>1.74</v>
      </c>
      <c r="F3" s="17" t="s">
        <v>517</v>
      </c>
    </row>
    <row r="4" s="1" customFormat="1" customHeight="1" spans="1:10">
      <c r="A4" s="8"/>
      <c r="B4" s="9"/>
      <c r="C4" s="9">
        <v>980</v>
      </c>
      <c r="D4" s="9">
        <v>1770</v>
      </c>
      <c r="E4" s="10"/>
      <c r="F4" s="17" t="s">
        <v>517</v>
      </c>
      <c r="G4" s="57"/>
      <c r="H4" s="57"/>
      <c r="I4" s="57"/>
      <c r="J4" s="57"/>
    </row>
    <row r="5" s="1" customFormat="1" customHeight="1" spans="1:10">
      <c r="A5" s="8"/>
      <c r="B5" s="9"/>
      <c r="C5" s="9">
        <v>970</v>
      </c>
      <c r="D5" s="9">
        <v>1780</v>
      </c>
      <c r="E5" s="10"/>
      <c r="F5" s="17" t="s">
        <v>517</v>
      </c>
      <c r="G5" s="57"/>
      <c r="H5" s="57"/>
      <c r="I5" s="57"/>
      <c r="J5" s="57"/>
    </row>
    <row r="6" s="1" customFormat="1" customHeight="1" spans="1:10">
      <c r="A6" s="8"/>
      <c r="B6" s="9"/>
      <c r="C6" s="9">
        <v>980</v>
      </c>
      <c r="D6" s="9">
        <v>1780</v>
      </c>
      <c r="E6" s="10"/>
      <c r="F6" s="17" t="s">
        <v>518</v>
      </c>
      <c r="G6" s="57"/>
      <c r="H6" s="57"/>
      <c r="I6" s="57"/>
      <c r="J6" s="57"/>
    </row>
    <row r="7" s="1" customFormat="1" customHeight="1" spans="1:10">
      <c r="A7" s="8"/>
      <c r="B7" s="9"/>
      <c r="C7" s="9">
        <v>980</v>
      </c>
      <c r="D7" s="9">
        <v>1780</v>
      </c>
      <c r="E7" s="10"/>
      <c r="F7" s="17" t="s">
        <v>518</v>
      </c>
      <c r="G7" s="57"/>
      <c r="H7" s="57"/>
      <c r="I7" s="57"/>
      <c r="J7" s="57"/>
    </row>
    <row r="8" s="1" customFormat="1" customHeight="1" spans="1:10">
      <c r="A8" s="8"/>
      <c r="B8" s="9"/>
      <c r="C8" s="9">
        <v>980</v>
      </c>
      <c r="D8" s="9">
        <v>1770</v>
      </c>
      <c r="E8" s="10"/>
      <c r="F8" s="17" t="s">
        <v>518</v>
      </c>
      <c r="G8" s="57"/>
      <c r="H8" s="57"/>
      <c r="I8" s="57"/>
      <c r="J8" s="57"/>
    </row>
    <row r="9" s="1" customFormat="1" customHeight="1" spans="1:10">
      <c r="A9" s="8"/>
      <c r="B9" s="9" t="s">
        <v>510</v>
      </c>
      <c r="C9" s="9">
        <f>(850+55*2)</f>
        <v>960</v>
      </c>
      <c r="D9" s="9">
        <f>(2000+55)</f>
        <v>2055</v>
      </c>
      <c r="E9" s="10">
        <f>(C9*D9+C10*D10)/2/1000000</f>
        <v>1.98</v>
      </c>
      <c r="F9" s="17" t="s">
        <v>517</v>
      </c>
      <c r="G9" s="57"/>
      <c r="H9" s="57"/>
      <c r="I9" s="57"/>
      <c r="J9" s="57"/>
    </row>
    <row r="10" s="1" customFormat="1" customHeight="1" spans="1:10">
      <c r="A10" s="8"/>
      <c r="B10" s="9"/>
      <c r="C10" s="9">
        <f>(855+55*2)</f>
        <v>965</v>
      </c>
      <c r="D10" s="9">
        <f t="shared" ref="D10:D12" si="0">(2010+55)</f>
        <v>2065</v>
      </c>
      <c r="E10" s="10"/>
      <c r="F10" s="17" t="s">
        <v>518</v>
      </c>
      <c r="G10" s="57"/>
      <c r="H10" s="57"/>
      <c r="I10" s="57"/>
      <c r="J10" s="57"/>
    </row>
    <row r="11" s="1" customFormat="1" customHeight="1" spans="1:6">
      <c r="A11" s="8"/>
      <c r="B11" s="9" t="s">
        <v>511</v>
      </c>
      <c r="C11" s="9">
        <f>(1050+55*2)</f>
        <v>1160</v>
      </c>
      <c r="D11" s="9">
        <f t="shared" si="0"/>
        <v>2065</v>
      </c>
      <c r="E11" s="10">
        <f>(C11*D11+C12*D12)/2/1000000</f>
        <v>2.4</v>
      </c>
      <c r="F11" s="17" t="s">
        <v>517</v>
      </c>
    </row>
    <row r="12" s="1" customFormat="1" customHeight="1" spans="1:6">
      <c r="A12" s="8"/>
      <c r="B12" s="9"/>
      <c r="C12" s="9">
        <f>(1050+55*2)</f>
        <v>1160</v>
      </c>
      <c r="D12" s="9">
        <f t="shared" si="0"/>
        <v>2065</v>
      </c>
      <c r="E12" s="10"/>
      <c r="F12" s="17" t="s">
        <v>518</v>
      </c>
    </row>
    <row r="13" s="1" customFormat="1" customHeight="1" spans="1:8">
      <c r="A13" s="8" t="s">
        <v>512</v>
      </c>
      <c r="B13" s="9" t="s">
        <v>526</v>
      </c>
      <c r="C13" s="9">
        <v>980</v>
      </c>
      <c r="D13" s="9">
        <v>1770</v>
      </c>
      <c r="E13" s="10">
        <f>(C13*D13+C14*D14+C15*D15+C16*D16+C17*D17)/5/1000000</f>
        <v>1.71</v>
      </c>
      <c r="F13" s="17" t="s">
        <v>521</v>
      </c>
      <c r="H13" s="57"/>
    </row>
    <row r="14" s="1" customFormat="1" customHeight="1" spans="1:6">
      <c r="A14" s="8"/>
      <c r="B14" s="9"/>
      <c r="C14" s="9">
        <v>960</v>
      </c>
      <c r="D14" s="9">
        <v>1770</v>
      </c>
      <c r="E14" s="10"/>
      <c r="F14" s="17" t="s">
        <v>522</v>
      </c>
    </row>
    <row r="15" s="2" customFormat="1" customHeight="1" spans="1:8">
      <c r="A15" s="8"/>
      <c r="B15" s="9"/>
      <c r="C15" s="9">
        <v>970</v>
      </c>
      <c r="D15" s="9">
        <v>1760</v>
      </c>
      <c r="E15" s="10"/>
      <c r="F15" s="17" t="s">
        <v>522</v>
      </c>
      <c r="G15" s="57"/>
      <c r="H15" s="57"/>
    </row>
    <row r="16" s="2" customFormat="1" customHeight="1" spans="1:8">
      <c r="A16" s="8"/>
      <c r="B16" s="9"/>
      <c r="C16" s="9">
        <v>970</v>
      </c>
      <c r="D16" s="9">
        <v>1760</v>
      </c>
      <c r="E16" s="10"/>
      <c r="F16" s="17" t="s">
        <v>523</v>
      </c>
      <c r="G16" s="57"/>
      <c r="H16" s="57"/>
    </row>
    <row r="17" s="2" customFormat="1" customHeight="1" spans="1:8">
      <c r="A17" s="8"/>
      <c r="B17" s="9"/>
      <c r="C17" s="9">
        <v>970</v>
      </c>
      <c r="D17" s="9">
        <v>1760</v>
      </c>
      <c r="E17" s="10"/>
      <c r="F17" s="17" t="s">
        <v>523</v>
      </c>
      <c r="G17" s="57"/>
      <c r="H17" s="57"/>
    </row>
    <row r="18" s="2" customFormat="1" customHeight="1" spans="1:8">
      <c r="A18" s="8"/>
      <c r="B18" s="9" t="s">
        <v>513</v>
      </c>
      <c r="C18" s="9">
        <f>(1070+55*2)</f>
        <v>1180</v>
      </c>
      <c r="D18" s="9">
        <f>(2010+55)</f>
        <v>2065</v>
      </c>
      <c r="E18" s="10">
        <f>C18*D18/1000000</f>
        <v>2.44</v>
      </c>
      <c r="F18" s="17" t="s">
        <v>520</v>
      </c>
      <c r="G18" s="57"/>
      <c r="H18" s="57"/>
    </row>
    <row r="19" s="2" customFormat="1" customHeight="1" spans="1:8">
      <c r="A19" s="8"/>
      <c r="B19" s="9" t="s">
        <v>510</v>
      </c>
      <c r="C19" s="9">
        <v>970</v>
      </c>
      <c r="D19" s="9">
        <v>2080</v>
      </c>
      <c r="E19" s="10">
        <f>(C19*D19+C20*D20+C21*D21+C22*D22+C23*D23+C24*D24+C25*D25+C26*D26)/8/1000000</f>
        <v>1.99</v>
      </c>
      <c r="F19" s="17" t="s">
        <v>521</v>
      </c>
      <c r="G19" s="57"/>
      <c r="H19" s="57"/>
    </row>
    <row r="20" s="2" customFormat="1" customHeight="1" spans="1:8">
      <c r="A20" s="8"/>
      <c r="B20" s="9"/>
      <c r="C20" s="9">
        <f t="shared" ref="C20:C22" si="1">(850+55*2)</f>
        <v>960</v>
      </c>
      <c r="D20" s="9">
        <f t="shared" ref="D20:D22" si="2">(2000+55)</f>
        <v>2055</v>
      </c>
      <c r="E20" s="10"/>
      <c r="F20" s="17" t="s">
        <v>521</v>
      </c>
      <c r="G20" s="57"/>
      <c r="H20" s="57"/>
    </row>
    <row r="21" s="2" customFormat="1" customHeight="1" spans="1:8">
      <c r="A21" s="8"/>
      <c r="B21" s="9"/>
      <c r="C21" s="9">
        <f t="shared" si="1"/>
        <v>960</v>
      </c>
      <c r="D21" s="9">
        <f t="shared" si="2"/>
        <v>2055</v>
      </c>
      <c r="E21" s="10"/>
      <c r="F21" s="17" t="s">
        <v>522</v>
      </c>
      <c r="G21" s="57"/>
      <c r="H21" s="57"/>
    </row>
    <row r="22" s="2" customFormat="1" customHeight="1" spans="1:8">
      <c r="A22" s="8"/>
      <c r="B22" s="9"/>
      <c r="C22" s="9">
        <f t="shared" si="1"/>
        <v>960</v>
      </c>
      <c r="D22" s="9">
        <f t="shared" si="2"/>
        <v>2055</v>
      </c>
      <c r="E22" s="10"/>
      <c r="F22" s="17" t="s">
        <v>522</v>
      </c>
      <c r="G22" s="57"/>
      <c r="H22" s="57"/>
    </row>
    <row r="23" s="2" customFormat="1" customHeight="1" spans="1:8">
      <c r="A23" s="8"/>
      <c r="B23" s="9"/>
      <c r="C23" s="9">
        <v>980</v>
      </c>
      <c r="D23" s="9">
        <v>2070</v>
      </c>
      <c r="E23" s="10"/>
      <c r="F23" s="17" t="s">
        <v>522</v>
      </c>
      <c r="G23" s="57"/>
      <c r="H23" s="57"/>
    </row>
    <row r="24" s="2" customFormat="1" customHeight="1" spans="1:8">
      <c r="A24" s="8"/>
      <c r="B24" s="9"/>
      <c r="C24" s="9">
        <f>(850+55*2)</f>
        <v>960</v>
      </c>
      <c r="D24" s="9">
        <f t="shared" ref="D24:D29" si="3">(2000+55)</f>
        <v>2055</v>
      </c>
      <c r="E24" s="10"/>
      <c r="F24" s="17" t="s">
        <v>523</v>
      </c>
      <c r="G24" s="57"/>
      <c r="H24" s="57"/>
    </row>
    <row r="25" s="2" customFormat="1" customHeight="1" spans="1:8">
      <c r="A25" s="8"/>
      <c r="B25" s="9"/>
      <c r="C25" s="9">
        <f>(850+55*2)</f>
        <v>960</v>
      </c>
      <c r="D25" s="9">
        <f t="shared" si="3"/>
        <v>2055</v>
      </c>
      <c r="E25" s="10"/>
      <c r="F25" s="17" t="s">
        <v>523</v>
      </c>
      <c r="G25" s="57"/>
      <c r="H25" s="57"/>
    </row>
    <row r="26" s="2" customFormat="1" customHeight="1" spans="1:8">
      <c r="A26" s="8"/>
      <c r="B26" s="9"/>
      <c r="C26" s="9">
        <v>980</v>
      </c>
      <c r="D26" s="9">
        <v>2070</v>
      </c>
      <c r="E26" s="10"/>
      <c r="F26" s="17" t="s">
        <v>523</v>
      </c>
      <c r="G26" s="57"/>
      <c r="H26" s="57"/>
    </row>
    <row r="27" s="2" customFormat="1" customHeight="1" spans="1:8">
      <c r="A27" s="8"/>
      <c r="B27" s="9" t="s">
        <v>511</v>
      </c>
      <c r="C27" s="9">
        <f t="shared" ref="C27:C29" si="4">(1050+55*2)</f>
        <v>1160</v>
      </c>
      <c r="D27" s="9">
        <f t="shared" si="3"/>
        <v>2055</v>
      </c>
      <c r="E27" s="10">
        <f>(C27*D27+C28*D28+C29*D29)/3/1000000</f>
        <v>2.38</v>
      </c>
      <c r="F27" s="17" t="s">
        <v>521</v>
      </c>
      <c r="G27" s="57"/>
      <c r="H27" s="57"/>
    </row>
    <row r="28" s="2" customFormat="1" customHeight="1" spans="1:8">
      <c r="A28" s="8"/>
      <c r="B28" s="9"/>
      <c r="C28" s="9">
        <f t="shared" si="4"/>
        <v>1160</v>
      </c>
      <c r="D28" s="9">
        <f t="shared" si="3"/>
        <v>2055</v>
      </c>
      <c r="E28" s="10"/>
      <c r="F28" s="17" t="s">
        <v>522</v>
      </c>
      <c r="G28" s="57"/>
      <c r="H28" s="57"/>
    </row>
    <row r="29" s="2" customFormat="1" customHeight="1" spans="1:8">
      <c r="A29" s="18"/>
      <c r="B29" s="19"/>
      <c r="C29" s="19">
        <f t="shared" si="4"/>
        <v>1160</v>
      </c>
      <c r="D29" s="19">
        <f t="shared" si="3"/>
        <v>2055</v>
      </c>
      <c r="E29" s="20"/>
      <c r="F29" s="21" t="s">
        <v>523</v>
      </c>
      <c r="G29" s="57"/>
      <c r="H29" s="57"/>
    </row>
    <row r="30" s="2" customFormat="1" customHeight="1" spans="1:8">
      <c r="A30" s="57"/>
      <c r="B30" s="57"/>
      <c r="C30" s="57"/>
      <c r="D30" s="57"/>
      <c r="E30" s="58"/>
      <c r="F30" s="57"/>
      <c r="G30" s="57"/>
      <c r="H30" s="57"/>
    </row>
    <row r="31" s="2" customFormat="1" customHeight="1" spans="1:8">
      <c r="A31" s="57"/>
      <c r="B31" s="57"/>
      <c r="C31" s="57"/>
      <c r="D31" s="57"/>
      <c r="E31" s="58"/>
      <c r="F31" s="57"/>
      <c r="G31" s="57"/>
      <c r="H31" s="57"/>
    </row>
    <row r="32" s="2" customFormat="1" customHeight="1" spans="1:8">
      <c r="A32" s="57"/>
      <c r="B32" s="57"/>
      <c r="C32" s="57"/>
      <c r="D32" s="57"/>
      <c r="E32" s="58"/>
      <c r="F32" s="57"/>
      <c r="G32" s="57"/>
      <c r="H32" s="57"/>
    </row>
    <row r="33" s="2" customFormat="1" customHeight="1" spans="1:8">
      <c r="A33" s="57"/>
      <c r="B33" s="57"/>
      <c r="C33" s="57"/>
      <c r="D33" s="57"/>
      <c r="E33" s="58"/>
      <c r="F33" s="57"/>
      <c r="G33" s="57"/>
      <c r="H33" s="57"/>
    </row>
    <row r="34" s="2" customFormat="1" customHeight="1" spans="1:8">
      <c r="A34" s="57"/>
      <c r="B34" s="57"/>
      <c r="C34" s="57"/>
      <c r="D34" s="57"/>
      <c r="E34" s="58"/>
      <c r="F34" s="57"/>
      <c r="G34" s="57"/>
      <c r="H34" s="57"/>
    </row>
    <row r="35" s="62" customFormat="1" customHeight="1" spans="1:8">
      <c r="A35" s="57"/>
      <c r="B35" s="57"/>
      <c r="C35" s="57"/>
      <c r="D35" s="57"/>
      <c r="E35" s="58"/>
      <c r="F35" s="57"/>
      <c r="G35" s="57"/>
      <c r="H35" s="57"/>
    </row>
    <row r="37" s="62" customFormat="1" customHeight="1" spans="1:8">
      <c r="A37" s="57"/>
      <c r="B37" s="57"/>
      <c r="C37" s="57"/>
      <c r="D37" s="57"/>
      <c r="E37" s="58"/>
      <c r="F37" s="57"/>
      <c r="G37" s="57"/>
      <c r="H37" s="57"/>
    </row>
  </sheetData>
  <mergeCells count="15">
    <mergeCell ref="A1:F1"/>
    <mergeCell ref="A3:A12"/>
    <mergeCell ref="A13:A29"/>
    <mergeCell ref="B3:B8"/>
    <mergeCell ref="B9:B10"/>
    <mergeCell ref="B11:B12"/>
    <mergeCell ref="B13:B17"/>
    <mergeCell ref="B19:B26"/>
    <mergeCell ref="B27:B29"/>
    <mergeCell ref="E3:E8"/>
    <mergeCell ref="E9:E10"/>
    <mergeCell ref="E11:E12"/>
    <mergeCell ref="E13:E17"/>
    <mergeCell ref="E19:E26"/>
    <mergeCell ref="E27:E29"/>
  </mergeCells>
  <printOptions horizontalCentered="1"/>
  <pageMargins left="0.747916666666667" right="0.747916666666667" top="0.984027777777778" bottom="0.984027777777778" header="0.511805555555556" footer="0.511805555555556"/>
  <pageSetup paperSize="9" scale="86" orientation="portrait" horizontalDpi="600"/>
  <headerFooter alignWithMargins="0"/>
  <rowBreaks count="1" manualBreakCount="1">
    <brk id="3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32"/>
  <sheetViews>
    <sheetView workbookViewId="0">
      <selection activeCell="E20" sqref="E20"/>
    </sheetView>
  </sheetViews>
  <sheetFormatPr defaultColWidth="12.625" defaultRowHeight="25" customHeight="1" outlineLevelCol="6"/>
  <cols>
    <col min="1" max="1" width="10.25" style="2" customWidth="1"/>
    <col min="2" max="3" width="12.625" style="2" customWidth="1"/>
    <col min="4" max="4" width="17.25" style="2" customWidth="1"/>
    <col min="5" max="6" width="16.2" style="2" customWidth="1"/>
    <col min="7" max="16384" width="12.625" style="2" customWidth="1"/>
  </cols>
  <sheetData>
    <row r="1" s="1" customFormat="1" customHeight="1" spans="1:6">
      <c r="A1" s="55" t="s">
        <v>531</v>
      </c>
      <c r="B1" s="55"/>
      <c r="C1" s="55"/>
      <c r="D1" s="55"/>
      <c r="E1" s="55"/>
      <c r="F1" s="55"/>
    </row>
    <row r="2" s="1" customFormat="1" customHeight="1" spans="1:6">
      <c r="A2" s="4" t="s">
        <v>504</v>
      </c>
      <c r="B2" s="5" t="s">
        <v>370</v>
      </c>
      <c r="C2" s="5" t="s">
        <v>505</v>
      </c>
      <c r="D2" s="6" t="s">
        <v>506</v>
      </c>
      <c r="E2" s="6" t="s">
        <v>507</v>
      </c>
      <c r="F2" s="7" t="s">
        <v>374</v>
      </c>
    </row>
    <row r="3" s="1" customFormat="1" customHeight="1" spans="1:6">
      <c r="A3" s="8" t="s">
        <v>508</v>
      </c>
      <c r="B3" s="9" t="s">
        <v>509</v>
      </c>
      <c r="C3" s="9">
        <v>8</v>
      </c>
      <c r="D3" s="10">
        <f>'37#楼明细(表2.1)'!E3</f>
        <v>2.09</v>
      </c>
      <c r="E3" s="10">
        <f t="shared" ref="E3:E10" si="0">C3*D3</f>
        <v>16.72</v>
      </c>
      <c r="F3" s="11"/>
    </row>
    <row r="4" s="1" customFormat="1" customHeight="1" spans="1:6">
      <c r="A4" s="8"/>
      <c r="B4" s="9" t="s">
        <v>510</v>
      </c>
      <c r="C4" s="9">
        <v>4</v>
      </c>
      <c r="D4" s="10">
        <f>'37#楼明细(表2.1)'!E7</f>
        <v>1.99</v>
      </c>
      <c r="E4" s="10">
        <f t="shared" si="0"/>
        <v>7.96</v>
      </c>
      <c r="F4" s="11"/>
    </row>
    <row r="5" s="1" customFormat="1" customHeight="1" spans="1:6">
      <c r="A5" s="8"/>
      <c r="B5" s="9" t="s">
        <v>511</v>
      </c>
      <c r="C5" s="9">
        <v>4</v>
      </c>
      <c r="D5" s="10">
        <f>'37#楼明细(表2.1)'!E9</f>
        <v>2.39</v>
      </c>
      <c r="E5" s="10">
        <f t="shared" si="0"/>
        <v>9.56</v>
      </c>
      <c r="F5" s="11"/>
    </row>
    <row r="6" s="1" customFormat="1" customHeight="1" spans="1:7">
      <c r="A6" s="8" t="s">
        <v>512</v>
      </c>
      <c r="B6" s="9" t="s">
        <v>509</v>
      </c>
      <c r="C6" s="9">
        <v>2</v>
      </c>
      <c r="D6" s="10">
        <f>'37#楼明细(表2.1)'!E11</f>
        <v>3.43</v>
      </c>
      <c r="E6" s="10">
        <f t="shared" si="0"/>
        <v>6.86</v>
      </c>
      <c r="F6" s="11"/>
      <c r="G6" s="16"/>
    </row>
    <row r="7" s="1" customFormat="1" customHeight="1" spans="1:6">
      <c r="A7" s="8"/>
      <c r="B7" s="9" t="s">
        <v>532</v>
      </c>
      <c r="C7" s="9">
        <v>128</v>
      </c>
      <c r="D7" s="10">
        <f>'37#楼明细(表2.1)'!E12</f>
        <v>1.99</v>
      </c>
      <c r="E7" s="10">
        <f t="shared" si="0"/>
        <v>254.72</v>
      </c>
      <c r="F7" s="11"/>
    </row>
    <row r="8" s="1" customFormat="1" customHeight="1" spans="1:6">
      <c r="A8" s="8"/>
      <c r="B8" s="9" t="s">
        <v>513</v>
      </c>
      <c r="C8" s="9">
        <v>4</v>
      </c>
      <c r="D8" s="10">
        <f>'37#楼明细(表2.1)'!E20</f>
        <v>2.41</v>
      </c>
      <c r="E8" s="10">
        <f t="shared" si="0"/>
        <v>9.64</v>
      </c>
      <c r="F8" s="59"/>
    </row>
    <row r="9" s="1" customFormat="1" customHeight="1" spans="1:6">
      <c r="A9" s="8"/>
      <c r="B9" s="9" t="s">
        <v>510</v>
      </c>
      <c r="C9" s="9">
        <v>194</v>
      </c>
      <c r="D9" s="10">
        <f>'37#楼明细(表2.1)'!E21</f>
        <v>1.87</v>
      </c>
      <c r="E9" s="10">
        <f t="shared" si="0"/>
        <v>362.78</v>
      </c>
      <c r="F9" s="11"/>
    </row>
    <row r="10" s="1" customFormat="1" customHeight="1" spans="1:6">
      <c r="A10" s="8"/>
      <c r="B10" s="9" t="s">
        <v>511</v>
      </c>
      <c r="C10" s="9">
        <v>64</v>
      </c>
      <c r="D10" s="10">
        <f>'37#楼明细(表2.1)'!E29</f>
        <v>2.37</v>
      </c>
      <c r="E10" s="10">
        <f t="shared" si="0"/>
        <v>151.68</v>
      </c>
      <c r="F10" s="11"/>
    </row>
    <row r="11" s="1" customFormat="1" customHeight="1" spans="1:6">
      <c r="A11" s="12" t="s">
        <v>484</v>
      </c>
      <c r="B11" s="13"/>
      <c r="C11" s="13">
        <f>SUM(C3:C10)</f>
        <v>408</v>
      </c>
      <c r="D11" s="14"/>
      <c r="E11" s="14">
        <f>SUM(E3:E10)</f>
        <v>819.92</v>
      </c>
      <c r="F11" s="56"/>
    </row>
    <row r="12" s="1" customFormat="1" customHeight="1" spans="1:6">
      <c r="A12" s="22"/>
      <c r="B12" s="22"/>
      <c r="C12" s="22"/>
      <c r="D12" s="22"/>
      <c r="E12" s="23"/>
      <c r="F12" s="22"/>
    </row>
    <row r="13" s="2" customFormat="1" customHeight="1" spans="1:6">
      <c r="A13" s="22"/>
      <c r="B13" s="22"/>
      <c r="C13" s="22"/>
      <c r="D13" s="22"/>
      <c r="E13" s="23"/>
      <c r="F13" s="22"/>
    </row>
    <row r="14" s="2" customFormat="1" customHeight="1" spans="1:6">
      <c r="A14" s="22"/>
      <c r="B14" s="22"/>
      <c r="C14" s="22"/>
      <c r="D14" s="22"/>
      <c r="E14" s="23"/>
      <c r="F14" s="22"/>
    </row>
    <row r="15" s="2" customFormat="1" customHeight="1" spans="1:6">
      <c r="A15" s="22"/>
      <c r="B15" s="22"/>
      <c r="C15" s="22"/>
      <c r="D15" s="22"/>
      <c r="E15" s="23"/>
      <c r="F15" s="22"/>
    </row>
    <row r="16" s="2" customFormat="1" customHeight="1" spans="1:6">
      <c r="A16" s="22"/>
      <c r="B16" s="22"/>
      <c r="C16" s="22"/>
      <c r="D16" s="22"/>
      <c r="E16" s="23"/>
      <c r="F16" s="22"/>
    </row>
    <row r="17" s="2" customFormat="1" customHeight="1" spans="1:6">
      <c r="A17" s="22"/>
      <c r="B17" s="22"/>
      <c r="C17" s="22"/>
      <c r="D17" s="22"/>
      <c r="E17" s="23"/>
      <c r="F17" s="22"/>
    </row>
    <row r="18" s="2" customFormat="1" customHeight="1" spans="1:6">
      <c r="A18" s="22"/>
      <c r="B18" s="22"/>
      <c r="C18" s="22"/>
      <c r="D18" s="22"/>
      <c r="E18" s="23"/>
      <c r="F18" s="22"/>
    </row>
    <row r="19" s="2" customFormat="1" customHeight="1" spans="1:6">
      <c r="A19" s="22"/>
      <c r="B19" s="22"/>
      <c r="C19" s="22"/>
      <c r="D19" s="22"/>
      <c r="E19" s="23"/>
      <c r="F19" s="22"/>
    </row>
    <row r="20" s="2" customFormat="1" customHeight="1" spans="1:6">
      <c r="A20" s="22"/>
      <c r="B20" s="22"/>
      <c r="C20" s="22"/>
      <c r="D20" s="22"/>
      <c r="E20" s="23"/>
      <c r="F20" s="22"/>
    </row>
    <row r="21" s="2" customFormat="1" customHeight="1" spans="1:6">
      <c r="A21" s="22"/>
      <c r="B21" s="22"/>
      <c r="C21" s="22"/>
      <c r="D21" s="22"/>
      <c r="E21" s="23"/>
      <c r="F21" s="22"/>
    </row>
    <row r="22" s="2" customFormat="1" customHeight="1" spans="1:6">
      <c r="A22" s="22"/>
      <c r="B22" s="22"/>
      <c r="C22" s="22"/>
      <c r="D22" s="22"/>
      <c r="E22" s="23"/>
      <c r="F22" s="22"/>
    </row>
    <row r="23" s="2" customFormat="1" customHeight="1" spans="1:6">
      <c r="A23" s="22"/>
      <c r="B23" s="22"/>
      <c r="C23" s="22"/>
      <c r="D23" s="22"/>
      <c r="E23" s="23"/>
      <c r="F23" s="22"/>
    </row>
    <row r="24" s="2" customFormat="1" customHeight="1" spans="1:6">
      <c r="A24" s="22"/>
      <c r="B24" s="22"/>
      <c r="C24" s="22"/>
      <c r="D24" s="22"/>
      <c r="E24" s="23"/>
      <c r="F24" s="22"/>
    </row>
    <row r="25" s="2" customFormat="1" customHeight="1" spans="1:6">
      <c r="A25" s="22"/>
      <c r="B25" s="22"/>
      <c r="C25" s="22"/>
      <c r="D25" s="22"/>
      <c r="E25" s="23"/>
      <c r="F25" s="22"/>
    </row>
    <row r="26" s="2" customFormat="1" customHeight="1" spans="1:6">
      <c r="A26" s="22"/>
      <c r="B26" s="22"/>
      <c r="C26" s="22"/>
      <c r="D26" s="22"/>
      <c r="E26" s="23"/>
      <c r="F26" s="22"/>
    </row>
    <row r="27" s="2" customFormat="1" customHeight="1" spans="1:6">
      <c r="A27" s="22"/>
      <c r="B27" s="22"/>
      <c r="C27" s="22"/>
      <c r="D27" s="22"/>
      <c r="E27" s="23"/>
      <c r="F27" s="22"/>
    </row>
    <row r="28" s="2" customFormat="1" customHeight="1" spans="1:6">
      <c r="A28" s="22"/>
      <c r="B28" s="22"/>
      <c r="C28" s="22"/>
      <c r="D28" s="22"/>
      <c r="E28" s="23"/>
      <c r="F28" s="22"/>
    </row>
    <row r="29" s="2" customFormat="1" customHeight="1" spans="1:6">
      <c r="A29" s="22"/>
      <c r="B29" s="22"/>
      <c r="C29" s="22"/>
      <c r="D29" s="22"/>
      <c r="E29" s="23"/>
      <c r="F29" s="22"/>
    </row>
    <row r="30" s="2" customFormat="1" customHeight="1" spans="1:6">
      <c r="A30" s="22"/>
      <c r="B30" s="22"/>
      <c r="C30" s="22"/>
      <c r="D30" s="22"/>
      <c r="E30" s="23"/>
      <c r="F30" s="22"/>
    </row>
    <row r="31" s="2" customFormat="1" customHeight="1" spans="1:6">
      <c r="A31" s="22"/>
      <c r="B31" s="22"/>
      <c r="C31" s="22"/>
      <c r="D31" s="22"/>
      <c r="E31" s="23"/>
      <c r="F31" s="22"/>
    </row>
    <row r="32" s="2" customFormat="1" customHeight="1" spans="1:6">
      <c r="A32" s="22"/>
      <c r="B32" s="22"/>
      <c r="C32" s="22"/>
      <c r="D32" s="22"/>
      <c r="E32" s="23"/>
      <c r="F32" s="22"/>
    </row>
  </sheetData>
  <mergeCells count="3">
    <mergeCell ref="A1:F1"/>
    <mergeCell ref="A3:A5"/>
    <mergeCell ref="A6:A10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 horizont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N50"/>
  <sheetViews>
    <sheetView workbookViewId="0">
      <pane ySplit="1" topLeftCell="A2" activePane="bottomLeft" state="frozen"/>
      <selection/>
      <selection pane="bottomLeft" activeCell="K11" sqref="K11"/>
    </sheetView>
  </sheetViews>
  <sheetFormatPr defaultColWidth="12.625" defaultRowHeight="25" customHeight="1"/>
  <cols>
    <col min="1" max="1" width="11.125" style="57" customWidth="1"/>
    <col min="2" max="4" width="12.625" style="57" customWidth="1"/>
    <col min="5" max="5" width="17.125" style="58" customWidth="1"/>
    <col min="6" max="6" width="12.625" style="57" customWidth="1"/>
    <col min="7" max="16384" width="12.625" style="22" customWidth="1"/>
  </cols>
  <sheetData>
    <row r="1" customHeight="1" spans="1:6">
      <c r="A1" s="53" t="s">
        <v>533</v>
      </c>
      <c r="B1" s="54"/>
      <c r="C1" s="54"/>
      <c r="D1" s="53"/>
      <c r="E1" s="53"/>
      <c r="F1" s="53"/>
    </row>
    <row r="2" customHeight="1" spans="1:6">
      <c r="A2" s="4" t="s">
        <v>504</v>
      </c>
      <c r="B2" s="5" t="s">
        <v>370</v>
      </c>
      <c r="C2" s="5" t="s">
        <v>515</v>
      </c>
      <c r="D2" s="5" t="s">
        <v>516</v>
      </c>
      <c r="E2" s="6" t="s">
        <v>506</v>
      </c>
      <c r="F2" s="7" t="s">
        <v>374</v>
      </c>
    </row>
    <row r="3" s="1" customFormat="1" customHeight="1" spans="1:14">
      <c r="A3" s="8" t="s">
        <v>508</v>
      </c>
      <c r="B3" s="9" t="s">
        <v>509</v>
      </c>
      <c r="C3" s="9">
        <v>1170</v>
      </c>
      <c r="D3" s="9">
        <v>1780</v>
      </c>
      <c r="E3" s="10">
        <f>(C3*D3+C4*D4+C5*D5+C6*D6)/4/1000000</f>
        <v>2.09</v>
      </c>
      <c r="F3" s="17" t="s">
        <v>517</v>
      </c>
      <c r="G3" s="22"/>
      <c r="H3" s="22"/>
      <c r="I3" s="22"/>
      <c r="J3" s="22"/>
      <c r="K3" s="22"/>
      <c r="L3" s="57"/>
      <c r="M3" s="22"/>
      <c r="N3" s="22"/>
    </row>
    <row r="4" s="1" customFormat="1" customHeight="1" spans="1:14">
      <c r="A4" s="8"/>
      <c r="B4" s="9"/>
      <c r="C4" s="9">
        <v>1180</v>
      </c>
      <c r="D4" s="9">
        <v>1780</v>
      </c>
      <c r="E4" s="10"/>
      <c r="F4" s="17" t="s">
        <v>517</v>
      </c>
      <c r="G4" s="22"/>
      <c r="H4" s="22"/>
      <c r="I4" s="22"/>
      <c r="J4" s="22"/>
      <c r="K4" s="22"/>
      <c r="L4" s="57"/>
      <c r="M4" s="22"/>
      <c r="N4" s="22"/>
    </row>
    <row r="5" s="1" customFormat="1" customHeight="1" spans="1:14">
      <c r="A5" s="8"/>
      <c r="B5" s="9"/>
      <c r="C5" s="9">
        <v>1180</v>
      </c>
      <c r="D5" s="9">
        <v>1790</v>
      </c>
      <c r="E5" s="10"/>
      <c r="F5" s="17" t="s">
        <v>518</v>
      </c>
      <c r="G5" s="22"/>
      <c r="H5" s="22"/>
      <c r="I5" s="22"/>
      <c r="J5" s="22"/>
      <c r="K5" s="22"/>
      <c r="L5" s="57"/>
      <c r="M5" s="22"/>
      <c r="N5" s="22"/>
    </row>
    <row r="6" s="1" customFormat="1" customHeight="1" spans="1:14">
      <c r="A6" s="8"/>
      <c r="B6" s="9"/>
      <c r="C6" s="9">
        <v>1170</v>
      </c>
      <c r="D6" s="9">
        <v>1780</v>
      </c>
      <c r="E6" s="10"/>
      <c r="F6" s="17" t="s">
        <v>518</v>
      </c>
      <c r="G6" s="22"/>
      <c r="H6" s="22"/>
      <c r="I6" s="22"/>
      <c r="J6" s="22"/>
      <c r="K6" s="22"/>
      <c r="L6" s="57"/>
      <c r="M6" s="22"/>
      <c r="N6" s="22"/>
    </row>
    <row r="7" s="1" customFormat="1" customHeight="1" spans="1:14">
      <c r="A7" s="8"/>
      <c r="B7" s="9" t="s">
        <v>510</v>
      </c>
      <c r="C7" s="9">
        <f>(850+55*2)</f>
        <v>960</v>
      </c>
      <c r="D7" s="9">
        <f>(2000+55)</f>
        <v>2055</v>
      </c>
      <c r="E7" s="10">
        <f>(C7*D7+C8*D8)/2/1000000</f>
        <v>1.99</v>
      </c>
      <c r="F7" s="17" t="s">
        <v>517</v>
      </c>
      <c r="G7" s="22"/>
      <c r="H7" s="22"/>
      <c r="I7" s="22"/>
      <c r="J7" s="22"/>
      <c r="K7" s="22"/>
      <c r="L7" s="57"/>
      <c r="M7" s="22"/>
      <c r="N7" s="22"/>
    </row>
    <row r="8" s="1" customFormat="1" customHeight="1" spans="1:14">
      <c r="A8" s="8"/>
      <c r="B8" s="9"/>
      <c r="C8" s="9">
        <f>(860+55*2)</f>
        <v>970</v>
      </c>
      <c r="D8" s="9">
        <f>(2010+55)</f>
        <v>2065</v>
      </c>
      <c r="E8" s="10"/>
      <c r="F8" s="17" t="s">
        <v>518</v>
      </c>
      <c r="G8" s="22"/>
      <c r="H8" s="22"/>
      <c r="I8" s="22"/>
      <c r="J8" s="22"/>
      <c r="K8" s="22"/>
      <c r="L8" s="57"/>
      <c r="M8" s="22"/>
      <c r="N8" s="22"/>
    </row>
    <row r="9" s="1" customFormat="1" customHeight="1" spans="1:14">
      <c r="A9" s="8"/>
      <c r="B9" s="9" t="s">
        <v>511</v>
      </c>
      <c r="C9" s="9">
        <f>(1060+55*2)</f>
        <v>1170</v>
      </c>
      <c r="D9" s="9">
        <f>(2000+55)</f>
        <v>2055</v>
      </c>
      <c r="E9" s="10">
        <f>(C9*D9+C10*D10)/2/1000000</f>
        <v>2.39</v>
      </c>
      <c r="F9" s="17" t="s">
        <v>517</v>
      </c>
      <c r="G9" s="22"/>
      <c r="H9" s="22"/>
      <c r="I9" s="22"/>
      <c r="J9" s="22"/>
      <c r="K9" s="22"/>
      <c r="L9" s="57"/>
      <c r="M9" s="22"/>
      <c r="N9" s="22"/>
    </row>
    <row r="10" s="1" customFormat="1" customHeight="1" spans="1:14">
      <c r="A10" s="8"/>
      <c r="B10" s="9"/>
      <c r="C10" s="9">
        <f>(1040+55*2)</f>
        <v>1150</v>
      </c>
      <c r="D10" s="9">
        <f>(2010+55)</f>
        <v>2065</v>
      </c>
      <c r="E10" s="10"/>
      <c r="F10" s="17" t="s">
        <v>518</v>
      </c>
      <c r="G10" s="22"/>
      <c r="H10" s="22"/>
      <c r="I10" s="22"/>
      <c r="J10" s="22"/>
      <c r="K10" s="22"/>
      <c r="L10" s="57"/>
      <c r="M10" s="22"/>
      <c r="N10" s="22"/>
    </row>
    <row r="11" s="22" customFormat="1" customHeight="1" spans="1:6">
      <c r="A11" s="8" t="s">
        <v>512</v>
      </c>
      <c r="B11" s="9" t="s">
        <v>509</v>
      </c>
      <c r="C11" s="9">
        <v>1950</v>
      </c>
      <c r="D11" s="9">
        <v>1760</v>
      </c>
      <c r="E11" s="10">
        <f>C11*D11/1000000</f>
        <v>3.43</v>
      </c>
      <c r="F11" s="17" t="s">
        <v>520</v>
      </c>
    </row>
    <row r="12" s="1" customFormat="1" customHeight="1" spans="1:14">
      <c r="A12" s="8"/>
      <c r="B12" s="9" t="s">
        <v>532</v>
      </c>
      <c r="C12" s="9">
        <v>1170</v>
      </c>
      <c r="D12" s="9">
        <v>1770</v>
      </c>
      <c r="E12" s="10">
        <f>(C12*D12+C13*D13+C14*D14+C15*D15+C16*D16+C17*D17+C18*D18+C19*D19)/8/1000000</f>
        <v>1.99</v>
      </c>
      <c r="F12" s="17" t="s">
        <v>521</v>
      </c>
      <c r="G12" s="22"/>
      <c r="H12" s="22"/>
      <c r="I12" s="22"/>
      <c r="J12" s="22"/>
      <c r="K12" s="22"/>
      <c r="L12" s="22"/>
      <c r="M12" s="22"/>
      <c r="N12" s="22"/>
    </row>
    <row r="13" s="1" customFormat="1" customHeight="1" spans="1:14">
      <c r="A13" s="8"/>
      <c r="B13" s="9"/>
      <c r="C13" s="9">
        <v>1170</v>
      </c>
      <c r="D13" s="9">
        <v>1780</v>
      </c>
      <c r="E13" s="10"/>
      <c r="F13" s="17" t="s">
        <v>521</v>
      </c>
      <c r="G13" s="22"/>
      <c r="H13" s="22"/>
      <c r="I13" s="22"/>
      <c r="J13" s="22"/>
      <c r="K13" s="22"/>
      <c r="L13" s="22"/>
      <c r="M13" s="22"/>
      <c r="N13" s="22"/>
    </row>
    <row r="14" s="1" customFormat="1" customHeight="1" spans="1:14">
      <c r="A14" s="8"/>
      <c r="B14" s="9"/>
      <c r="C14" s="9">
        <v>1180</v>
      </c>
      <c r="D14" s="9">
        <v>1770</v>
      </c>
      <c r="E14" s="10"/>
      <c r="F14" s="17" t="s">
        <v>522</v>
      </c>
      <c r="G14" s="22"/>
      <c r="H14" s="22"/>
      <c r="I14" s="22"/>
      <c r="J14" s="22"/>
      <c r="K14" s="22"/>
      <c r="L14" s="22"/>
      <c r="M14" s="22"/>
      <c r="N14" s="22"/>
    </row>
    <row r="15" s="2" customFormat="1" customHeight="1" spans="1:14">
      <c r="A15" s="8"/>
      <c r="B15" s="9"/>
      <c r="C15" s="9">
        <v>1175</v>
      </c>
      <c r="D15" s="9">
        <v>1170</v>
      </c>
      <c r="E15" s="10"/>
      <c r="F15" s="17" t="s">
        <v>522</v>
      </c>
      <c r="G15" s="22"/>
      <c r="H15" s="22"/>
      <c r="I15" s="22"/>
      <c r="J15" s="22"/>
      <c r="K15" s="22"/>
      <c r="L15" s="22"/>
      <c r="M15" s="22"/>
      <c r="N15" s="22"/>
    </row>
    <row r="16" s="2" customFormat="1" customHeight="1" spans="1:8">
      <c r="A16" s="8"/>
      <c r="B16" s="9"/>
      <c r="C16" s="9">
        <v>1170</v>
      </c>
      <c r="D16" s="9">
        <v>1770</v>
      </c>
      <c r="E16" s="10"/>
      <c r="F16" s="17" t="s">
        <v>523</v>
      </c>
      <c r="G16" s="22"/>
      <c r="H16" s="22"/>
    </row>
    <row r="17" s="2" customFormat="1" customHeight="1" spans="1:8">
      <c r="A17" s="8"/>
      <c r="B17" s="9"/>
      <c r="C17" s="9">
        <v>1170</v>
      </c>
      <c r="D17" s="9">
        <v>1770</v>
      </c>
      <c r="E17" s="10"/>
      <c r="F17" s="17" t="s">
        <v>523</v>
      </c>
      <c r="G17" s="22"/>
      <c r="H17" s="22"/>
    </row>
    <row r="18" s="2" customFormat="1" customHeight="1" spans="1:8">
      <c r="A18" s="8"/>
      <c r="B18" s="9"/>
      <c r="C18" s="9">
        <v>1180</v>
      </c>
      <c r="D18" s="9">
        <v>1770</v>
      </c>
      <c r="E18" s="10"/>
      <c r="F18" s="17" t="s">
        <v>534</v>
      </c>
      <c r="G18" s="22"/>
      <c r="H18" s="22"/>
    </row>
    <row r="19" s="2" customFormat="1" customHeight="1" spans="1:8">
      <c r="A19" s="8"/>
      <c r="B19" s="9"/>
      <c r="C19" s="9">
        <v>1170</v>
      </c>
      <c r="D19" s="9">
        <v>1760</v>
      </c>
      <c r="E19" s="10"/>
      <c r="F19" s="17" t="s">
        <v>534</v>
      </c>
      <c r="G19" s="22"/>
      <c r="H19" s="22"/>
    </row>
    <row r="20" s="22" customFormat="1" customHeight="1" spans="1:6">
      <c r="A20" s="8"/>
      <c r="B20" s="9" t="s">
        <v>513</v>
      </c>
      <c r="C20" s="9">
        <f>(1080+55*2)</f>
        <v>1190</v>
      </c>
      <c r="D20" s="9">
        <f>(1970+55)</f>
        <v>2025</v>
      </c>
      <c r="E20" s="10">
        <f>C20*D20/1000000</f>
        <v>2.41</v>
      </c>
      <c r="F20" s="17" t="s">
        <v>520</v>
      </c>
    </row>
    <row r="21" s="2" customFormat="1" customHeight="1" spans="1:8">
      <c r="A21" s="8"/>
      <c r="B21" s="9" t="s">
        <v>510</v>
      </c>
      <c r="C21" s="9">
        <v>970</v>
      </c>
      <c r="D21" s="9">
        <v>2040</v>
      </c>
      <c r="E21" s="10">
        <f>(C21*D21+C22*D22+C23*D23+C24*D24+C25*D25+C26*D26+C27*D27+C28*D28)/8/1000000</f>
        <v>1.87</v>
      </c>
      <c r="F21" s="17" t="s">
        <v>521</v>
      </c>
      <c r="G21" s="22"/>
      <c r="H21" s="22"/>
    </row>
    <row r="22" s="2" customFormat="1" customHeight="1" spans="1:8">
      <c r="A22" s="8"/>
      <c r="B22" s="9"/>
      <c r="C22" s="9">
        <f>(840+55*2)</f>
        <v>950</v>
      </c>
      <c r="D22" s="9">
        <f>(1990+55)</f>
        <v>2045</v>
      </c>
      <c r="E22" s="10"/>
      <c r="F22" s="17" t="s">
        <v>521</v>
      </c>
      <c r="G22" s="22"/>
      <c r="H22" s="22"/>
    </row>
    <row r="23" s="2" customFormat="1" customHeight="1" spans="1:8">
      <c r="A23" s="8"/>
      <c r="B23" s="9"/>
      <c r="C23" s="9">
        <f t="shared" ref="C23:C27" si="0">(850+55*2)</f>
        <v>960</v>
      </c>
      <c r="D23" s="9">
        <f t="shared" ref="D23:D27" si="1">(2000+55)</f>
        <v>2055</v>
      </c>
      <c r="E23" s="10"/>
      <c r="F23" s="17" t="s">
        <v>522</v>
      </c>
      <c r="G23" s="22"/>
      <c r="H23" s="22"/>
    </row>
    <row r="24" s="2" customFormat="1" customHeight="1" spans="1:8">
      <c r="A24" s="8"/>
      <c r="B24" s="9"/>
      <c r="C24" s="9">
        <f t="shared" si="0"/>
        <v>960</v>
      </c>
      <c r="D24" s="9">
        <f t="shared" si="1"/>
        <v>2055</v>
      </c>
      <c r="E24" s="10"/>
      <c r="F24" s="17" t="s">
        <v>522</v>
      </c>
      <c r="G24" s="22"/>
      <c r="H24" s="22"/>
    </row>
    <row r="25" s="2" customFormat="1" customHeight="1" spans="1:8">
      <c r="A25" s="8"/>
      <c r="B25" s="9"/>
      <c r="C25" s="9">
        <v>970</v>
      </c>
      <c r="D25" s="9">
        <v>2060</v>
      </c>
      <c r="E25" s="10"/>
      <c r="F25" s="17" t="s">
        <v>522</v>
      </c>
      <c r="G25" s="22"/>
      <c r="H25" s="22"/>
    </row>
    <row r="26" s="2" customFormat="1" customHeight="1" spans="1:8">
      <c r="A26" s="8"/>
      <c r="B26" s="9"/>
      <c r="C26" s="9">
        <f t="shared" si="0"/>
        <v>960</v>
      </c>
      <c r="D26" s="9">
        <f>(1090+55)</f>
        <v>1145</v>
      </c>
      <c r="E26" s="10"/>
      <c r="F26" s="17" t="s">
        <v>523</v>
      </c>
      <c r="G26" s="22"/>
      <c r="H26" s="22"/>
    </row>
    <row r="27" s="2" customFormat="1" customHeight="1" spans="1:8">
      <c r="A27" s="8"/>
      <c r="B27" s="9"/>
      <c r="C27" s="9">
        <f t="shared" si="0"/>
        <v>960</v>
      </c>
      <c r="D27" s="9">
        <f t="shared" si="1"/>
        <v>2055</v>
      </c>
      <c r="E27" s="10"/>
      <c r="F27" s="17" t="s">
        <v>523</v>
      </c>
      <c r="G27" s="22"/>
      <c r="H27" s="22"/>
    </row>
    <row r="28" s="2" customFormat="1" customHeight="1" spans="1:8">
      <c r="A28" s="8"/>
      <c r="B28" s="9"/>
      <c r="C28" s="9">
        <v>970</v>
      </c>
      <c r="D28" s="9">
        <v>2060</v>
      </c>
      <c r="E28" s="10"/>
      <c r="F28" s="17" t="s">
        <v>523</v>
      </c>
      <c r="G28" s="22"/>
      <c r="H28" s="22"/>
    </row>
    <row r="29" s="2" customFormat="1" customHeight="1" spans="1:8">
      <c r="A29" s="8"/>
      <c r="B29" s="9" t="s">
        <v>511</v>
      </c>
      <c r="C29" s="9">
        <f>(1040+55*2)</f>
        <v>1150</v>
      </c>
      <c r="D29" s="9">
        <f>(1985+55)</f>
        <v>2040</v>
      </c>
      <c r="E29" s="10">
        <f>(C29*D29+C30*D30+C31*D31)/3/1000000</f>
        <v>2.37</v>
      </c>
      <c r="F29" s="17" t="s">
        <v>521</v>
      </c>
      <c r="G29" s="22"/>
      <c r="H29" s="22"/>
    </row>
    <row r="30" s="2" customFormat="1" customHeight="1" spans="1:8">
      <c r="A30" s="8"/>
      <c r="B30" s="9"/>
      <c r="C30" s="9">
        <f>(1050+55*2)</f>
        <v>1160</v>
      </c>
      <c r="D30" s="9">
        <f>(2000+55)</f>
        <v>2055</v>
      </c>
      <c r="E30" s="10"/>
      <c r="F30" s="17" t="s">
        <v>522</v>
      </c>
      <c r="G30" s="22"/>
      <c r="H30" s="22"/>
    </row>
    <row r="31" s="2" customFormat="1" customHeight="1" spans="1:8">
      <c r="A31" s="18"/>
      <c r="B31" s="19"/>
      <c r="C31" s="19">
        <f>(1050+55*2)</f>
        <v>1160</v>
      </c>
      <c r="D31" s="19">
        <f>(2000+55)</f>
        <v>2055</v>
      </c>
      <c r="E31" s="20"/>
      <c r="F31" s="21" t="s">
        <v>523</v>
      </c>
      <c r="G31" s="22"/>
      <c r="H31" s="22"/>
    </row>
    <row r="32" s="2" customFormat="1" customHeight="1" spans="1:8">
      <c r="A32" s="57"/>
      <c r="B32" s="57"/>
      <c r="C32" s="57"/>
      <c r="D32" s="57"/>
      <c r="E32" s="58"/>
      <c r="F32" s="57"/>
      <c r="G32" s="22"/>
      <c r="H32" s="22"/>
    </row>
    <row r="33" s="2" customFormat="1" customHeight="1" spans="1:8">
      <c r="A33" s="57"/>
      <c r="B33" s="57"/>
      <c r="C33" s="57"/>
      <c r="D33" s="57"/>
      <c r="E33" s="58"/>
      <c r="F33" s="57"/>
      <c r="G33" s="22"/>
      <c r="H33" s="22"/>
    </row>
    <row r="34" s="2" customFormat="1" customHeight="1" spans="1:8">
      <c r="A34" s="57"/>
      <c r="B34" s="57"/>
      <c r="C34" s="57"/>
      <c r="D34" s="57"/>
      <c r="E34" s="58"/>
      <c r="F34" s="57"/>
      <c r="G34" s="22"/>
      <c r="H34" s="22"/>
    </row>
    <row r="35" s="61" customFormat="1" customHeight="1" spans="1:8">
      <c r="A35" s="57"/>
      <c r="B35" s="57"/>
      <c r="C35" s="57"/>
      <c r="D35" s="57"/>
      <c r="E35" s="58"/>
      <c r="F35" s="57"/>
      <c r="G35" s="22"/>
      <c r="H35" s="22"/>
    </row>
    <row r="36" customHeight="1" spans="1:6">
      <c r="A36" s="2"/>
      <c r="B36" s="2"/>
      <c r="C36" s="2"/>
      <c r="D36" s="2"/>
      <c r="E36" s="2"/>
      <c r="F36" s="2"/>
    </row>
    <row r="37" customHeight="1" spans="1:6">
      <c r="A37" s="2"/>
      <c r="B37" s="2"/>
      <c r="C37" s="2"/>
      <c r="D37" s="2"/>
      <c r="E37" s="2"/>
      <c r="F37" s="2"/>
    </row>
    <row r="38" customHeight="1" spans="1:6">
      <c r="A38" s="2"/>
      <c r="B38" s="2"/>
      <c r="C38" s="2"/>
      <c r="D38" s="2"/>
      <c r="E38" s="2"/>
      <c r="F38" s="2"/>
    </row>
    <row r="39" customHeight="1" spans="1:6">
      <c r="A39" s="2"/>
      <c r="B39" s="2"/>
      <c r="C39" s="2"/>
      <c r="D39" s="2"/>
      <c r="E39" s="2"/>
      <c r="F39" s="2"/>
    </row>
    <row r="40" customHeight="1" spans="1:6">
      <c r="A40" s="2"/>
      <c r="B40" s="2"/>
      <c r="C40" s="2"/>
      <c r="D40" s="2"/>
      <c r="E40" s="2"/>
      <c r="F40" s="2"/>
    </row>
    <row r="41" customHeight="1" spans="1:6">
      <c r="A41" s="2"/>
      <c r="B41" s="2"/>
      <c r="C41" s="2"/>
      <c r="D41" s="2"/>
      <c r="E41" s="2"/>
      <c r="F41" s="2"/>
    </row>
    <row r="42" customHeight="1" spans="1:6">
      <c r="A42" s="2"/>
      <c r="B42" s="2"/>
      <c r="C42" s="2"/>
      <c r="D42" s="2"/>
      <c r="E42" s="2"/>
      <c r="F42" s="2"/>
    </row>
    <row r="43" customHeight="1" spans="1:6">
      <c r="A43" s="2"/>
      <c r="B43" s="2"/>
      <c r="C43" s="2"/>
      <c r="D43" s="2"/>
      <c r="E43" s="2"/>
      <c r="F43" s="2"/>
    </row>
    <row r="44" customHeight="1" spans="1:6">
      <c r="A44" s="2"/>
      <c r="B44" s="2"/>
      <c r="C44" s="2"/>
      <c r="D44" s="2"/>
      <c r="E44" s="2"/>
      <c r="F44" s="2"/>
    </row>
    <row r="45" customHeight="1" spans="1:6">
      <c r="A45" s="2"/>
      <c r="B45" s="2"/>
      <c r="C45" s="2"/>
      <c r="D45" s="2"/>
      <c r="E45" s="2"/>
      <c r="F45" s="2"/>
    </row>
    <row r="46" customHeight="1" spans="1:6">
      <c r="A46" s="2"/>
      <c r="B46" s="2"/>
      <c r="C46" s="2"/>
      <c r="D46" s="2"/>
      <c r="E46" s="2"/>
      <c r="F46" s="2"/>
    </row>
    <row r="47" customHeight="1" spans="1:6">
      <c r="A47" s="2"/>
      <c r="B47" s="2"/>
      <c r="C47" s="2"/>
      <c r="D47" s="2"/>
      <c r="E47" s="2"/>
      <c r="F47" s="2"/>
    </row>
    <row r="48" customHeight="1" spans="1:6">
      <c r="A48" s="2"/>
      <c r="B48" s="2"/>
      <c r="C48" s="2"/>
      <c r="D48" s="2"/>
      <c r="E48" s="2"/>
      <c r="F48" s="2"/>
    </row>
    <row r="49" customHeight="1" spans="1:6">
      <c r="A49" s="2"/>
      <c r="B49" s="2"/>
      <c r="C49" s="2"/>
      <c r="D49" s="2"/>
      <c r="E49" s="2"/>
      <c r="F49" s="2"/>
    </row>
    <row r="50" customHeight="1" spans="1:6">
      <c r="A50" s="2"/>
      <c r="B50" s="2"/>
      <c r="C50" s="2"/>
      <c r="D50" s="2"/>
      <c r="E50" s="2"/>
      <c r="F50" s="2"/>
    </row>
  </sheetData>
  <mergeCells count="15">
    <mergeCell ref="A1:F1"/>
    <mergeCell ref="A3:A10"/>
    <mergeCell ref="A11:A31"/>
    <mergeCell ref="B3:B6"/>
    <mergeCell ref="B7:B8"/>
    <mergeCell ref="B9:B10"/>
    <mergeCell ref="B12:B19"/>
    <mergeCell ref="B21:B28"/>
    <mergeCell ref="B29:B31"/>
    <mergeCell ref="E3:E6"/>
    <mergeCell ref="E7:E8"/>
    <mergeCell ref="E9:E10"/>
    <mergeCell ref="E12:E19"/>
    <mergeCell ref="E21:E28"/>
    <mergeCell ref="E29:E31"/>
  </mergeCells>
  <printOptions horizontalCentered="1"/>
  <pageMargins left="0.747916666666667" right="0.747916666666667" top="0.984027777777778" bottom="0.984027777777778" header="0.511805555555556" footer="0.511805555555556"/>
  <pageSetup paperSize="9" scale="85" orientation="portrait" horizontalDpi="600"/>
  <headerFooter alignWithMargins="0"/>
  <rowBreaks count="1" manualBreakCount="1">
    <brk id="3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H29"/>
  <sheetViews>
    <sheetView workbookViewId="0">
      <selection activeCell="D17" sqref="D17"/>
    </sheetView>
  </sheetViews>
  <sheetFormatPr defaultColWidth="12.625" defaultRowHeight="25" customHeight="1" outlineLevelCol="7"/>
  <cols>
    <col min="1" max="1" width="11.25" style="2" customWidth="1"/>
    <col min="2" max="3" width="12.625" style="2" customWidth="1"/>
    <col min="4" max="4" width="17.25" style="2" customWidth="1"/>
    <col min="5" max="16384" width="12.625" style="2" customWidth="1"/>
  </cols>
  <sheetData>
    <row r="1" s="1" customFormat="1" customHeight="1" spans="1:6">
      <c r="A1" s="55" t="s">
        <v>535</v>
      </c>
      <c r="B1" s="55"/>
      <c r="C1" s="55"/>
      <c r="D1" s="55"/>
      <c r="E1" s="55"/>
      <c r="F1" s="55"/>
    </row>
    <row r="2" s="1" customFormat="1" customHeight="1" spans="1:6">
      <c r="A2" s="4" t="s">
        <v>504</v>
      </c>
      <c r="B2" s="5" t="s">
        <v>370</v>
      </c>
      <c r="C2" s="5" t="s">
        <v>505</v>
      </c>
      <c r="D2" s="6" t="s">
        <v>506</v>
      </c>
      <c r="E2" s="6" t="s">
        <v>507</v>
      </c>
      <c r="F2" s="7" t="s">
        <v>374</v>
      </c>
    </row>
    <row r="3" s="1" customFormat="1" customHeight="1" spans="1:7">
      <c r="A3" s="8" t="s">
        <v>508</v>
      </c>
      <c r="B3" s="9" t="s">
        <v>536</v>
      </c>
      <c r="C3" s="9">
        <v>2</v>
      </c>
      <c r="D3" s="10">
        <f>'38#明细表（表2.1）'!E3</f>
        <v>1.57</v>
      </c>
      <c r="E3" s="10">
        <f t="shared" ref="E3:E10" si="0">C3*D3</f>
        <v>3.14</v>
      </c>
      <c r="F3" s="11"/>
      <c r="G3" s="16"/>
    </row>
    <row r="4" s="1" customFormat="1" customHeight="1" spans="1:6">
      <c r="A4" s="8"/>
      <c r="B4" s="9" t="s">
        <v>526</v>
      </c>
      <c r="C4" s="9">
        <v>4</v>
      </c>
      <c r="D4" s="10">
        <f>'38#明细表（表2.1）'!E5</f>
        <v>1.74</v>
      </c>
      <c r="E4" s="10">
        <f t="shared" si="0"/>
        <v>6.96</v>
      </c>
      <c r="F4" s="11"/>
    </row>
    <row r="5" s="1" customFormat="1" customHeight="1" spans="1:6">
      <c r="A5" s="8"/>
      <c r="B5" s="9" t="s">
        <v>510</v>
      </c>
      <c r="C5" s="9">
        <v>8</v>
      </c>
      <c r="D5" s="10">
        <f>'38#明细表（表2.1）'!E8</f>
        <v>2.06</v>
      </c>
      <c r="E5" s="10">
        <f t="shared" si="0"/>
        <v>16.48</v>
      </c>
      <c r="F5" s="11"/>
    </row>
    <row r="6" s="1" customFormat="1" customHeight="1" spans="1:6">
      <c r="A6" s="8" t="s">
        <v>512</v>
      </c>
      <c r="B6" s="9" t="s">
        <v>537</v>
      </c>
      <c r="C6" s="9">
        <v>132</v>
      </c>
      <c r="D6" s="10">
        <f>'38#明细表（表2.1）'!E10</f>
        <v>1.37</v>
      </c>
      <c r="E6" s="10">
        <f t="shared" si="0"/>
        <v>180.84</v>
      </c>
      <c r="F6" s="11"/>
    </row>
    <row r="7" s="1" customFormat="1" customHeight="1" spans="1:6">
      <c r="A7" s="8"/>
      <c r="B7" s="9" t="s">
        <v>526</v>
      </c>
      <c r="C7" s="9">
        <v>68</v>
      </c>
      <c r="D7" s="10">
        <f>'38#明细表（表2.1）'!E18</f>
        <v>1.71</v>
      </c>
      <c r="E7" s="10">
        <f t="shared" si="0"/>
        <v>116.28</v>
      </c>
      <c r="F7" s="11"/>
    </row>
    <row r="8" s="1" customFormat="1" customHeight="1" spans="1:6">
      <c r="A8" s="8"/>
      <c r="B8" s="9" t="s">
        <v>513</v>
      </c>
      <c r="C8" s="9">
        <v>2</v>
      </c>
      <c r="D8" s="10">
        <f>'38#明细表（表2.1）'!E22</f>
        <v>2.47</v>
      </c>
      <c r="E8" s="10">
        <f t="shared" si="0"/>
        <v>4.94</v>
      </c>
      <c r="F8" s="59"/>
    </row>
    <row r="9" s="1" customFormat="1" customHeight="1" spans="1:8">
      <c r="A9" s="8"/>
      <c r="B9" s="9" t="s">
        <v>510</v>
      </c>
      <c r="C9" s="9">
        <v>200</v>
      </c>
      <c r="D9" s="10">
        <f>'38#明细表（表2.1）'!E23</f>
        <v>2</v>
      </c>
      <c r="E9" s="10">
        <f t="shared" si="0"/>
        <v>400</v>
      </c>
      <c r="F9" s="11"/>
      <c r="H9" s="2"/>
    </row>
    <row r="10" s="1" customFormat="1" customHeight="1" spans="1:6">
      <c r="A10" s="8"/>
      <c r="B10" s="9" t="s">
        <v>511</v>
      </c>
      <c r="C10" s="9">
        <v>66</v>
      </c>
      <c r="D10" s="10">
        <f>'38#明细表（表2.1）'!E31</f>
        <v>2.38</v>
      </c>
      <c r="E10" s="10">
        <f t="shared" si="0"/>
        <v>157.08</v>
      </c>
      <c r="F10" s="11"/>
    </row>
    <row r="11" s="2" customFormat="1" customHeight="1" spans="1:6">
      <c r="A11" s="12" t="s">
        <v>484</v>
      </c>
      <c r="B11" s="13"/>
      <c r="C11" s="13">
        <f>SUM(C3:C10)</f>
        <v>482</v>
      </c>
      <c r="D11" s="14"/>
      <c r="E11" s="14">
        <f>SUM(E3:E10)</f>
        <v>885.72</v>
      </c>
      <c r="F11" s="60"/>
    </row>
    <row r="12" s="2" customFormat="1" customHeight="1" spans="1:6">
      <c r="A12" s="22"/>
      <c r="B12" s="22"/>
      <c r="C12" s="22"/>
      <c r="D12" s="22"/>
      <c r="E12" s="23"/>
      <c r="F12" s="22"/>
    </row>
    <row r="13" s="2" customFormat="1" customHeight="1" spans="1:6">
      <c r="A13" s="22"/>
      <c r="B13" s="22"/>
      <c r="C13" s="22"/>
      <c r="D13" s="22"/>
      <c r="E13" s="23"/>
      <c r="F13" s="22"/>
    </row>
    <row r="14" s="2" customFormat="1" customHeight="1" spans="1:6">
      <c r="A14" s="22"/>
      <c r="B14" s="22"/>
      <c r="C14" s="22"/>
      <c r="D14" s="22"/>
      <c r="E14" s="23"/>
      <c r="F14" s="22"/>
    </row>
    <row r="15" s="2" customFormat="1" customHeight="1" spans="1:6">
      <c r="A15" s="22"/>
      <c r="B15" s="22"/>
      <c r="C15" s="22"/>
      <c r="D15" s="22"/>
      <c r="E15" s="23"/>
      <c r="F15" s="22"/>
    </row>
    <row r="16" s="2" customFormat="1" customHeight="1" spans="1:6">
      <c r="A16" s="22"/>
      <c r="B16" s="22"/>
      <c r="C16" s="22"/>
      <c r="D16" s="22"/>
      <c r="E16" s="23"/>
      <c r="F16" s="22"/>
    </row>
    <row r="17" s="2" customFormat="1" customHeight="1" spans="1:6">
      <c r="A17" s="22"/>
      <c r="B17" s="22"/>
      <c r="C17" s="22"/>
      <c r="D17" s="22"/>
      <c r="E17" s="23"/>
      <c r="F17" s="22"/>
    </row>
    <row r="18" s="2" customFormat="1" customHeight="1" spans="1:6">
      <c r="A18" s="22"/>
      <c r="B18" s="22"/>
      <c r="C18" s="22"/>
      <c r="D18" s="22"/>
      <c r="E18" s="23"/>
      <c r="F18" s="22"/>
    </row>
    <row r="19" s="2" customFormat="1" customHeight="1" spans="1:6">
      <c r="A19" s="22"/>
      <c r="B19" s="22"/>
      <c r="C19" s="22"/>
      <c r="D19" s="22"/>
      <c r="E19" s="23"/>
      <c r="F19" s="22"/>
    </row>
    <row r="20" s="2" customFormat="1" customHeight="1" spans="1:6">
      <c r="A20" s="22"/>
      <c r="B20" s="22"/>
      <c r="C20" s="22"/>
      <c r="D20" s="22"/>
      <c r="E20" s="23"/>
      <c r="F20" s="22"/>
    </row>
    <row r="21" s="2" customFormat="1" customHeight="1" spans="1:6">
      <c r="A21" s="22"/>
      <c r="B21" s="22"/>
      <c r="C21" s="22"/>
      <c r="D21" s="22"/>
      <c r="E21" s="23"/>
      <c r="F21" s="22"/>
    </row>
    <row r="22" s="2" customFormat="1" customHeight="1" spans="1:6">
      <c r="A22" s="22"/>
      <c r="B22" s="22"/>
      <c r="C22" s="22"/>
      <c r="D22" s="22"/>
      <c r="E22" s="23"/>
      <c r="F22" s="22"/>
    </row>
    <row r="23" s="2" customFormat="1" customHeight="1" spans="1:6">
      <c r="A23" s="22"/>
      <c r="B23" s="22"/>
      <c r="C23" s="22"/>
      <c r="D23" s="22"/>
      <c r="E23" s="23"/>
      <c r="F23" s="22"/>
    </row>
    <row r="24" s="2" customFormat="1" customHeight="1" spans="1:6">
      <c r="A24" s="22"/>
      <c r="B24" s="22"/>
      <c r="C24" s="22"/>
      <c r="D24" s="22"/>
      <c r="E24" s="23"/>
      <c r="F24" s="22"/>
    </row>
    <row r="25" s="2" customFormat="1" customHeight="1" spans="1:6">
      <c r="A25" s="22"/>
      <c r="B25" s="22"/>
      <c r="C25" s="22"/>
      <c r="D25" s="22"/>
      <c r="E25" s="23"/>
      <c r="F25" s="22"/>
    </row>
    <row r="26" s="2" customFormat="1" customHeight="1" spans="1:6">
      <c r="A26" s="22"/>
      <c r="B26" s="22"/>
      <c r="C26" s="22"/>
      <c r="D26" s="22"/>
      <c r="E26" s="23"/>
      <c r="F26" s="22"/>
    </row>
    <row r="27" s="2" customFormat="1" customHeight="1" spans="1:6">
      <c r="A27" s="22"/>
      <c r="B27" s="22"/>
      <c r="C27" s="22"/>
      <c r="D27" s="22"/>
      <c r="E27" s="23"/>
      <c r="F27" s="22"/>
    </row>
    <row r="28" s="2" customFormat="1" customHeight="1" spans="1:6">
      <c r="A28" s="22"/>
      <c r="B28" s="22"/>
      <c r="C28" s="22"/>
      <c r="D28" s="22"/>
      <c r="E28" s="23"/>
      <c r="F28" s="22"/>
    </row>
    <row r="29" s="2" customFormat="1" customHeight="1" spans="1:6">
      <c r="A29" s="22"/>
      <c r="B29" s="22"/>
      <c r="C29" s="22"/>
      <c r="D29" s="22"/>
      <c r="E29" s="23"/>
      <c r="F29" s="22"/>
    </row>
  </sheetData>
  <mergeCells count="3">
    <mergeCell ref="A1:F1"/>
    <mergeCell ref="A3:A5"/>
    <mergeCell ref="A6:A10"/>
  </mergeCells>
  <printOptions horizontalCentered="1"/>
  <pageMargins left="0.696527777777778" right="0.696527777777778" top="0.751388888888889" bottom="0.751388888888889" header="0.298611111111111" footer="0.298611111111111"/>
  <pageSetup paperSize="9" scale="86" orientation="portrait" horizont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M34"/>
  <sheetViews>
    <sheetView workbookViewId="0">
      <pane ySplit="2" topLeftCell="A3" activePane="bottomLeft" state="frozen"/>
      <selection/>
      <selection pane="bottomLeft" activeCell="C18" sqref="$A17:$XFD18"/>
    </sheetView>
  </sheetViews>
  <sheetFormatPr defaultColWidth="12.625" defaultRowHeight="25" customHeight="1"/>
  <cols>
    <col min="1" max="1" width="11.5" style="57" customWidth="1"/>
    <col min="2" max="4" width="12.625" style="57" customWidth="1"/>
    <col min="5" max="5" width="18.125" style="58" customWidth="1"/>
    <col min="6" max="16384" width="12.625" style="57" customWidth="1"/>
  </cols>
  <sheetData>
    <row r="1" customHeight="1" spans="1:6">
      <c r="A1" s="53" t="s">
        <v>538</v>
      </c>
      <c r="B1" s="54"/>
      <c r="C1" s="54"/>
      <c r="D1" s="53"/>
      <c r="E1" s="53"/>
      <c r="F1" s="53"/>
    </row>
    <row r="2" customHeight="1" spans="1:6">
      <c r="A2" s="4" t="s">
        <v>504</v>
      </c>
      <c r="B2" s="5" t="s">
        <v>370</v>
      </c>
      <c r="C2" s="5" t="s">
        <v>515</v>
      </c>
      <c r="D2" s="5" t="s">
        <v>516</v>
      </c>
      <c r="E2" s="6" t="s">
        <v>506</v>
      </c>
      <c r="F2" s="7" t="s">
        <v>374</v>
      </c>
    </row>
    <row r="3" s="1" customFormat="1" customHeight="1" spans="1:13">
      <c r="A3" s="8" t="s">
        <v>508</v>
      </c>
      <c r="B3" s="9" t="s">
        <v>536</v>
      </c>
      <c r="C3" s="9">
        <v>900</v>
      </c>
      <c r="D3" s="9">
        <v>1740</v>
      </c>
      <c r="E3" s="10">
        <f>(C3*D3+C4*D4)/2/1000000</f>
        <v>1.57</v>
      </c>
      <c r="F3" s="17" t="s">
        <v>539</v>
      </c>
      <c r="G3" s="57"/>
      <c r="H3" s="57"/>
      <c r="I3" s="57"/>
      <c r="J3" s="57"/>
      <c r="K3" s="57"/>
      <c r="L3" s="57"/>
      <c r="M3" s="57"/>
    </row>
    <row r="4" s="1" customFormat="1" customHeight="1" spans="1:13">
      <c r="A4" s="8"/>
      <c r="B4" s="9"/>
      <c r="C4" s="9">
        <v>880</v>
      </c>
      <c r="D4" s="9">
        <v>1780</v>
      </c>
      <c r="E4" s="10"/>
      <c r="F4" s="17" t="s">
        <v>518</v>
      </c>
      <c r="G4" s="57"/>
      <c r="H4" s="57"/>
      <c r="I4" s="57"/>
      <c r="J4" s="57"/>
      <c r="K4" s="57"/>
      <c r="L4" s="57"/>
      <c r="M4" s="57"/>
    </row>
    <row r="5" s="1" customFormat="1" customHeight="1" spans="1:13">
      <c r="A5" s="8"/>
      <c r="B5" s="9" t="s">
        <v>526</v>
      </c>
      <c r="C5" s="9">
        <v>1000</v>
      </c>
      <c r="D5" s="9">
        <v>1780</v>
      </c>
      <c r="E5" s="10">
        <f>(C5*D5+C6*D6+C7*D7)/3/1000000</f>
        <v>1.74</v>
      </c>
      <c r="F5" s="17" t="s">
        <v>540</v>
      </c>
      <c r="G5" s="57"/>
      <c r="H5" s="57"/>
      <c r="I5" s="57"/>
      <c r="J5" s="57"/>
      <c r="K5" s="57"/>
      <c r="L5" s="57"/>
      <c r="M5" s="57"/>
    </row>
    <row r="6" s="1" customFormat="1" ht="18" customHeight="1" spans="1:13">
      <c r="A6" s="8"/>
      <c r="B6" s="9"/>
      <c r="C6" s="9">
        <v>980</v>
      </c>
      <c r="D6" s="9">
        <v>1770</v>
      </c>
      <c r="E6" s="10"/>
      <c r="F6" s="17" t="s">
        <v>517</v>
      </c>
      <c r="G6" s="57"/>
      <c r="H6" s="57"/>
      <c r="I6" s="57"/>
      <c r="J6" s="57"/>
      <c r="K6" s="57"/>
      <c r="L6" s="57"/>
      <c r="M6" s="57"/>
    </row>
    <row r="7" s="1" customFormat="1" ht="23" customHeight="1" spans="1:13">
      <c r="A7" s="8"/>
      <c r="B7" s="9"/>
      <c r="C7" s="9">
        <v>970</v>
      </c>
      <c r="D7" s="9">
        <v>1770</v>
      </c>
      <c r="E7" s="10"/>
      <c r="F7" s="17" t="s">
        <v>518</v>
      </c>
      <c r="G7" s="57"/>
      <c r="H7" s="57"/>
      <c r="I7" s="57"/>
      <c r="J7" s="57"/>
      <c r="K7" s="57"/>
      <c r="L7" s="57"/>
      <c r="M7" s="57"/>
    </row>
    <row r="8" s="1" customFormat="1" customHeight="1" spans="1:13">
      <c r="A8" s="8"/>
      <c r="B8" s="9" t="s">
        <v>510</v>
      </c>
      <c r="C8" s="9">
        <f>(880+55*2)</f>
        <v>990</v>
      </c>
      <c r="D8" s="9">
        <f>(1990+55)</f>
        <v>2045</v>
      </c>
      <c r="E8" s="10">
        <f>(C8*D8+C9*D9)/2/1000000</f>
        <v>2.06</v>
      </c>
      <c r="F8" s="17" t="s">
        <v>540</v>
      </c>
      <c r="G8" s="57"/>
      <c r="H8" s="57"/>
      <c r="I8" s="57"/>
      <c r="J8" s="57"/>
      <c r="K8" s="57"/>
      <c r="L8" s="57"/>
      <c r="M8" s="57"/>
    </row>
    <row r="9" s="1" customFormat="1" customHeight="1" spans="1:13">
      <c r="A9" s="8"/>
      <c r="B9" s="9"/>
      <c r="C9" s="9">
        <v>990</v>
      </c>
      <c r="D9" s="9">
        <v>2120</v>
      </c>
      <c r="E9" s="10"/>
      <c r="F9" s="17" t="s">
        <v>540</v>
      </c>
      <c r="G9" s="57"/>
      <c r="H9" s="57"/>
      <c r="I9" s="57"/>
      <c r="J9" s="57"/>
      <c r="K9" s="57"/>
      <c r="L9" s="57"/>
      <c r="M9" s="57"/>
    </row>
    <row r="10" s="1" customFormat="1" customHeight="1" spans="1:13">
      <c r="A10" s="8" t="s">
        <v>512</v>
      </c>
      <c r="B10" s="9" t="s">
        <v>537</v>
      </c>
      <c r="C10" s="9">
        <v>780</v>
      </c>
      <c r="D10" s="9">
        <v>1750</v>
      </c>
      <c r="E10" s="10">
        <f>(C10*D10+C11*D11+C12*D12+C13*D13+C14*D14+C15*D15+C16*D16+C17*D17)/8/1000000</f>
        <v>1.37</v>
      </c>
      <c r="F10" s="17" t="s">
        <v>541</v>
      </c>
      <c r="G10" s="57"/>
      <c r="H10" s="57"/>
      <c r="I10" s="57"/>
      <c r="J10" s="57"/>
      <c r="K10" s="57"/>
      <c r="L10" s="57"/>
      <c r="M10" s="57"/>
    </row>
    <row r="11" s="1" customFormat="1" customHeight="1" spans="1:13">
      <c r="A11" s="8"/>
      <c r="B11" s="9"/>
      <c r="C11" s="9">
        <v>790</v>
      </c>
      <c r="D11" s="9">
        <v>1790</v>
      </c>
      <c r="E11" s="10"/>
      <c r="F11" s="17" t="s">
        <v>541</v>
      </c>
      <c r="G11" s="57"/>
      <c r="H11" s="57"/>
      <c r="I11" s="57"/>
      <c r="J11" s="57"/>
      <c r="K11" s="57"/>
      <c r="L11" s="57"/>
      <c r="M11" s="57"/>
    </row>
    <row r="12" s="1" customFormat="1" ht="23" customHeight="1" spans="1:13">
      <c r="A12" s="8"/>
      <c r="B12" s="9"/>
      <c r="C12" s="9">
        <v>770</v>
      </c>
      <c r="D12" s="9">
        <v>1770</v>
      </c>
      <c r="E12" s="10"/>
      <c r="F12" s="17" t="s">
        <v>542</v>
      </c>
      <c r="G12" s="57"/>
      <c r="H12" s="57"/>
      <c r="I12" s="57"/>
      <c r="J12" s="57"/>
      <c r="K12" s="57"/>
      <c r="L12" s="57"/>
      <c r="M12" s="57"/>
    </row>
    <row r="13" s="1" customFormat="1" ht="24" customHeight="1" spans="1:8">
      <c r="A13" s="8"/>
      <c r="B13" s="9"/>
      <c r="C13" s="9">
        <v>780</v>
      </c>
      <c r="D13" s="9">
        <v>1770</v>
      </c>
      <c r="E13" s="10"/>
      <c r="F13" s="17" t="s">
        <v>542</v>
      </c>
      <c r="G13" s="57"/>
      <c r="H13" s="57"/>
    </row>
    <row r="14" s="1" customFormat="1" customHeight="1" spans="1:8">
      <c r="A14" s="8"/>
      <c r="B14" s="9"/>
      <c r="C14" s="9">
        <v>780</v>
      </c>
      <c r="D14" s="9">
        <v>1760</v>
      </c>
      <c r="E14" s="10"/>
      <c r="F14" s="17" t="s">
        <v>543</v>
      </c>
      <c r="G14" s="57"/>
      <c r="H14" s="57"/>
    </row>
    <row r="15" s="2" customFormat="1" customHeight="1" spans="1:8">
      <c r="A15" s="8"/>
      <c r="B15" s="9"/>
      <c r="C15" s="9">
        <v>750</v>
      </c>
      <c r="D15" s="9">
        <v>1760</v>
      </c>
      <c r="E15" s="10"/>
      <c r="F15" s="17" t="s">
        <v>543</v>
      </c>
      <c r="G15" s="57"/>
      <c r="H15" s="57"/>
    </row>
    <row r="16" s="2" customFormat="1" ht="21" customHeight="1" spans="1:8">
      <c r="A16" s="8"/>
      <c r="B16" s="9"/>
      <c r="C16" s="9">
        <v>770</v>
      </c>
      <c r="D16" s="9">
        <v>1760</v>
      </c>
      <c r="E16" s="10"/>
      <c r="F16" s="17" t="s">
        <v>544</v>
      </c>
      <c r="G16" s="57"/>
      <c r="H16" s="57"/>
    </row>
    <row r="17" s="2" customFormat="1" ht="22" customHeight="1" spans="1:8">
      <c r="A17" s="8"/>
      <c r="B17" s="9"/>
      <c r="C17" s="9">
        <v>770</v>
      </c>
      <c r="D17" s="9">
        <v>1770</v>
      </c>
      <c r="E17" s="10"/>
      <c r="F17" s="17" t="s">
        <v>544</v>
      </c>
      <c r="G17" s="57"/>
      <c r="H17" s="57"/>
    </row>
    <row r="18" s="2" customFormat="1" ht="22" customHeight="1" spans="1:8">
      <c r="A18" s="8"/>
      <c r="B18" s="9" t="s">
        <v>526</v>
      </c>
      <c r="C18" s="9">
        <v>975</v>
      </c>
      <c r="D18" s="9">
        <v>1770</v>
      </c>
      <c r="E18" s="10">
        <f>(C18*D18+C19*D19+C20*D20+C21*D21)/4/1000000</f>
        <v>1.71</v>
      </c>
      <c r="F18" s="17" t="s">
        <v>541</v>
      </c>
      <c r="G18" s="57"/>
      <c r="H18" s="57"/>
    </row>
    <row r="19" s="2" customFormat="1" ht="21" customHeight="1" spans="1:8">
      <c r="A19" s="8"/>
      <c r="B19" s="9"/>
      <c r="C19" s="9">
        <v>960</v>
      </c>
      <c r="D19" s="9">
        <v>1790</v>
      </c>
      <c r="E19" s="10"/>
      <c r="F19" s="17" t="s">
        <v>542</v>
      </c>
      <c r="G19" s="57"/>
      <c r="H19" s="57"/>
    </row>
    <row r="20" s="2" customFormat="1" customHeight="1" spans="1:8">
      <c r="A20" s="8"/>
      <c r="B20" s="9"/>
      <c r="C20" s="9">
        <v>960</v>
      </c>
      <c r="D20" s="9">
        <v>1780</v>
      </c>
      <c r="E20" s="10"/>
      <c r="F20" s="17" t="s">
        <v>543</v>
      </c>
      <c r="G20" s="57"/>
      <c r="H20" s="57"/>
    </row>
    <row r="21" s="2" customFormat="1" ht="23" customHeight="1" spans="1:8">
      <c r="A21" s="8"/>
      <c r="B21" s="9"/>
      <c r="C21" s="9">
        <v>960</v>
      </c>
      <c r="D21" s="9">
        <v>1770</v>
      </c>
      <c r="E21" s="10"/>
      <c r="F21" s="17" t="s">
        <v>544</v>
      </c>
      <c r="G21" s="57"/>
      <c r="H21" s="57"/>
    </row>
    <row r="22" s="2" customFormat="1" customHeight="1" spans="1:8">
      <c r="A22" s="8"/>
      <c r="B22" s="9" t="s">
        <v>513</v>
      </c>
      <c r="C22" s="9">
        <v>1175</v>
      </c>
      <c r="D22" s="9">
        <v>2100</v>
      </c>
      <c r="E22" s="10">
        <f>C22*D22/1000000</f>
        <v>2.47</v>
      </c>
      <c r="F22" s="17" t="s">
        <v>519</v>
      </c>
      <c r="G22" s="57"/>
      <c r="H22" s="57"/>
    </row>
    <row r="23" s="2" customFormat="1" customHeight="1" spans="1:8">
      <c r="A23" s="8"/>
      <c r="B23" s="9" t="s">
        <v>510</v>
      </c>
      <c r="C23" s="9">
        <v>990</v>
      </c>
      <c r="D23" s="9">
        <v>2080</v>
      </c>
      <c r="E23" s="10">
        <f>(C23*D23+C24*D24+C25*D25+C26*D26+C27*D27+C28*D28+C29*D29+C30*D30)/8/1000000</f>
        <v>2</v>
      </c>
      <c r="F23" s="17" t="s">
        <v>541</v>
      </c>
      <c r="G23" s="57"/>
      <c r="H23" s="57"/>
    </row>
    <row r="24" s="2" customFormat="1" customHeight="1" spans="1:8">
      <c r="A24" s="8"/>
      <c r="B24" s="9"/>
      <c r="C24" s="9">
        <f>(845+55*2)</f>
        <v>955</v>
      </c>
      <c r="D24" s="9">
        <f>(2015+55)</f>
        <v>2070</v>
      </c>
      <c r="E24" s="10"/>
      <c r="F24" s="17" t="s">
        <v>541</v>
      </c>
      <c r="G24" s="57"/>
      <c r="H24" s="57"/>
    </row>
    <row r="25" s="2" customFormat="1" ht="22" customHeight="1" spans="1:8">
      <c r="A25" s="8"/>
      <c r="B25" s="9"/>
      <c r="C25" s="9">
        <f t="shared" ref="C25:C29" si="0">(855+55*2)</f>
        <v>965</v>
      </c>
      <c r="D25" s="9">
        <f t="shared" ref="D25:D29" si="1">(2000+55)</f>
        <v>2055</v>
      </c>
      <c r="E25" s="10"/>
      <c r="F25" s="17" t="s">
        <v>542</v>
      </c>
      <c r="G25" s="57"/>
      <c r="H25" s="57"/>
    </row>
    <row r="26" s="2" customFormat="1" customHeight="1" spans="1:8">
      <c r="A26" s="8"/>
      <c r="B26" s="9"/>
      <c r="C26" s="9">
        <f>(850+55*2)</f>
        <v>960</v>
      </c>
      <c r="D26" s="9">
        <f t="shared" si="1"/>
        <v>2055</v>
      </c>
      <c r="E26" s="10"/>
      <c r="F26" s="17" t="s">
        <v>542</v>
      </c>
      <c r="G26" s="57"/>
      <c r="H26" s="57"/>
    </row>
    <row r="27" s="2" customFormat="1" ht="21" customHeight="1" spans="1:8">
      <c r="A27" s="8"/>
      <c r="B27" s="9"/>
      <c r="C27" s="9">
        <v>980</v>
      </c>
      <c r="D27" s="9">
        <v>2080</v>
      </c>
      <c r="E27" s="10"/>
      <c r="F27" s="17" t="s">
        <v>542</v>
      </c>
      <c r="G27" s="57"/>
      <c r="H27" s="57"/>
    </row>
    <row r="28" s="2" customFormat="1" customHeight="1" spans="1:8">
      <c r="A28" s="8"/>
      <c r="B28" s="9"/>
      <c r="C28" s="9">
        <f t="shared" si="0"/>
        <v>965</v>
      </c>
      <c r="D28" s="9">
        <f>(1990+55)</f>
        <v>2045</v>
      </c>
      <c r="E28" s="10"/>
      <c r="F28" s="17" t="s">
        <v>543</v>
      </c>
      <c r="G28" s="57"/>
      <c r="H28" s="57"/>
    </row>
    <row r="29" s="2" customFormat="1" customHeight="1" spans="1:8">
      <c r="A29" s="8"/>
      <c r="B29" s="9"/>
      <c r="C29" s="9">
        <f t="shared" si="0"/>
        <v>965</v>
      </c>
      <c r="D29" s="9">
        <f t="shared" si="1"/>
        <v>2055</v>
      </c>
      <c r="E29" s="10"/>
      <c r="F29" s="17" t="s">
        <v>543</v>
      </c>
      <c r="G29" s="57"/>
      <c r="H29" s="57"/>
    </row>
    <row r="30" s="2" customFormat="1" customHeight="1" spans="1:8">
      <c r="A30" s="8"/>
      <c r="B30" s="9"/>
      <c r="C30" s="9">
        <v>980</v>
      </c>
      <c r="D30" s="9">
        <v>2080</v>
      </c>
      <c r="E30" s="10"/>
      <c r="F30" s="17" t="s">
        <v>543</v>
      </c>
      <c r="G30" s="57"/>
      <c r="H30" s="57"/>
    </row>
    <row r="31" s="2" customFormat="1" customHeight="1" spans="1:8">
      <c r="A31" s="8"/>
      <c r="B31" s="9" t="s">
        <v>511</v>
      </c>
      <c r="C31" s="9">
        <f>(1040+55*2)</f>
        <v>1150</v>
      </c>
      <c r="D31" s="9">
        <f>(2010+55)</f>
        <v>2065</v>
      </c>
      <c r="E31" s="10">
        <f>(C31*D31+C32*D32+C33*D33)/3/1000000</f>
        <v>2.38</v>
      </c>
      <c r="F31" s="17" t="s">
        <v>541</v>
      </c>
      <c r="G31" s="57"/>
      <c r="H31" s="57"/>
    </row>
    <row r="32" s="2" customFormat="1" customHeight="1" spans="1:8">
      <c r="A32" s="8"/>
      <c r="B32" s="9"/>
      <c r="C32" s="9">
        <f>(1055+55*2)</f>
        <v>1165</v>
      </c>
      <c r="D32" s="9">
        <f>(2000+55)</f>
        <v>2055</v>
      </c>
      <c r="E32" s="10"/>
      <c r="F32" s="17" t="s">
        <v>542</v>
      </c>
      <c r="G32" s="57"/>
      <c r="H32" s="57"/>
    </row>
    <row r="33" s="2" customFormat="1" customHeight="1" spans="1:8">
      <c r="A33" s="18"/>
      <c r="B33" s="19"/>
      <c r="C33" s="19">
        <f>(1050+55*2)</f>
        <v>1160</v>
      </c>
      <c r="D33" s="19">
        <f>(2000+55)</f>
        <v>2055</v>
      </c>
      <c r="E33" s="20"/>
      <c r="F33" s="21" t="s">
        <v>543</v>
      </c>
      <c r="G33" s="57"/>
      <c r="H33" s="57"/>
    </row>
    <row r="34" s="2" customFormat="1" customHeight="1" spans="1:8">
      <c r="A34" s="57"/>
      <c r="B34" s="57"/>
      <c r="C34" s="57"/>
      <c r="D34" s="57"/>
      <c r="E34" s="58"/>
      <c r="F34" s="57"/>
      <c r="G34" s="57"/>
      <c r="H34" s="57"/>
    </row>
  </sheetData>
  <mergeCells count="17">
    <mergeCell ref="A1:F1"/>
    <mergeCell ref="A3:A9"/>
    <mergeCell ref="A10:A33"/>
    <mergeCell ref="B3:B4"/>
    <mergeCell ref="B5:B7"/>
    <mergeCell ref="B8:B9"/>
    <mergeCell ref="B10:B17"/>
    <mergeCell ref="B18:B21"/>
    <mergeCell ref="B23:B30"/>
    <mergeCell ref="B31:B33"/>
    <mergeCell ref="E3:E4"/>
    <mergeCell ref="E5:E7"/>
    <mergeCell ref="E8:E9"/>
    <mergeCell ref="E10:E17"/>
    <mergeCell ref="E18:E21"/>
    <mergeCell ref="E23:E30"/>
    <mergeCell ref="E31:E33"/>
  </mergeCells>
  <pageMargins left="0.747916666666667" right="0.747916666666667" top="0.314583333333333" bottom="0.984027777777778" header="0.196527777777778" footer="0.511805555555556"/>
  <pageSetup paperSize="9" scale="91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165" t="s">
        <v>205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</row>
    <row r="2" spans="1:29">
      <c r="A2" s="166" t="s">
        <v>1</v>
      </c>
      <c r="B2" s="166" t="s">
        <v>2</v>
      </c>
      <c r="C2" s="166" t="s">
        <v>3</v>
      </c>
      <c r="D2" s="166" t="s">
        <v>4</v>
      </c>
      <c r="E2" s="166" t="s">
        <v>5</v>
      </c>
      <c r="F2" s="166" t="s">
        <v>6</v>
      </c>
      <c r="G2" s="166" t="s">
        <v>7</v>
      </c>
      <c r="H2" s="166" t="s">
        <v>8</v>
      </c>
      <c r="I2" s="166" t="s">
        <v>9</v>
      </c>
      <c r="J2" s="166" t="s">
        <v>10</v>
      </c>
      <c r="K2" s="166" t="s">
        <v>11</v>
      </c>
      <c r="L2" s="166" t="s">
        <v>12</v>
      </c>
      <c r="M2" s="166" t="s">
        <v>13</v>
      </c>
      <c r="N2" s="166" t="s">
        <v>14</v>
      </c>
      <c r="O2" s="166" t="s">
        <v>15</v>
      </c>
      <c r="P2" s="166" t="s">
        <v>16</v>
      </c>
      <c r="Q2" s="166" t="s">
        <v>17</v>
      </c>
      <c r="R2" s="166" t="s">
        <v>18</v>
      </c>
      <c r="S2" s="166" t="s">
        <v>19</v>
      </c>
      <c r="T2" s="166" t="s">
        <v>20</v>
      </c>
      <c r="U2" s="166" t="s">
        <v>21</v>
      </c>
      <c r="V2" s="166" t="s">
        <v>22</v>
      </c>
      <c r="W2" s="166" t="s">
        <v>23</v>
      </c>
      <c r="X2" s="166" t="s">
        <v>24</v>
      </c>
      <c r="Y2" s="166" t="s">
        <v>25</v>
      </c>
      <c r="Z2" s="166" t="s">
        <v>26</v>
      </c>
      <c r="AA2" s="166" t="s">
        <v>27</v>
      </c>
      <c r="AB2" s="166" t="s">
        <v>28</v>
      </c>
      <c r="AC2" s="171" t="s">
        <v>206</v>
      </c>
    </row>
    <row r="3" spans="1:29">
      <c r="A3" s="166" t="s">
        <v>29</v>
      </c>
      <c r="B3" s="166" t="s">
        <v>38</v>
      </c>
      <c r="C3" s="166"/>
      <c r="D3" s="166"/>
      <c r="E3" s="166">
        <v>2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>
        <f t="shared" ref="AB3:AB66" si="0">SUM(E3:AA3)</f>
        <v>2</v>
      </c>
      <c r="AC3" s="171">
        <f t="shared" ref="AC3:AC34" si="1">C3*D3*AB3/1000000</f>
        <v>0</v>
      </c>
    </row>
    <row r="4" spans="1:29">
      <c r="A4" s="166" t="s">
        <v>31</v>
      </c>
      <c r="B4" s="166" t="s">
        <v>207</v>
      </c>
      <c r="C4" s="166"/>
      <c r="D4" s="166"/>
      <c r="E4" s="166">
        <v>3</v>
      </c>
      <c r="F4" s="166">
        <v>1</v>
      </c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>
        <f t="shared" si="0"/>
        <v>4</v>
      </c>
      <c r="AC4" s="171">
        <f t="shared" si="1"/>
        <v>0</v>
      </c>
    </row>
    <row r="5" spans="1:29">
      <c r="A5" s="166" t="s">
        <v>33</v>
      </c>
      <c r="B5" s="166" t="s">
        <v>124</v>
      </c>
      <c r="C5" s="166"/>
      <c r="D5" s="166"/>
      <c r="E5" s="166">
        <v>2</v>
      </c>
      <c r="F5" s="166">
        <v>3</v>
      </c>
      <c r="G5" s="166"/>
      <c r="H5" s="166">
        <v>3</v>
      </c>
      <c r="I5" s="166">
        <v>3</v>
      </c>
      <c r="J5" s="166">
        <v>3</v>
      </c>
      <c r="K5" s="166">
        <v>3</v>
      </c>
      <c r="L5" s="166">
        <v>3</v>
      </c>
      <c r="M5" s="166">
        <v>3</v>
      </c>
      <c r="N5" s="166">
        <v>3</v>
      </c>
      <c r="O5" s="166">
        <v>3</v>
      </c>
      <c r="P5" s="166">
        <v>3</v>
      </c>
      <c r="Q5" s="166">
        <v>3</v>
      </c>
      <c r="R5" s="166">
        <v>3</v>
      </c>
      <c r="S5" s="166">
        <v>3</v>
      </c>
      <c r="T5" s="166">
        <v>3</v>
      </c>
      <c r="U5" s="166">
        <v>3</v>
      </c>
      <c r="V5" s="166">
        <v>3</v>
      </c>
      <c r="W5" s="166">
        <v>3</v>
      </c>
      <c r="X5" s="166"/>
      <c r="Y5" s="166"/>
      <c r="Z5" s="166"/>
      <c r="AA5" s="166"/>
      <c r="AB5" s="166">
        <f t="shared" si="0"/>
        <v>53</v>
      </c>
      <c r="AC5" s="171">
        <f t="shared" si="1"/>
        <v>0</v>
      </c>
    </row>
    <row r="6" spans="1:29">
      <c r="A6" s="166" t="s">
        <v>35</v>
      </c>
      <c r="B6" s="166" t="s">
        <v>208</v>
      </c>
      <c r="C6" s="166"/>
      <c r="D6" s="166"/>
      <c r="E6" s="166">
        <v>3</v>
      </c>
      <c r="F6" s="166">
        <v>3</v>
      </c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>
        <f t="shared" si="0"/>
        <v>6</v>
      </c>
      <c r="AC6" s="171">
        <f t="shared" si="1"/>
        <v>0</v>
      </c>
    </row>
    <row r="7" spans="1:29">
      <c r="A7" s="166" t="s">
        <v>37</v>
      </c>
      <c r="B7" s="166" t="s">
        <v>86</v>
      </c>
      <c r="C7" s="166"/>
      <c r="D7" s="166"/>
      <c r="E7" s="166"/>
      <c r="F7" s="166">
        <v>1</v>
      </c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>
        <f t="shared" si="0"/>
        <v>1</v>
      </c>
      <c r="AC7" s="171">
        <f t="shared" si="1"/>
        <v>0</v>
      </c>
    </row>
    <row r="8" spans="1:29">
      <c r="A8" s="166" t="s">
        <v>39</v>
      </c>
      <c r="B8" s="166" t="s">
        <v>48</v>
      </c>
      <c r="C8" s="166"/>
      <c r="D8" s="166"/>
      <c r="E8" s="166"/>
      <c r="F8" s="166">
        <v>2</v>
      </c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>
        <f t="shared" si="0"/>
        <v>2</v>
      </c>
      <c r="AC8" s="171">
        <f t="shared" si="1"/>
        <v>0</v>
      </c>
    </row>
    <row r="9" spans="1:29">
      <c r="A9" s="166" t="s">
        <v>41</v>
      </c>
      <c r="B9" s="166" t="s">
        <v>209</v>
      </c>
      <c r="C9" s="166"/>
      <c r="D9" s="166"/>
      <c r="E9" s="166"/>
      <c r="F9" s="166">
        <v>1</v>
      </c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>
        <f t="shared" si="0"/>
        <v>1</v>
      </c>
      <c r="AC9" s="171">
        <f t="shared" si="1"/>
        <v>0</v>
      </c>
    </row>
    <row r="10" spans="1:29">
      <c r="A10" s="166" t="s">
        <v>43</v>
      </c>
      <c r="B10" s="166" t="s">
        <v>210</v>
      </c>
      <c r="C10" s="166"/>
      <c r="D10" s="166"/>
      <c r="E10" s="166"/>
      <c r="F10" s="166">
        <v>1</v>
      </c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>
        <f t="shared" si="0"/>
        <v>1</v>
      </c>
      <c r="AC10" s="171">
        <f t="shared" si="1"/>
        <v>0</v>
      </c>
    </row>
    <row r="11" spans="1:29">
      <c r="A11" s="166" t="s">
        <v>45</v>
      </c>
      <c r="B11" s="166" t="s">
        <v>211</v>
      </c>
      <c r="C11" s="166"/>
      <c r="D11" s="166"/>
      <c r="E11" s="166"/>
      <c r="F11" s="166">
        <v>1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>
        <f t="shared" si="0"/>
        <v>1</v>
      </c>
      <c r="AC11" s="171">
        <f t="shared" si="1"/>
        <v>0</v>
      </c>
    </row>
    <row r="12" spans="1:29">
      <c r="A12" s="166" t="s">
        <v>47</v>
      </c>
      <c r="B12" s="166" t="s">
        <v>212</v>
      </c>
      <c r="C12" s="166"/>
      <c r="D12" s="166"/>
      <c r="E12" s="166"/>
      <c r="F12" s="166">
        <v>1</v>
      </c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>
        <f t="shared" si="0"/>
        <v>1</v>
      </c>
      <c r="AC12" s="171">
        <f t="shared" si="1"/>
        <v>0</v>
      </c>
    </row>
    <row r="13" spans="1:29">
      <c r="A13" s="166" t="s">
        <v>49</v>
      </c>
      <c r="B13" s="166" t="s">
        <v>213</v>
      </c>
      <c r="C13" s="166"/>
      <c r="D13" s="166"/>
      <c r="E13" s="166"/>
      <c r="F13" s="166">
        <v>1</v>
      </c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>
        <f t="shared" si="0"/>
        <v>1</v>
      </c>
      <c r="AC13" s="171">
        <f t="shared" si="1"/>
        <v>0</v>
      </c>
    </row>
    <row r="14" spans="1:29">
      <c r="A14" s="166" t="s">
        <v>51</v>
      </c>
      <c r="B14" s="166" t="s">
        <v>214</v>
      </c>
      <c r="C14" s="166"/>
      <c r="D14" s="166"/>
      <c r="E14" s="166"/>
      <c r="F14" s="166">
        <v>2</v>
      </c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>
        <f t="shared" si="0"/>
        <v>2</v>
      </c>
      <c r="AC14" s="171">
        <f t="shared" si="1"/>
        <v>0</v>
      </c>
    </row>
    <row r="15" spans="1:29">
      <c r="A15" s="166" t="s">
        <v>53</v>
      </c>
      <c r="B15" s="166" t="s">
        <v>215</v>
      </c>
      <c r="C15" s="166"/>
      <c r="D15" s="166"/>
      <c r="E15" s="166"/>
      <c r="F15" s="166">
        <v>1</v>
      </c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>
        <f t="shared" si="0"/>
        <v>1</v>
      </c>
      <c r="AC15" s="171">
        <f t="shared" si="1"/>
        <v>0</v>
      </c>
    </row>
    <row r="16" spans="1:29">
      <c r="A16" s="166" t="s">
        <v>55</v>
      </c>
      <c r="B16" s="166" t="s">
        <v>44</v>
      </c>
      <c r="C16" s="166"/>
      <c r="D16" s="166"/>
      <c r="E16" s="166"/>
      <c r="F16" s="166">
        <v>1</v>
      </c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>
        <f t="shared" si="0"/>
        <v>1</v>
      </c>
      <c r="AC16" s="171">
        <f t="shared" si="1"/>
        <v>0</v>
      </c>
    </row>
    <row r="17" spans="1:29">
      <c r="A17" s="166" t="s">
        <v>57</v>
      </c>
      <c r="B17" s="166" t="s">
        <v>216</v>
      </c>
      <c r="C17" s="166"/>
      <c r="D17" s="166"/>
      <c r="E17" s="166"/>
      <c r="F17" s="166">
        <v>1</v>
      </c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>
        <f t="shared" si="0"/>
        <v>1</v>
      </c>
      <c r="AC17" s="171">
        <f t="shared" si="1"/>
        <v>0</v>
      </c>
    </row>
    <row r="18" spans="1:29">
      <c r="A18" s="166" t="s">
        <v>59</v>
      </c>
      <c r="B18" s="166" t="s">
        <v>217</v>
      </c>
      <c r="C18" s="166"/>
      <c r="D18" s="166"/>
      <c r="E18" s="166"/>
      <c r="F18" s="166">
        <v>1</v>
      </c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>
        <f t="shared" si="0"/>
        <v>1</v>
      </c>
      <c r="AC18" s="171">
        <f t="shared" si="1"/>
        <v>0</v>
      </c>
    </row>
    <row r="19" spans="1:29">
      <c r="A19" s="166" t="s">
        <v>61</v>
      </c>
      <c r="B19" s="166" t="s">
        <v>218</v>
      </c>
      <c r="C19" s="166"/>
      <c r="D19" s="166"/>
      <c r="E19" s="166"/>
      <c r="F19" s="166">
        <v>2</v>
      </c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>
        <f t="shared" si="0"/>
        <v>2</v>
      </c>
      <c r="AC19" s="171">
        <f t="shared" si="1"/>
        <v>0</v>
      </c>
    </row>
    <row r="20" spans="1:29">
      <c r="A20" s="166" t="s">
        <v>63</v>
      </c>
      <c r="B20" s="166" t="s">
        <v>219</v>
      </c>
      <c r="C20" s="166"/>
      <c r="D20" s="166"/>
      <c r="E20" s="166"/>
      <c r="F20" s="166">
        <v>1</v>
      </c>
      <c r="G20" s="166">
        <v>1</v>
      </c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>
        <f t="shared" si="0"/>
        <v>2</v>
      </c>
      <c r="AC20" s="171">
        <f t="shared" si="1"/>
        <v>0</v>
      </c>
    </row>
    <row r="21" spans="1:29">
      <c r="A21" s="166" t="s">
        <v>65</v>
      </c>
      <c r="B21" s="166" t="s">
        <v>220</v>
      </c>
      <c r="C21" s="166"/>
      <c r="D21" s="166"/>
      <c r="E21" s="166"/>
      <c r="F21" s="166">
        <v>2</v>
      </c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>
        <f t="shared" si="0"/>
        <v>2</v>
      </c>
      <c r="AC21" s="171">
        <f t="shared" si="1"/>
        <v>0</v>
      </c>
    </row>
    <row r="22" spans="1:29">
      <c r="A22" s="166" t="s">
        <v>67</v>
      </c>
      <c r="B22" s="166" t="s">
        <v>204</v>
      </c>
      <c r="C22" s="166"/>
      <c r="D22" s="166"/>
      <c r="E22" s="166"/>
      <c r="F22" s="166">
        <v>2</v>
      </c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>
        <f t="shared" si="0"/>
        <v>2</v>
      </c>
      <c r="AC22" s="171">
        <f t="shared" si="1"/>
        <v>0</v>
      </c>
    </row>
    <row r="23" spans="1:29">
      <c r="A23" s="166" t="s">
        <v>69</v>
      </c>
      <c r="B23" s="166" t="s">
        <v>221</v>
      </c>
      <c r="C23" s="166"/>
      <c r="D23" s="166"/>
      <c r="E23" s="166"/>
      <c r="F23" s="166">
        <v>3</v>
      </c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>
        <f t="shared" si="0"/>
        <v>3</v>
      </c>
      <c r="AC23" s="171">
        <f t="shared" si="1"/>
        <v>0</v>
      </c>
    </row>
    <row r="24" spans="1:29">
      <c r="A24" s="166" t="s">
        <v>71</v>
      </c>
      <c r="B24" s="166" t="s">
        <v>222</v>
      </c>
      <c r="C24" s="166"/>
      <c r="D24" s="166"/>
      <c r="E24" s="166"/>
      <c r="F24" s="166">
        <v>2</v>
      </c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>
        <f t="shared" si="0"/>
        <v>2</v>
      </c>
      <c r="AC24" s="171">
        <f t="shared" si="1"/>
        <v>0</v>
      </c>
    </row>
    <row r="25" spans="1:29">
      <c r="A25" s="166" t="s">
        <v>223</v>
      </c>
      <c r="B25" s="166" t="s">
        <v>224</v>
      </c>
      <c r="C25" s="166"/>
      <c r="D25" s="166"/>
      <c r="E25" s="166"/>
      <c r="F25" s="166">
        <v>2</v>
      </c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>
        <f t="shared" si="0"/>
        <v>2</v>
      </c>
      <c r="AC25" s="171">
        <f t="shared" si="1"/>
        <v>0</v>
      </c>
    </row>
    <row r="26" spans="1:29">
      <c r="A26" s="166" t="s">
        <v>73</v>
      </c>
      <c r="B26" s="166" t="s">
        <v>225</v>
      </c>
      <c r="C26" s="166"/>
      <c r="D26" s="166"/>
      <c r="E26" s="166"/>
      <c r="F26" s="166">
        <v>1</v>
      </c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>
        <f t="shared" si="0"/>
        <v>1</v>
      </c>
      <c r="AC26" s="171">
        <f t="shared" si="1"/>
        <v>0</v>
      </c>
    </row>
    <row r="27" spans="1:29">
      <c r="A27" s="166" t="s">
        <v>75</v>
      </c>
      <c r="B27" s="166" t="s">
        <v>226</v>
      </c>
      <c r="C27" s="166"/>
      <c r="D27" s="166"/>
      <c r="E27" s="166"/>
      <c r="F27" s="166">
        <v>1</v>
      </c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>
        <f t="shared" si="0"/>
        <v>1</v>
      </c>
      <c r="AC27" s="171">
        <f t="shared" si="1"/>
        <v>0</v>
      </c>
    </row>
    <row r="28" spans="1:29">
      <c r="A28" s="166" t="s">
        <v>77</v>
      </c>
      <c r="B28" s="166" t="s">
        <v>110</v>
      </c>
      <c r="C28" s="166"/>
      <c r="D28" s="166"/>
      <c r="E28" s="166"/>
      <c r="F28" s="166"/>
      <c r="G28" s="166">
        <v>1</v>
      </c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>
        <f t="shared" si="0"/>
        <v>1</v>
      </c>
      <c r="AC28" s="171">
        <f t="shared" si="1"/>
        <v>0</v>
      </c>
    </row>
    <row r="29" spans="1:29">
      <c r="A29" s="166" t="s">
        <v>79</v>
      </c>
      <c r="B29" s="166" t="s">
        <v>90</v>
      </c>
      <c r="C29" s="166"/>
      <c r="D29" s="166"/>
      <c r="E29" s="166"/>
      <c r="F29" s="166"/>
      <c r="G29" s="166">
        <v>3</v>
      </c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>
        <f t="shared" si="0"/>
        <v>3</v>
      </c>
      <c r="AC29" s="171">
        <f t="shared" si="1"/>
        <v>0</v>
      </c>
    </row>
    <row r="30" spans="1:29">
      <c r="A30" s="166" t="s">
        <v>81</v>
      </c>
      <c r="B30" s="166" t="s">
        <v>88</v>
      </c>
      <c r="C30" s="166"/>
      <c r="D30" s="166"/>
      <c r="E30" s="166"/>
      <c r="F30" s="166"/>
      <c r="G30" s="166">
        <v>1</v>
      </c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>
        <f t="shared" si="0"/>
        <v>1</v>
      </c>
      <c r="AC30" s="171">
        <f t="shared" si="1"/>
        <v>0</v>
      </c>
    </row>
    <row r="31" spans="1:29">
      <c r="A31" s="166" t="s">
        <v>83</v>
      </c>
      <c r="B31" s="166" t="s">
        <v>122</v>
      </c>
      <c r="C31" s="166"/>
      <c r="D31" s="166"/>
      <c r="E31" s="166"/>
      <c r="F31" s="166"/>
      <c r="G31" s="166">
        <v>5</v>
      </c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>
        <f t="shared" si="0"/>
        <v>5</v>
      </c>
      <c r="AC31" s="171">
        <f t="shared" si="1"/>
        <v>0</v>
      </c>
    </row>
    <row r="32" spans="1:29">
      <c r="A32" s="166" t="s">
        <v>85</v>
      </c>
      <c r="B32" s="166" t="s">
        <v>227</v>
      </c>
      <c r="C32" s="166"/>
      <c r="D32" s="166"/>
      <c r="E32" s="166"/>
      <c r="F32" s="166"/>
      <c r="G32" s="166">
        <v>1</v>
      </c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>
        <f t="shared" si="0"/>
        <v>1</v>
      </c>
      <c r="AC32" s="171">
        <f t="shared" si="1"/>
        <v>0</v>
      </c>
    </row>
    <row r="33" spans="1:29">
      <c r="A33" s="166" t="s">
        <v>87</v>
      </c>
      <c r="B33" s="166" t="s">
        <v>228</v>
      </c>
      <c r="C33" s="166"/>
      <c r="D33" s="166"/>
      <c r="E33" s="166"/>
      <c r="F33" s="166"/>
      <c r="G33" s="166">
        <v>1</v>
      </c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>
        <f t="shared" si="0"/>
        <v>1</v>
      </c>
      <c r="AC33" s="171">
        <f t="shared" si="1"/>
        <v>0</v>
      </c>
    </row>
    <row r="34" spans="1:29">
      <c r="A34" s="166" t="s">
        <v>89</v>
      </c>
      <c r="B34" s="166" t="s">
        <v>229</v>
      </c>
      <c r="C34" s="166"/>
      <c r="D34" s="166"/>
      <c r="E34" s="166"/>
      <c r="F34" s="166"/>
      <c r="G34" s="166">
        <v>1</v>
      </c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>
        <f t="shared" si="0"/>
        <v>1</v>
      </c>
      <c r="AC34" s="171">
        <f t="shared" si="1"/>
        <v>0</v>
      </c>
    </row>
    <row r="35" spans="1:29">
      <c r="A35" s="166" t="s">
        <v>91</v>
      </c>
      <c r="B35" s="166" t="s">
        <v>112</v>
      </c>
      <c r="C35" s="166"/>
      <c r="D35" s="166"/>
      <c r="E35" s="166"/>
      <c r="F35" s="166"/>
      <c r="G35" s="166">
        <v>1</v>
      </c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>
        <f t="shared" si="0"/>
        <v>1</v>
      </c>
      <c r="AC35" s="171">
        <f t="shared" ref="AC35:AC64" si="2">C35*D35*AB35/1000000</f>
        <v>0</v>
      </c>
    </row>
    <row r="36" spans="1:29">
      <c r="A36" s="166" t="s">
        <v>93</v>
      </c>
      <c r="B36" s="166" t="s">
        <v>139</v>
      </c>
      <c r="C36" s="166"/>
      <c r="D36" s="166"/>
      <c r="E36" s="166"/>
      <c r="F36" s="166"/>
      <c r="G36" s="166">
        <v>2</v>
      </c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>
        <f t="shared" si="0"/>
        <v>2</v>
      </c>
      <c r="AC36" s="171">
        <f t="shared" si="2"/>
        <v>0</v>
      </c>
    </row>
    <row r="37" spans="1:29">
      <c r="A37" s="166" t="s">
        <v>95</v>
      </c>
      <c r="B37" s="166" t="s">
        <v>230</v>
      </c>
      <c r="C37" s="166"/>
      <c r="D37" s="166"/>
      <c r="E37" s="166"/>
      <c r="F37" s="166"/>
      <c r="G37" s="166">
        <v>1</v>
      </c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>
        <f t="shared" si="0"/>
        <v>1</v>
      </c>
      <c r="AC37" s="171">
        <f t="shared" si="2"/>
        <v>0</v>
      </c>
    </row>
    <row r="38" spans="1:29">
      <c r="A38" s="166" t="s">
        <v>97</v>
      </c>
      <c r="B38" s="166" t="s">
        <v>231</v>
      </c>
      <c r="C38" s="166"/>
      <c r="D38" s="166"/>
      <c r="E38" s="166"/>
      <c r="F38" s="166"/>
      <c r="G38" s="166">
        <v>1</v>
      </c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>
        <f t="shared" si="0"/>
        <v>1</v>
      </c>
      <c r="AC38" s="171">
        <f t="shared" si="2"/>
        <v>0</v>
      </c>
    </row>
    <row r="39" spans="1:29">
      <c r="A39" s="166" t="s">
        <v>99</v>
      </c>
      <c r="B39" s="166" t="s">
        <v>232</v>
      </c>
      <c r="C39" s="166"/>
      <c r="D39" s="166"/>
      <c r="E39" s="166"/>
      <c r="F39" s="166"/>
      <c r="G39" s="166">
        <v>1</v>
      </c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>
        <f t="shared" si="0"/>
        <v>1</v>
      </c>
      <c r="AC39" s="171">
        <f t="shared" si="2"/>
        <v>0</v>
      </c>
    </row>
    <row r="40" spans="1:29">
      <c r="A40" s="166" t="s">
        <v>101</v>
      </c>
      <c r="B40" s="166" t="s">
        <v>233</v>
      </c>
      <c r="C40" s="166"/>
      <c r="D40" s="166"/>
      <c r="E40" s="166"/>
      <c r="F40" s="166"/>
      <c r="G40" s="166">
        <v>1</v>
      </c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>
        <f t="shared" si="0"/>
        <v>1</v>
      </c>
      <c r="AC40" s="171">
        <f t="shared" si="2"/>
        <v>0</v>
      </c>
    </row>
    <row r="41" spans="1:29">
      <c r="A41" s="166" t="s">
        <v>103</v>
      </c>
      <c r="B41" s="166" t="s">
        <v>234</v>
      </c>
      <c r="C41" s="166"/>
      <c r="D41" s="166"/>
      <c r="E41" s="166"/>
      <c r="F41" s="166"/>
      <c r="G41" s="166">
        <v>1</v>
      </c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>
        <f t="shared" si="0"/>
        <v>1</v>
      </c>
      <c r="AC41" s="171">
        <f t="shared" si="2"/>
        <v>0</v>
      </c>
    </row>
    <row r="42" spans="1:29">
      <c r="A42" s="166" t="s">
        <v>105</v>
      </c>
      <c r="B42" s="166" t="s">
        <v>235</v>
      </c>
      <c r="C42" s="166"/>
      <c r="D42" s="166"/>
      <c r="E42" s="166"/>
      <c r="F42" s="166"/>
      <c r="G42" s="166">
        <v>2</v>
      </c>
      <c r="H42" s="166">
        <v>4</v>
      </c>
      <c r="I42" s="166">
        <v>4</v>
      </c>
      <c r="J42" s="166">
        <v>4</v>
      </c>
      <c r="K42" s="166">
        <v>4</v>
      </c>
      <c r="L42" s="166">
        <v>4</v>
      </c>
      <c r="M42" s="166">
        <v>4</v>
      </c>
      <c r="N42" s="166">
        <v>4</v>
      </c>
      <c r="O42" s="166">
        <v>4</v>
      </c>
      <c r="P42" s="166">
        <v>4</v>
      </c>
      <c r="Q42" s="166">
        <v>4</v>
      </c>
      <c r="R42" s="166">
        <v>4</v>
      </c>
      <c r="S42" s="166">
        <v>4</v>
      </c>
      <c r="T42" s="166">
        <v>4</v>
      </c>
      <c r="U42" s="166">
        <v>4</v>
      </c>
      <c r="V42" s="166">
        <v>4</v>
      </c>
      <c r="W42" s="166">
        <v>4</v>
      </c>
      <c r="X42" s="166"/>
      <c r="Y42" s="166"/>
      <c r="Z42" s="166"/>
      <c r="AA42" s="166"/>
      <c r="AB42" s="166">
        <f t="shared" si="0"/>
        <v>66</v>
      </c>
      <c r="AC42" s="171">
        <f t="shared" si="2"/>
        <v>0</v>
      </c>
    </row>
    <row r="43" spans="1:29">
      <c r="A43" s="166" t="s">
        <v>107</v>
      </c>
      <c r="B43" s="166" t="s">
        <v>236</v>
      </c>
      <c r="C43" s="166"/>
      <c r="D43" s="166"/>
      <c r="E43" s="166"/>
      <c r="F43" s="166"/>
      <c r="G43" s="166">
        <v>2</v>
      </c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>
        <f t="shared" si="0"/>
        <v>2</v>
      </c>
      <c r="AC43" s="171">
        <f t="shared" si="2"/>
        <v>0</v>
      </c>
    </row>
    <row r="44" spans="1:29">
      <c r="A44" s="166" t="s">
        <v>109</v>
      </c>
      <c r="B44" s="166" t="s">
        <v>237</v>
      </c>
      <c r="C44" s="166"/>
      <c r="D44" s="166"/>
      <c r="E44" s="166"/>
      <c r="F44" s="166"/>
      <c r="G44" s="166">
        <v>2</v>
      </c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>
        <f t="shared" si="0"/>
        <v>2</v>
      </c>
      <c r="AC44" s="171">
        <f t="shared" si="2"/>
        <v>0</v>
      </c>
    </row>
    <row r="45" spans="1:29">
      <c r="A45" s="166" t="s">
        <v>111</v>
      </c>
      <c r="B45" s="166" t="s">
        <v>238</v>
      </c>
      <c r="C45" s="166"/>
      <c r="D45" s="166"/>
      <c r="E45" s="166"/>
      <c r="F45" s="166"/>
      <c r="G45" s="166">
        <v>2</v>
      </c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>
        <f t="shared" si="0"/>
        <v>2</v>
      </c>
      <c r="AC45" s="171">
        <f t="shared" si="2"/>
        <v>0</v>
      </c>
    </row>
    <row r="46" spans="1:29">
      <c r="A46" s="166" t="s">
        <v>113</v>
      </c>
      <c r="B46" s="166" t="s">
        <v>239</v>
      </c>
      <c r="C46" s="166"/>
      <c r="D46" s="166"/>
      <c r="E46" s="166"/>
      <c r="F46" s="166"/>
      <c r="G46" s="166">
        <v>1</v>
      </c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>
        <f t="shared" si="0"/>
        <v>1</v>
      </c>
      <c r="AC46" s="171">
        <f t="shared" si="2"/>
        <v>0</v>
      </c>
    </row>
    <row r="47" spans="1:29">
      <c r="A47" s="166" t="s">
        <v>115</v>
      </c>
      <c r="B47" s="166" t="s">
        <v>153</v>
      </c>
      <c r="C47" s="166"/>
      <c r="D47" s="166"/>
      <c r="E47" s="166"/>
      <c r="F47" s="166"/>
      <c r="G47" s="166">
        <v>2</v>
      </c>
      <c r="H47" s="166">
        <v>12</v>
      </c>
      <c r="I47" s="166">
        <v>12</v>
      </c>
      <c r="J47" s="166">
        <v>12</v>
      </c>
      <c r="K47" s="166">
        <v>12</v>
      </c>
      <c r="L47" s="166">
        <v>12</v>
      </c>
      <c r="M47" s="166">
        <v>12</v>
      </c>
      <c r="N47" s="166">
        <v>12</v>
      </c>
      <c r="O47" s="166">
        <v>12</v>
      </c>
      <c r="P47" s="166">
        <v>12</v>
      </c>
      <c r="Q47" s="166">
        <v>12</v>
      </c>
      <c r="R47" s="166">
        <v>12</v>
      </c>
      <c r="S47" s="166">
        <v>12</v>
      </c>
      <c r="T47" s="166">
        <v>12</v>
      </c>
      <c r="U47" s="166">
        <v>12</v>
      </c>
      <c r="V47" s="166">
        <v>12</v>
      </c>
      <c r="W47" s="166">
        <v>12</v>
      </c>
      <c r="X47" s="166"/>
      <c r="Y47" s="166"/>
      <c r="Z47" s="166"/>
      <c r="AA47" s="166"/>
      <c r="AB47" s="166">
        <f t="shared" si="0"/>
        <v>194</v>
      </c>
      <c r="AC47" s="171">
        <f t="shared" si="2"/>
        <v>0</v>
      </c>
    </row>
    <row r="48" s="170" customFormat="1" spans="1:30">
      <c r="A48" s="169" t="s">
        <v>117</v>
      </c>
      <c r="B48" s="169" t="s">
        <v>240</v>
      </c>
      <c r="C48" s="169"/>
      <c r="D48" s="169"/>
      <c r="E48" s="169"/>
      <c r="F48" s="169"/>
      <c r="G48" s="169">
        <v>2</v>
      </c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>
        <f t="shared" si="0"/>
        <v>2</v>
      </c>
      <c r="AC48" s="172">
        <f t="shared" si="2"/>
        <v>0</v>
      </c>
      <c r="AD48" s="170" t="s">
        <v>241</v>
      </c>
    </row>
    <row r="49" spans="1:29">
      <c r="A49" s="166" t="s">
        <v>119</v>
      </c>
      <c r="B49" s="166" t="s">
        <v>242</v>
      </c>
      <c r="C49" s="166"/>
      <c r="D49" s="166"/>
      <c r="E49" s="166"/>
      <c r="F49" s="166"/>
      <c r="G49" s="166">
        <v>2</v>
      </c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>
        <f t="shared" si="0"/>
        <v>2</v>
      </c>
      <c r="AC49" s="171">
        <f t="shared" si="2"/>
        <v>0</v>
      </c>
    </row>
    <row r="50" spans="1:29">
      <c r="A50" s="166" t="s">
        <v>121</v>
      </c>
      <c r="B50" s="166" t="s">
        <v>243</v>
      </c>
      <c r="C50" s="166"/>
      <c r="D50" s="166"/>
      <c r="E50" s="166"/>
      <c r="F50" s="166"/>
      <c r="G50" s="166">
        <v>2</v>
      </c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>
        <f t="shared" si="0"/>
        <v>2</v>
      </c>
      <c r="AC50" s="171">
        <f t="shared" si="2"/>
        <v>0</v>
      </c>
    </row>
    <row r="51" spans="1:29">
      <c r="A51" s="166" t="s">
        <v>123</v>
      </c>
      <c r="B51" s="166" t="s">
        <v>244</v>
      </c>
      <c r="C51" s="166"/>
      <c r="D51" s="166"/>
      <c r="E51" s="166"/>
      <c r="F51" s="166"/>
      <c r="G51" s="166">
        <v>1</v>
      </c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>
        <f t="shared" si="0"/>
        <v>1</v>
      </c>
      <c r="AC51" s="171">
        <f t="shared" si="2"/>
        <v>0</v>
      </c>
    </row>
    <row r="52" spans="1:29">
      <c r="A52" s="166" t="s">
        <v>125</v>
      </c>
      <c r="B52" s="166" t="s">
        <v>245</v>
      </c>
      <c r="C52" s="166"/>
      <c r="D52" s="166"/>
      <c r="E52" s="166"/>
      <c r="F52" s="166"/>
      <c r="G52" s="166">
        <v>3</v>
      </c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>
        <f t="shared" si="0"/>
        <v>3</v>
      </c>
      <c r="AC52" s="171">
        <f t="shared" si="2"/>
        <v>0</v>
      </c>
    </row>
    <row r="53" spans="1:29">
      <c r="A53" s="166" t="s">
        <v>127</v>
      </c>
      <c r="B53" s="166" t="s">
        <v>246</v>
      </c>
      <c r="C53" s="166"/>
      <c r="D53" s="166"/>
      <c r="E53" s="166"/>
      <c r="F53" s="166"/>
      <c r="G53" s="166">
        <v>2</v>
      </c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>
        <f t="shared" si="0"/>
        <v>2</v>
      </c>
      <c r="AC53" s="171">
        <f t="shared" si="2"/>
        <v>0</v>
      </c>
    </row>
    <row r="54" spans="1:29">
      <c r="A54" s="166" t="s">
        <v>129</v>
      </c>
      <c r="B54" s="166" t="s">
        <v>247</v>
      </c>
      <c r="C54" s="166"/>
      <c r="D54" s="166"/>
      <c r="E54" s="166"/>
      <c r="F54" s="166"/>
      <c r="G54" s="166">
        <v>2</v>
      </c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>
        <f t="shared" si="0"/>
        <v>2</v>
      </c>
      <c r="AC54" s="171">
        <f t="shared" si="2"/>
        <v>0</v>
      </c>
    </row>
    <row r="55" spans="1:29">
      <c r="A55" s="166" t="s">
        <v>131</v>
      </c>
      <c r="B55" s="167" t="s">
        <v>34</v>
      </c>
      <c r="C55" s="167"/>
      <c r="D55" s="167"/>
      <c r="E55" s="167"/>
      <c r="F55" s="167"/>
      <c r="G55" s="167">
        <v>3</v>
      </c>
      <c r="H55" s="167">
        <v>4</v>
      </c>
      <c r="I55" s="167">
        <v>4</v>
      </c>
      <c r="J55" s="167">
        <v>4</v>
      </c>
      <c r="K55" s="167">
        <v>4</v>
      </c>
      <c r="L55" s="167">
        <v>4</v>
      </c>
      <c r="M55" s="167">
        <v>4</v>
      </c>
      <c r="N55" s="167">
        <v>4</v>
      </c>
      <c r="O55" s="167">
        <v>4</v>
      </c>
      <c r="P55" s="167">
        <v>4</v>
      </c>
      <c r="Q55" s="167">
        <v>4</v>
      </c>
      <c r="R55" s="167">
        <v>4</v>
      </c>
      <c r="S55" s="167">
        <v>4</v>
      </c>
      <c r="T55" s="167">
        <v>4</v>
      </c>
      <c r="U55" s="167">
        <v>4</v>
      </c>
      <c r="V55" s="167">
        <v>4</v>
      </c>
      <c r="W55" s="167">
        <v>4</v>
      </c>
      <c r="X55" s="167"/>
      <c r="Y55" s="167"/>
      <c r="Z55" s="167"/>
      <c r="AA55" s="167"/>
      <c r="AB55" s="166">
        <f t="shared" si="0"/>
        <v>67</v>
      </c>
      <c r="AC55" s="173">
        <f t="shared" si="2"/>
        <v>0</v>
      </c>
    </row>
    <row r="56" spans="1:29">
      <c r="A56" s="166" t="s">
        <v>133</v>
      </c>
      <c r="B56" s="166" t="s">
        <v>248</v>
      </c>
      <c r="C56" s="166"/>
      <c r="D56" s="166"/>
      <c r="E56" s="166"/>
      <c r="F56" s="166"/>
      <c r="G56" s="166">
        <v>2</v>
      </c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>
        <f t="shared" si="0"/>
        <v>2</v>
      </c>
      <c r="AC56" s="171">
        <f t="shared" si="2"/>
        <v>0</v>
      </c>
    </row>
    <row r="57" spans="1:29">
      <c r="A57" s="166" t="s">
        <v>135</v>
      </c>
      <c r="B57" s="166" t="s">
        <v>249</v>
      </c>
      <c r="C57" s="166"/>
      <c r="D57" s="166"/>
      <c r="E57" s="166"/>
      <c r="F57" s="166"/>
      <c r="G57" s="166">
        <v>3</v>
      </c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>
        <f t="shared" si="0"/>
        <v>3</v>
      </c>
      <c r="AC57" s="171">
        <f t="shared" si="2"/>
        <v>0</v>
      </c>
    </row>
    <row r="58" spans="1:29">
      <c r="A58" s="166" t="s">
        <v>137</v>
      </c>
      <c r="B58" s="166" t="s">
        <v>92</v>
      </c>
      <c r="C58" s="166"/>
      <c r="D58" s="166"/>
      <c r="E58" s="166"/>
      <c r="F58" s="166"/>
      <c r="G58" s="166">
        <v>2</v>
      </c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>
        <f t="shared" si="0"/>
        <v>2</v>
      </c>
      <c r="AC58" s="171">
        <f t="shared" si="2"/>
        <v>0</v>
      </c>
    </row>
    <row r="59" spans="1:29">
      <c r="A59" s="166" t="s">
        <v>138</v>
      </c>
      <c r="B59" s="166" t="s">
        <v>250</v>
      </c>
      <c r="C59" s="166"/>
      <c r="D59" s="166"/>
      <c r="E59" s="166"/>
      <c r="F59" s="166"/>
      <c r="G59" s="166">
        <v>2</v>
      </c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>
        <f t="shared" si="0"/>
        <v>2</v>
      </c>
      <c r="AC59" s="171">
        <f t="shared" si="2"/>
        <v>0</v>
      </c>
    </row>
    <row r="60" spans="1:29">
      <c r="A60" s="166" t="s">
        <v>140</v>
      </c>
      <c r="B60" s="166" t="s">
        <v>102</v>
      </c>
      <c r="C60" s="166"/>
      <c r="D60" s="166"/>
      <c r="E60" s="166"/>
      <c r="F60" s="166"/>
      <c r="G60" s="166">
        <v>1</v>
      </c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>
        <f t="shared" si="0"/>
        <v>1</v>
      </c>
      <c r="AC60" s="171">
        <f t="shared" si="2"/>
        <v>0</v>
      </c>
    </row>
    <row r="61" spans="1:29">
      <c r="A61" s="166" t="s">
        <v>142</v>
      </c>
      <c r="B61" s="166" t="s">
        <v>251</v>
      </c>
      <c r="C61" s="166"/>
      <c r="D61" s="166"/>
      <c r="E61" s="166"/>
      <c r="F61" s="166"/>
      <c r="G61" s="166">
        <v>1</v>
      </c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>
        <f t="shared" si="0"/>
        <v>1</v>
      </c>
      <c r="AC61" s="171">
        <f t="shared" si="2"/>
        <v>0</v>
      </c>
    </row>
    <row r="62" spans="1:29">
      <c r="A62" s="166" t="s">
        <v>144</v>
      </c>
      <c r="B62" s="166" t="s">
        <v>252</v>
      </c>
      <c r="C62" s="166"/>
      <c r="D62" s="166"/>
      <c r="E62" s="166"/>
      <c r="F62" s="166"/>
      <c r="G62" s="166"/>
      <c r="H62" s="166">
        <v>2</v>
      </c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>
        <f t="shared" si="0"/>
        <v>2</v>
      </c>
      <c r="AC62" s="171">
        <f t="shared" si="2"/>
        <v>0</v>
      </c>
    </row>
    <row r="63" spans="1:29">
      <c r="A63" s="166" t="s">
        <v>146</v>
      </c>
      <c r="B63" s="166" t="s">
        <v>141</v>
      </c>
      <c r="C63" s="166"/>
      <c r="D63" s="166"/>
      <c r="E63" s="166"/>
      <c r="F63" s="166"/>
      <c r="G63" s="166"/>
      <c r="H63" s="166">
        <v>2</v>
      </c>
      <c r="I63" s="166">
        <v>2</v>
      </c>
      <c r="J63" s="166">
        <v>2</v>
      </c>
      <c r="K63" s="166">
        <v>2</v>
      </c>
      <c r="L63" s="166">
        <v>2</v>
      </c>
      <c r="M63" s="166">
        <v>2</v>
      </c>
      <c r="N63" s="166">
        <v>2</v>
      </c>
      <c r="O63" s="166">
        <v>2</v>
      </c>
      <c r="P63" s="166">
        <v>2</v>
      </c>
      <c r="Q63" s="166">
        <v>2</v>
      </c>
      <c r="R63" s="166">
        <v>2</v>
      </c>
      <c r="S63" s="166">
        <v>2</v>
      </c>
      <c r="T63" s="166">
        <v>2</v>
      </c>
      <c r="U63" s="166">
        <v>2</v>
      </c>
      <c r="V63" s="166">
        <v>2</v>
      </c>
      <c r="W63" s="166">
        <v>2</v>
      </c>
      <c r="X63" s="166"/>
      <c r="Y63" s="166"/>
      <c r="Z63" s="166"/>
      <c r="AA63" s="166"/>
      <c r="AB63" s="166">
        <f t="shared" si="0"/>
        <v>32</v>
      </c>
      <c r="AC63" s="171">
        <f t="shared" si="2"/>
        <v>0</v>
      </c>
    </row>
    <row r="64" spans="1:29">
      <c r="A64" s="166" t="s">
        <v>148</v>
      </c>
      <c r="B64" s="166" t="s">
        <v>253</v>
      </c>
      <c r="C64" s="166"/>
      <c r="D64" s="166"/>
      <c r="E64" s="166"/>
      <c r="F64" s="166"/>
      <c r="G64" s="166"/>
      <c r="H64" s="166">
        <v>6</v>
      </c>
      <c r="I64" s="166">
        <v>6</v>
      </c>
      <c r="J64" s="166">
        <v>6</v>
      </c>
      <c r="K64" s="166">
        <v>6</v>
      </c>
      <c r="L64" s="166">
        <v>6</v>
      </c>
      <c r="M64" s="166">
        <v>6</v>
      </c>
      <c r="N64" s="166">
        <v>6</v>
      </c>
      <c r="O64" s="166">
        <v>6</v>
      </c>
      <c r="P64" s="166">
        <v>6</v>
      </c>
      <c r="Q64" s="166">
        <v>6</v>
      </c>
      <c r="R64" s="166">
        <v>6</v>
      </c>
      <c r="S64" s="166">
        <v>6</v>
      </c>
      <c r="T64" s="166">
        <v>6</v>
      </c>
      <c r="U64" s="166">
        <v>6</v>
      </c>
      <c r="V64" s="166">
        <v>6</v>
      </c>
      <c r="W64" s="166">
        <v>6</v>
      </c>
      <c r="X64" s="166"/>
      <c r="Y64" s="166"/>
      <c r="Z64" s="166"/>
      <c r="AA64" s="166"/>
      <c r="AB64" s="166">
        <f t="shared" si="0"/>
        <v>96</v>
      </c>
      <c r="AC64" s="171">
        <f t="shared" si="2"/>
        <v>0</v>
      </c>
    </row>
    <row r="65" spans="1:29">
      <c r="A65" s="166" t="s">
        <v>150</v>
      </c>
      <c r="B65" s="166" t="s">
        <v>254</v>
      </c>
      <c r="C65" s="166"/>
      <c r="D65" s="166"/>
      <c r="E65" s="166"/>
      <c r="F65" s="166"/>
      <c r="G65" s="166"/>
      <c r="H65" s="166">
        <v>2</v>
      </c>
      <c r="I65" s="166">
        <v>2</v>
      </c>
      <c r="J65" s="166">
        <v>2</v>
      </c>
      <c r="K65" s="166">
        <v>2</v>
      </c>
      <c r="L65" s="166">
        <v>6</v>
      </c>
      <c r="M65" s="166">
        <v>6</v>
      </c>
      <c r="N65" s="166">
        <v>6</v>
      </c>
      <c r="O65" s="166">
        <v>6</v>
      </c>
      <c r="P65" s="166">
        <v>6</v>
      </c>
      <c r="Q65" s="166">
        <v>6</v>
      </c>
      <c r="R65" s="166">
        <v>6</v>
      </c>
      <c r="S65" s="166">
        <v>6</v>
      </c>
      <c r="T65" s="166">
        <v>6</v>
      </c>
      <c r="U65" s="166">
        <v>6</v>
      </c>
      <c r="V65" s="166">
        <v>6</v>
      </c>
      <c r="W65" s="166">
        <v>6</v>
      </c>
      <c r="X65" s="166"/>
      <c r="Y65" s="166"/>
      <c r="Z65" s="166"/>
      <c r="AA65" s="166"/>
      <c r="AB65" s="166">
        <f t="shared" si="0"/>
        <v>80</v>
      </c>
      <c r="AC65" s="171">
        <f t="shared" ref="AC65:AC84" si="3">C65*D65*AB65/1000000</f>
        <v>0</v>
      </c>
    </row>
    <row r="66" spans="1:29">
      <c r="A66" s="166" t="s">
        <v>152</v>
      </c>
      <c r="B66" s="166" t="s">
        <v>143</v>
      </c>
      <c r="C66" s="166"/>
      <c r="D66" s="166"/>
      <c r="E66" s="166"/>
      <c r="F66" s="166"/>
      <c r="G66" s="166"/>
      <c r="H66" s="166">
        <v>10</v>
      </c>
      <c r="I66" s="166">
        <v>10</v>
      </c>
      <c r="J66" s="166">
        <v>10</v>
      </c>
      <c r="K66" s="166">
        <v>10</v>
      </c>
      <c r="L66" s="166">
        <v>9</v>
      </c>
      <c r="M66" s="166">
        <v>9</v>
      </c>
      <c r="N66" s="166">
        <v>9</v>
      </c>
      <c r="O66" s="166">
        <v>9</v>
      </c>
      <c r="P66" s="166">
        <v>9</v>
      </c>
      <c r="Q66" s="166">
        <v>9</v>
      </c>
      <c r="R66" s="166">
        <v>9</v>
      </c>
      <c r="S66" s="166">
        <v>9</v>
      </c>
      <c r="T66" s="166">
        <v>9</v>
      </c>
      <c r="U66" s="166">
        <v>9</v>
      </c>
      <c r="V66" s="166">
        <v>9</v>
      </c>
      <c r="W66" s="166">
        <v>9</v>
      </c>
      <c r="X66" s="166"/>
      <c r="Y66" s="166"/>
      <c r="Z66" s="166"/>
      <c r="AA66" s="166"/>
      <c r="AB66" s="166">
        <f t="shared" si="0"/>
        <v>148</v>
      </c>
      <c r="AC66" s="171">
        <f t="shared" si="3"/>
        <v>0</v>
      </c>
    </row>
    <row r="67" spans="1:29">
      <c r="A67" s="166" t="s">
        <v>154</v>
      </c>
      <c r="B67" s="166" t="s">
        <v>145</v>
      </c>
      <c r="C67" s="166"/>
      <c r="D67" s="166"/>
      <c r="E67" s="166"/>
      <c r="F67" s="166"/>
      <c r="G67" s="166"/>
      <c r="H67" s="166">
        <v>6</v>
      </c>
      <c r="I67" s="166">
        <v>6</v>
      </c>
      <c r="J67" s="166">
        <v>6</v>
      </c>
      <c r="K67" s="166">
        <v>6</v>
      </c>
      <c r="L67" s="166">
        <v>6</v>
      </c>
      <c r="M67" s="166">
        <v>6</v>
      </c>
      <c r="N67" s="166">
        <v>6</v>
      </c>
      <c r="O67" s="166">
        <v>6</v>
      </c>
      <c r="P67" s="166">
        <v>6</v>
      </c>
      <c r="Q67" s="166">
        <v>6</v>
      </c>
      <c r="R67" s="166">
        <v>6</v>
      </c>
      <c r="S67" s="166">
        <v>6</v>
      </c>
      <c r="T67" s="166">
        <v>6</v>
      </c>
      <c r="U67" s="166">
        <v>6</v>
      </c>
      <c r="V67" s="166">
        <v>6</v>
      </c>
      <c r="W67" s="166">
        <v>6</v>
      </c>
      <c r="X67" s="166"/>
      <c r="Y67" s="166"/>
      <c r="Z67" s="166"/>
      <c r="AA67" s="166"/>
      <c r="AB67" s="166">
        <f t="shared" ref="AB67:AB86" si="4">SUM(E67:AA67)</f>
        <v>96</v>
      </c>
      <c r="AC67" s="171">
        <f t="shared" si="3"/>
        <v>0</v>
      </c>
    </row>
    <row r="68" spans="1:29">
      <c r="A68" s="166" t="s">
        <v>156</v>
      </c>
      <c r="B68" s="166" t="s">
        <v>151</v>
      </c>
      <c r="C68" s="166"/>
      <c r="D68" s="166"/>
      <c r="E68" s="166"/>
      <c r="F68" s="166"/>
      <c r="G68" s="166"/>
      <c r="H68" s="166">
        <v>6</v>
      </c>
      <c r="I68" s="166">
        <v>6</v>
      </c>
      <c r="J68" s="166">
        <v>6</v>
      </c>
      <c r="K68" s="166">
        <v>6</v>
      </c>
      <c r="L68" s="166">
        <v>6</v>
      </c>
      <c r="M68" s="166">
        <v>6</v>
      </c>
      <c r="N68" s="166">
        <v>6</v>
      </c>
      <c r="O68" s="166">
        <v>6</v>
      </c>
      <c r="P68" s="166">
        <v>6</v>
      </c>
      <c r="Q68" s="166">
        <v>6</v>
      </c>
      <c r="R68" s="166">
        <v>6</v>
      </c>
      <c r="S68" s="166">
        <v>6</v>
      </c>
      <c r="T68" s="166">
        <v>6</v>
      </c>
      <c r="U68" s="166">
        <v>6</v>
      </c>
      <c r="V68" s="166">
        <v>6</v>
      </c>
      <c r="W68" s="166">
        <v>6</v>
      </c>
      <c r="X68" s="166"/>
      <c r="Y68" s="166"/>
      <c r="Z68" s="166"/>
      <c r="AA68" s="166"/>
      <c r="AB68" s="166">
        <f t="shared" si="4"/>
        <v>96</v>
      </c>
      <c r="AC68" s="171">
        <f t="shared" si="3"/>
        <v>0</v>
      </c>
    </row>
    <row r="69" spans="1:29">
      <c r="A69" s="166" t="s">
        <v>158</v>
      </c>
      <c r="B69" s="166" t="s">
        <v>255</v>
      </c>
      <c r="C69" s="166"/>
      <c r="D69" s="166"/>
      <c r="E69" s="166"/>
      <c r="F69" s="166"/>
      <c r="G69" s="166"/>
      <c r="H69" s="166">
        <v>3</v>
      </c>
      <c r="I69" s="166">
        <v>4</v>
      </c>
      <c r="J69" s="166">
        <v>4</v>
      </c>
      <c r="K69" s="166">
        <v>4</v>
      </c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>
        <f t="shared" si="4"/>
        <v>15</v>
      </c>
      <c r="AC69" s="171">
        <f t="shared" si="3"/>
        <v>0</v>
      </c>
    </row>
    <row r="70" spans="1:29">
      <c r="A70" s="166" t="s">
        <v>160</v>
      </c>
      <c r="B70" s="166" t="s">
        <v>256</v>
      </c>
      <c r="C70" s="166"/>
      <c r="D70" s="166"/>
      <c r="E70" s="166"/>
      <c r="F70" s="166"/>
      <c r="G70" s="166"/>
      <c r="H70" s="166">
        <v>2</v>
      </c>
      <c r="I70" s="166">
        <v>2</v>
      </c>
      <c r="J70" s="166">
        <v>2</v>
      </c>
      <c r="K70" s="166">
        <v>2</v>
      </c>
      <c r="L70" s="166">
        <v>2</v>
      </c>
      <c r="M70" s="166">
        <v>2</v>
      </c>
      <c r="N70" s="166">
        <v>2</v>
      </c>
      <c r="O70" s="166">
        <v>2</v>
      </c>
      <c r="P70" s="166">
        <v>2</v>
      </c>
      <c r="Q70" s="166">
        <v>2</v>
      </c>
      <c r="R70" s="166">
        <v>2</v>
      </c>
      <c r="S70" s="166">
        <v>2</v>
      </c>
      <c r="T70" s="166">
        <v>2</v>
      </c>
      <c r="U70" s="166">
        <v>2</v>
      </c>
      <c r="V70" s="166">
        <v>2</v>
      </c>
      <c r="W70" s="166">
        <v>2</v>
      </c>
      <c r="X70" s="166"/>
      <c r="Y70" s="166"/>
      <c r="Z70" s="166"/>
      <c r="AA70" s="166"/>
      <c r="AB70" s="166">
        <f t="shared" si="4"/>
        <v>32</v>
      </c>
      <c r="AC70" s="171">
        <f t="shared" si="3"/>
        <v>0</v>
      </c>
    </row>
    <row r="71" spans="1:29">
      <c r="A71" s="166" t="s">
        <v>162</v>
      </c>
      <c r="B71" s="166" t="s">
        <v>257</v>
      </c>
      <c r="C71" s="166"/>
      <c r="D71" s="166"/>
      <c r="E71" s="166"/>
      <c r="F71" s="166"/>
      <c r="G71" s="166"/>
      <c r="H71" s="166">
        <v>2</v>
      </c>
      <c r="I71" s="166">
        <v>2</v>
      </c>
      <c r="J71" s="166">
        <v>2</v>
      </c>
      <c r="K71" s="166">
        <v>2</v>
      </c>
      <c r="L71" s="166">
        <v>2</v>
      </c>
      <c r="M71" s="166">
        <v>2</v>
      </c>
      <c r="N71" s="166">
        <v>2</v>
      </c>
      <c r="O71" s="166">
        <v>2</v>
      </c>
      <c r="P71" s="166">
        <v>2</v>
      </c>
      <c r="Q71" s="166">
        <v>2</v>
      </c>
      <c r="R71" s="166">
        <v>2</v>
      </c>
      <c r="S71" s="166">
        <v>2</v>
      </c>
      <c r="T71" s="166">
        <v>2</v>
      </c>
      <c r="U71" s="166">
        <v>2</v>
      </c>
      <c r="V71" s="166">
        <v>2</v>
      </c>
      <c r="W71" s="166">
        <v>2</v>
      </c>
      <c r="X71" s="166"/>
      <c r="Y71" s="166"/>
      <c r="Z71" s="166"/>
      <c r="AA71" s="166"/>
      <c r="AB71" s="166">
        <f t="shared" si="4"/>
        <v>32</v>
      </c>
      <c r="AC71" s="171">
        <f t="shared" si="3"/>
        <v>0</v>
      </c>
    </row>
    <row r="72" spans="1:29">
      <c r="A72" s="166" t="s">
        <v>164</v>
      </c>
      <c r="B72" s="166" t="s">
        <v>258</v>
      </c>
      <c r="C72" s="166"/>
      <c r="D72" s="166"/>
      <c r="E72" s="166"/>
      <c r="F72" s="166"/>
      <c r="G72" s="166"/>
      <c r="H72" s="166">
        <v>2</v>
      </c>
      <c r="I72" s="166">
        <v>2</v>
      </c>
      <c r="J72" s="166">
        <v>2</v>
      </c>
      <c r="K72" s="166">
        <v>2</v>
      </c>
      <c r="L72" s="166">
        <v>2</v>
      </c>
      <c r="M72" s="166">
        <v>2</v>
      </c>
      <c r="N72" s="166">
        <v>2</v>
      </c>
      <c r="O72" s="166">
        <v>2</v>
      </c>
      <c r="P72" s="166">
        <v>2</v>
      </c>
      <c r="Q72" s="166">
        <v>2</v>
      </c>
      <c r="R72" s="166">
        <v>2</v>
      </c>
      <c r="S72" s="166">
        <v>2</v>
      </c>
      <c r="T72" s="166">
        <v>2</v>
      </c>
      <c r="U72" s="166">
        <v>2</v>
      </c>
      <c r="V72" s="166">
        <v>2</v>
      </c>
      <c r="W72" s="166">
        <v>2</v>
      </c>
      <c r="X72" s="166"/>
      <c r="Y72" s="166"/>
      <c r="Z72" s="166"/>
      <c r="AA72" s="166"/>
      <c r="AB72" s="166">
        <f t="shared" si="4"/>
        <v>32</v>
      </c>
      <c r="AC72" s="171">
        <f t="shared" si="3"/>
        <v>0</v>
      </c>
    </row>
    <row r="73" spans="1:29">
      <c r="A73" s="166" t="s">
        <v>166</v>
      </c>
      <c r="B73" s="166" t="s">
        <v>259</v>
      </c>
      <c r="C73" s="166"/>
      <c r="D73" s="166"/>
      <c r="E73" s="166"/>
      <c r="F73" s="166"/>
      <c r="G73" s="166"/>
      <c r="H73" s="166">
        <v>3</v>
      </c>
      <c r="I73" s="166">
        <v>3</v>
      </c>
      <c r="J73" s="166">
        <v>3</v>
      </c>
      <c r="K73" s="166">
        <v>3</v>
      </c>
      <c r="L73" s="166">
        <v>3</v>
      </c>
      <c r="M73" s="166">
        <v>3</v>
      </c>
      <c r="N73" s="166">
        <v>3</v>
      </c>
      <c r="O73" s="166">
        <v>3</v>
      </c>
      <c r="P73" s="166">
        <v>3</v>
      </c>
      <c r="Q73" s="166">
        <v>3</v>
      </c>
      <c r="R73" s="166">
        <v>3</v>
      </c>
      <c r="S73" s="166">
        <v>3</v>
      </c>
      <c r="T73" s="166">
        <v>3</v>
      </c>
      <c r="U73" s="166">
        <v>3</v>
      </c>
      <c r="V73" s="166">
        <v>3</v>
      </c>
      <c r="W73" s="166">
        <v>3</v>
      </c>
      <c r="X73" s="166"/>
      <c r="Y73" s="166"/>
      <c r="Z73" s="166"/>
      <c r="AA73" s="166"/>
      <c r="AB73" s="166">
        <f t="shared" si="4"/>
        <v>48</v>
      </c>
      <c r="AC73" s="171">
        <f t="shared" si="3"/>
        <v>0</v>
      </c>
    </row>
    <row r="74" spans="1:29">
      <c r="A74" s="166" t="s">
        <v>168</v>
      </c>
      <c r="B74" s="166" t="s">
        <v>260</v>
      </c>
      <c r="C74" s="166"/>
      <c r="D74" s="166"/>
      <c r="E74" s="166"/>
      <c r="F74" s="166"/>
      <c r="G74" s="166"/>
      <c r="H74" s="166">
        <v>3</v>
      </c>
      <c r="I74" s="166">
        <v>2</v>
      </c>
      <c r="J74" s="166">
        <v>2</v>
      </c>
      <c r="K74" s="166">
        <v>2</v>
      </c>
      <c r="L74" s="166">
        <v>6</v>
      </c>
      <c r="M74" s="166">
        <v>6</v>
      </c>
      <c r="N74" s="166">
        <v>6</v>
      </c>
      <c r="O74" s="166">
        <v>6</v>
      </c>
      <c r="P74" s="166">
        <v>6</v>
      </c>
      <c r="Q74" s="166">
        <v>6</v>
      </c>
      <c r="R74" s="166">
        <v>6</v>
      </c>
      <c r="S74" s="166">
        <v>6</v>
      </c>
      <c r="T74" s="166">
        <v>6</v>
      </c>
      <c r="U74" s="166">
        <v>6</v>
      </c>
      <c r="V74" s="166">
        <v>6</v>
      </c>
      <c r="W74" s="166">
        <v>6</v>
      </c>
      <c r="X74" s="166"/>
      <c r="Y74" s="166"/>
      <c r="Z74" s="166"/>
      <c r="AA74" s="166"/>
      <c r="AB74" s="166">
        <f t="shared" si="4"/>
        <v>81</v>
      </c>
      <c r="AC74" s="171">
        <f t="shared" si="3"/>
        <v>0</v>
      </c>
    </row>
    <row r="75" spans="1:29">
      <c r="A75" s="166" t="s">
        <v>170</v>
      </c>
      <c r="B75" s="166" t="s">
        <v>261</v>
      </c>
      <c r="C75" s="166"/>
      <c r="D75" s="166"/>
      <c r="E75" s="166"/>
      <c r="F75" s="166"/>
      <c r="G75" s="166"/>
      <c r="H75" s="166">
        <v>4</v>
      </c>
      <c r="I75" s="166">
        <v>4</v>
      </c>
      <c r="J75" s="166">
        <v>4</v>
      </c>
      <c r="K75" s="166">
        <v>4</v>
      </c>
      <c r="L75" s="166">
        <v>4</v>
      </c>
      <c r="M75" s="166">
        <v>4</v>
      </c>
      <c r="N75" s="166">
        <v>4</v>
      </c>
      <c r="O75" s="166">
        <v>4</v>
      </c>
      <c r="P75" s="166">
        <v>4</v>
      </c>
      <c r="Q75" s="166">
        <v>4</v>
      </c>
      <c r="R75" s="166">
        <v>4</v>
      </c>
      <c r="S75" s="166">
        <v>4</v>
      </c>
      <c r="T75" s="166">
        <v>4</v>
      </c>
      <c r="U75" s="166">
        <v>4</v>
      </c>
      <c r="V75" s="166">
        <v>4</v>
      </c>
      <c r="W75" s="166">
        <v>4</v>
      </c>
      <c r="X75" s="166"/>
      <c r="Y75" s="166"/>
      <c r="Z75" s="166"/>
      <c r="AA75" s="166"/>
      <c r="AB75" s="166">
        <f t="shared" si="4"/>
        <v>64</v>
      </c>
      <c r="AC75" s="171">
        <f t="shared" si="3"/>
        <v>0</v>
      </c>
    </row>
    <row r="76" spans="1:29">
      <c r="A76" s="166" t="s">
        <v>172</v>
      </c>
      <c r="B76" s="166" t="s">
        <v>179</v>
      </c>
      <c r="C76" s="166"/>
      <c r="D76" s="166"/>
      <c r="E76" s="166"/>
      <c r="F76" s="166"/>
      <c r="G76" s="166"/>
      <c r="H76" s="166"/>
      <c r="I76" s="166">
        <v>2</v>
      </c>
      <c r="J76" s="166">
        <v>2</v>
      </c>
      <c r="K76" s="166">
        <v>2</v>
      </c>
      <c r="L76" s="166">
        <v>2</v>
      </c>
      <c r="M76" s="166">
        <v>2</v>
      </c>
      <c r="N76" s="166">
        <v>2</v>
      </c>
      <c r="O76" s="166">
        <v>2</v>
      </c>
      <c r="P76" s="166">
        <v>2</v>
      </c>
      <c r="Q76" s="166">
        <v>2</v>
      </c>
      <c r="R76" s="166">
        <v>2</v>
      </c>
      <c r="S76" s="166">
        <v>2</v>
      </c>
      <c r="T76" s="166">
        <v>2</v>
      </c>
      <c r="U76" s="166">
        <v>2</v>
      </c>
      <c r="V76" s="166">
        <v>2</v>
      </c>
      <c r="W76" s="166">
        <v>2</v>
      </c>
      <c r="X76" s="166"/>
      <c r="Y76" s="166"/>
      <c r="Z76" s="166"/>
      <c r="AA76" s="166"/>
      <c r="AB76" s="166">
        <f t="shared" si="4"/>
        <v>30</v>
      </c>
      <c r="AC76" s="171">
        <f t="shared" si="3"/>
        <v>0</v>
      </c>
    </row>
    <row r="77" spans="1:29">
      <c r="A77" s="166" t="s">
        <v>174</v>
      </c>
      <c r="B77" s="166" t="s">
        <v>262</v>
      </c>
      <c r="C77" s="166"/>
      <c r="D77" s="166"/>
      <c r="E77" s="166"/>
      <c r="F77" s="166"/>
      <c r="G77" s="166"/>
      <c r="H77" s="166"/>
      <c r="I77" s="166">
        <v>4</v>
      </c>
      <c r="J77" s="166">
        <v>4</v>
      </c>
      <c r="K77" s="166">
        <v>4</v>
      </c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>
        <f t="shared" si="4"/>
        <v>12</v>
      </c>
      <c r="AC77" s="171">
        <f t="shared" si="3"/>
        <v>0</v>
      </c>
    </row>
    <row r="78" spans="1:29">
      <c r="A78" s="166" t="s">
        <v>176</v>
      </c>
      <c r="B78" s="166" t="s">
        <v>147</v>
      </c>
      <c r="C78" s="166"/>
      <c r="D78" s="166"/>
      <c r="E78" s="166"/>
      <c r="F78" s="166"/>
      <c r="G78" s="166"/>
      <c r="H78" s="166"/>
      <c r="I78" s="166"/>
      <c r="J78" s="166"/>
      <c r="K78" s="166"/>
      <c r="L78" s="166">
        <v>1</v>
      </c>
      <c r="M78" s="166">
        <v>1</v>
      </c>
      <c r="N78" s="166">
        <v>1</v>
      </c>
      <c r="O78" s="166">
        <v>1</v>
      </c>
      <c r="P78" s="166">
        <v>1</v>
      </c>
      <c r="Q78" s="166">
        <v>1</v>
      </c>
      <c r="R78" s="166">
        <v>1</v>
      </c>
      <c r="S78" s="166">
        <v>1</v>
      </c>
      <c r="T78" s="166">
        <v>1</v>
      </c>
      <c r="U78" s="166">
        <v>1</v>
      </c>
      <c r="V78" s="166">
        <v>1</v>
      </c>
      <c r="W78" s="166">
        <v>1</v>
      </c>
      <c r="X78" s="166"/>
      <c r="Y78" s="166"/>
      <c r="Z78" s="166"/>
      <c r="AA78" s="166"/>
      <c r="AB78" s="166">
        <f t="shared" si="4"/>
        <v>12</v>
      </c>
      <c r="AC78" s="171">
        <f t="shared" si="3"/>
        <v>0</v>
      </c>
    </row>
    <row r="79" spans="1:29">
      <c r="A79" s="166" t="s">
        <v>178</v>
      </c>
      <c r="B79" s="166" t="s">
        <v>191</v>
      </c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>
        <v>6</v>
      </c>
      <c r="AB79" s="166">
        <f t="shared" si="4"/>
        <v>6</v>
      </c>
      <c r="AC79" s="171">
        <f t="shared" si="3"/>
        <v>0</v>
      </c>
    </row>
    <row r="80" spans="1:29">
      <c r="A80" s="166" t="s">
        <v>180</v>
      </c>
      <c r="B80" s="166" t="s">
        <v>263</v>
      </c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>
        <v>3</v>
      </c>
      <c r="AB80" s="166">
        <f t="shared" si="4"/>
        <v>3</v>
      </c>
      <c r="AC80" s="171">
        <f t="shared" si="3"/>
        <v>0</v>
      </c>
    </row>
    <row r="81" spans="1:29">
      <c r="A81" s="166" t="s">
        <v>182</v>
      </c>
      <c r="B81" s="166" t="s">
        <v>264</v>
      </c>
      <c r="C81" s="166"/>
      <c r="D81" s="166"/>
      <c r="E81" s="166"/>
      <c r="F81" s="166"/>
      <c r="G81" s="166">
        <v>3</v>
      </c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>
        <f t="shared" si="4"/>
        <v>3</v>
      </c>
      <c r="AC81" s="171">
        <f t="shared" si="3"/>
        <v>0</v>
      </c>
    </row>
    <row r="82" spans="1:29">
      <c r="A82" s="166" t="s">
        <v>184</v>
      </c>
      <c r="B82" s="166" t="s">
        <v>265</v>
      </c>
      <c r="C82" s="166"/>
      <c r="D82" s="166"/>
      <c r="E82" s="166"/>
      <c r="F82" s="166">
        <v>1</v>
      </c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>
        <f t="shared" si="4"/>
        <v>1</v>
      </c>
      <c r="AC82" s="171">
        <f t="shared" si="3"/>
        <v>0</v>
      </c>
    </row>
    <row r="83" spans="1:29">
      <c r="A83" s="166" t="s">
        <v>186</v>
      </c>
      <c r="B83" s="166" t="s">
        <v>266</v>
      </c>
      <c r="C83" s="166"/>
      <c r="D83" s="166"/>
      <c r="E83" s="166"/>
      <c r="F83" s="166"/>
      <c r="G83" s="166">
        <v>2</v>
      </c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>
        <f t="shared" si="4"/>
        <v>2</v>
      </c>
      <c r="AC83" s="166">
        <f t="shared" si="3"/>
        <v>0</v>
      </c>
    </row>
    <row r="84" spans="1:29">
      <c r="A84" s="166" t="s">
        <v>188</v>
      </c>
      <c r="B84" s="166" t="s">
        <v>267</v>
      </c>
      <c r="C84" s="166"/>
      <c r="D84" s="166"/>
      <c r="E84" s="166"/>
      <c r="F84" s="166"/>
      <c r="G84" s="166">
        <v>2</v>
      </c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>
        <f t="shared" si="4"/>
        <v>2</v>
      </c>
      <c r="AC84" s="166">
        <f t="shared" si="3"/>
        <v>0</v>
      </c>
    </row>
    <row r="85" spans="1:29">
      <c r="A85" s="166" t="s">
        <v>190</v>
      </c>
      <c r="B85" s="166" t="s">
        <v>268</v>
      </c>
      <c r="C85" s="166"/>
      <c r="D85" s="166"/>
      <c r="E85" s="166"/>
      <c r="F85" s="166">
        <v>9</v>
      </c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>
        <f t="shared" si="4"/>
        <v>9</v>
      </c>
      <c r="AC85" s="166"/>
    </row>
    <row r="86" spans="1:29">
      <c r="A86" s="166" t="s">
        <v>192</v>
      </c>
      <c r="B86" s="166" t="s">
        <v>269</v>
      </c>
      <c r="C86" s="166"/>
      <c r="D86" s="166"/>
      <c r="E86" s="166"/>
      <c r="F86" s="166">
        <v>5</v>
      </c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>
        <f t="shared" si="4"/>
        <v>5</v>
      </c>
      <c r="AC86" s="166"/>
    </row>
    <row r="87" spans="28:28">
      <c r="AB87" s="174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H32"/>
  <sheetViews>
    <sheetView workbookViewId="0">
      <selection activeCell="D15" sqref="D15"/>
    </sheetView>
  </sheetViews>
  <sheetFormatPr defaultColWidth="12.625" defaultRowHeight="25" customHeight="1" outlineLevelCol="7"/>
  <cols>
    <col min="1" max="3" width="12.625" style="2" customWidth="1"/>
    <col min="4" max="4" width="17.375" style="2" customWidth="1"/>
    <col min="5" max="16384" width="12.625" style="2" customWidth="1"/>
  </cols>
  <sheetData>
    <row r="1" s="1" customFormat="1" customHeight="1" spans="1:6">
      <c r="A1" s="55" t="s">
        <v>545</v>
      </c>
      <c r="B1" s="55"/>
      <c r="C1" s="55"/>
      <c r="D1" s="55"/>
      <c r="E1" s="55"/>
      <c r="F1" s="55"/>
    </row>
    <row r="2" s="1" customFormat="1" customHeight="1" spans="1:6">
      <c r="A2" s="4" t="s">
        <v>504</v>
      </c>
      <c r="B2" s="5" t="s">
        <v>370</v>
      </c>
      <c r="C2" s="5" t="s">
        <v>505</v>
      </c>
      <c r="D2" s="6" t="s">
        <v>506</v>
      </c>
      <c r="E2" s="6" t="s">
        <v>507</v>
      </c>
      <c r="F2" s="7" t="s">
        <v>374</v>
      </c>
    </row>
    <row r="3" s="1" customFormat="1" customHeight="1" spans="1:6">
      <c r="A3" s="8" t="s">
        <v>508</v>
      </c>
      <c r="B3" s="9" t="s">
        <v>546</v>
      </c>
      <c r="C3" s="9">
        <v>1</v>
      </c>
      <c r="D3" s="10">
        <f>'39#明细表（表2.1）'!E3</f>
        <v>1.26</v>
      </c>
      <c r="E3" s="10">
        <f t="shared" ref="E3:E11" si="0">C3*D3</f>
        <v>1.26</v>
      </c>
      <c r="F3" s="11"/>
    </row>
    <row r="4" s="1" customFormat="1" customHeight="1" spans="1:6">
      <c r="A4" s="8"/>
      <c r="B4" s="9" t="s">
        <v>526</v>
      </c>
      <c r="C4" s="9">
        <v>1</v>
      </c>
      <c r="D4" s="10">
        <f>'39#明细表（表2.1）'!E4</f>
        <v>1.79</v>
      </c>
      <c r="E4" s="10">
        <f t="shared" si="0"/>
        <v>1.79</v>
      </c>
      <c r="F4" s="11"/>
    </row>
    <row r="5" s="1" customFormat="1" customHeight="1" spans="1:6">
      <c r="A5" s="8"/>
      <c r="B5" s="9" t="s">
        <v>547</v>
      </c>
      <c r="C5" s="9">
        <v>4</v>
      </c>
      <c r="D5" s="10">
        <f>'39#明细表（表2.1）'!E5</f>
        <v>2.03</v>
      </c>
      <c r="E5" s="10">
        <f t="shared" si="0"/>
        <v>8.12</v>
      </c>
      <c r="F5" s="11"/>
    </row>
    <row r="6" s="1" customFormat="1" customHeight="1" spans="1:7">
      <c r="A6" s="8"/>
      <c r="B6" s="9" t="s">
        <v>511</v>
      </c>
      <c r="C6" s="9">
        <v>2</v>
      </c>
      <c r="D6" s="10">
        <f>'39#明细表（表2.1）'!E9</f>
        <v>2.45</v>
      </c>
      <c r="E6" s="10">
        <f t="shared" si="0"/>
        <v>4.9</v>
      </c>
      <c r="F6" s="11"/>
      <c r="G6" s="16"/>
    </row>
    <row r="7" s="1" customFormat="1" customHeight="1" spans="1:6">
      <c r="A7" s="8" t="s">
        <v>512</v>
      </c>
      <c r="B7" s="9" t="s">
        <v>537</v>
      </c>
      <c r="C7" s="9">
        <v>96</v>
      </c>
      <c r="D7" s="10">
        <f>'39#明细表（表2.1）'!E11</f>
        <v>1.37</v>
      </c>
      <c r="E7" s="10">
        <f t="shared" si="0"/>
        <v>131.52</v>
      </c>
      <c r="F7" s="11"/>
    </row>
    <row r="8" s="1" customFormat="1" customHeight="1" spans="1:6">
      <c r="A8" s="8"/>
      <c r="B8" s="9" t="s">
        <v>526</v>
      </c>
      <c r="C8" s="9">
        <v>4</v>
      </c>
      <c r="D8" s="10">
        <f>'39#明细表（表2.1）'!E19</f>
        <v>1.72</v>
      </c>
      <c r="E8" s="10">
        <f t="shared" si="0"/>
        <v>6.88</v>
      </c>
      <c r="F8" s="11"/>
    </row>
    <row r="9" s="1" customFormat="1" customHeight="1" spans="1:6">
      <c r="A9" s="8"/>
      <c r="B9" s="9" t="s">
        <v>547</v>
      </c>
      <c r="C9" s="9">
        <v>100</v>
      </c>
      <c r="D9" s="10">
        <f>'39#明细表（表2.1）'!E22</f>
        <v>1.98</v>
      </c>
      <c r="E9" s="10">
        <f t="shared" si="0"/>
        <v>198</v>
      </c>
      <c r="F9" s="59"/>
    </row>
    <row r="10" s="1" customFormat="1" customHeight="1" spans="1:6">
      <c r="A10" s="8"/>
      <c r="B10" s="9" t="s">
        <v>513</v>
      </c>
      <c r="C10" s="9">
        <v>2</v>
      </c>
      <c r="D10" s="10">
        <f>'39#明细表（表2.1）'!E30</f>
        <v>2.52</v>
      </c>
      <c r="E10" s="10">
        <f t="shared" si="0"/>
        <v>5.04</v>
      </c>
      <c r="F10" s="11"/>
    </row>
    <row r="11" s="1" customFormat="1" customHeight="1" spans="1:6">
      <c r="A11" s="8"/>
      <c r="B11" s="9" t="s">
        <v>511</v>
      </c>
      <c r="C11" s="9">
        <v>33</v>
      </c>
      <c r="D11" s="10">
        <f>'39#明细表（表2.1）'!E31</f>
        <v>2.37</v>
      </c>
      <c r="E11" s="10">
        <f t="shared" si="0"/>
        <v>78.21</v>
      </c>
      <c r="F11" s="11"/>
    </row>
    <row r="12" s="1" customFormat="1" customHeight="1" spans="1:8">
      <c r="A12" s="12" t="s">
        <v>484</v>
      </c>
      <c r="B12" s="13"/>
      <c r="C12" s="13">
        <f>SUM(C3:C11)</f>
        <v>243</v>
      </c>
      <c r="D12" s="14"/>
      <c r="E12" s="14">
        <f>SUM(E3:E11)</f>
        <v>435.72</v>
      </c>
      <c r="F12" s="60"/>
      <c r="H12" s="2"/>
    </row>
    <row r="13" s="2" customFormat="1" customHeight="1" spans="1:6">
      <c r="A13" s="22"/>
      <c r="B13" s="22"/>
      <c r="C13" s="22"/>
      <c r="D13" s="22"/>
      <c r="E13" s="23"/>
      <c r="F13" s="22"/>
    </row>
    <row r="14" s="2" customFormat="1" customHeight="1" spans="1:6">
      <c r="A14" s="22"/>
      <c r="B14" s="22"/>
      <c r="C14" s="22"/>
      <c r="D14" s="22"/>
      <c r="E14" s="23"/>
      <c r="F14" s="22"/>
    </row>
    <row r="15" s="2" customFormat="1" customHeight="1" spans="1:6">
      <c r="A15" s="22"/>
      <c r="B15" s="22"/>
      <c r="C15" s="22"/>
      <c r="D15" s="22"/>
      <c r="E15" s="23"/>
      <c r="F15" s="22"/>
    </row>
    <row r="16" s="2" customFormat="1" customHeight="1" spans="1:6">
      <c r="A16" s="22"/>
      <c r="B16" s="22"/>
      <c r="C16" s="22"/>
      <c r="D16" s="22"/>
      <c r="E16" s="23"/>
      <c r="F16" s="22"/>
    </row>
    <row r="17" s="2" customFormat="1" customHeight="1" spans="1:6">
      <c r="A17" s="22"/>
      <c r="B17" s="22"/>
      <c r="C17" s="22"/>
      <c r="D17" s="22"/>
      <c r="E17" s="23"/>
      <c r="F17" s="22"/>
    </row>
    <row r="18" s="2" customFormat="1" customHeight="1" spans="1:6">
      <c r="A18" s="22"/>
      <c r="B18" s="22"/>
      <c r="C18" s="22"/>
      <c r="D18" s="22"/>
      <c r="E18" s="23"/>
      <c r="F18" s="22"/>
    </row>
    <row r="19" s="2" customFormat="1" customHeight="1" spans="1:6">
      <c r="A19" s="22"/>
      <c r="B19" s="22"/>
      <c r="C19" s="22"/>
      <c r="D19" s="22"/>
      <c r="E19" s="23"/>
      <c r="F19" s="22"/>
    </row>
    <row r="20" s="2" customFormat="1" customHeight="1" spans="1:6">
      <c r="A20" s="22"/>
      <c r="B20" s="22"/>
      <c r="C20" s="22"/>
      <c r="D20" s="22"/>
      <c r="E20" s="23"/>
      <c r="F20" s="22"/>
    </row>
    <row r="21" s="2" customFormat="1" customHeight="1" spans="1:6">
      <c r="A21" s="22"/>
      <c r="B21" s="22"/>
      <c r="C21" s="22"/>
      <c r="D21" s="22"/>
      <c r="E21" s="23"/>
      <c r="F21" s="22"/>
    </row>
    <row r="22" s="2" customFormat="1" customHeight="1" spans="1:6">
      <c r="A22" s="22"/>
      <c r="B22" s="22"/>
      <c r="C22" s="22"/>
      <c r="D22" s="22"/>
      <c r="E22" s="23"/>
      <c r="F22" s="22"/>
    </row>
    <row r="23" s="2" customFormat="1" customHeight="1" spans="1:6">
      <c r="A23" s="22"/>
      <c r="B23" s="22"/>
      <c r="C23" s="22"/>
      <c r="D23" s="22"/>
      <c r="E23" s="23"/>
      <c r="F23" s="22"/>
    </row>
    <row r="24" s="2" customFormat="1" customHeight="1" spans="1:6">
      <c r="A24" s="22"/>
      <c r="B24" s="22"/>
      <c r="C24" s="22"/>
      <c r="D24" s="22"/>
      <c r="E24" s="23"/>
      <c r="F24" s="22"/>
    </row>
    <row r="25" s="2" customFormat="1" customHeight="1" spans="1:6">
      <c r="A25" s="22"/>
      <c r="B25" s="22"/>
      <c r="C25" s="22"/>
      <c r="D25" s="22"/>
      <c r="E25" s="23"/>
      <c r="F25" s="22"/>
    </row>
    <row r="26" s="2" customFormat="1" customHeight="1" spans="1:6">
      <c r="A26" s="22"/>
      <c r="B26" s="22"/>
      <c r="C26" s="22"/>
      <c r="D26" s="22"/>
      <c r="E26" s="23"/>
      <c r="F26" s="22"/>
    </row>
    <row r="27" s="2" customFormat="1" customHeight="1" spans="1:6">
      <c r="A27" s="22"/>
      <c r="B27" s="22"/>
      <c r="C27" s="22"/>
      <c r="D27" s="22"/>
      <c r="E27" s="23"/>
      <c r="F27" s="22"/>
    </row>
    <row r="28" s="2" customFormat="1" customHeight="1" spans="1:6">
      <c r="A28" s="22"/>
      <c r="B28" s="22"/>
      <c r="C28" s="22"/>
      <c r="D28" s="22"/>
      <c r="E28" s="23"/>
      <c r="F28" s="22"/>
    </row>
    <row r="29" s="2" customFormat="1" customHeight="1" spans="1:6">
      <c r="A29" s="22"/>
      <c r="B29" s="22"/>
      <c r="C29" s="22"/>
      <c r="D29" s="22"/>
      <c r="E29" s="23"/>
      <c r="F29" s="22"/>
    </row>
    <row r="30" s="2" customFormat="1" customHeight="1" spans="1:6">
      <c r="A30" s="22"/>
      <c r="B30" s="22"/>
      <c r="C30" s="22"/>
      <c r="D30" s="22"/>
      <c r="E30" s="23"/>
      <c r="F30" s="22"/>
    </row>
    <row r="31" s="2" customFormat="1" customHeight="1" spans="1:6">
      <c r="A31" s="22"/>
      <c r="B31" s="22"/>
      <c r="C31" s="22"/>
      <c r="D31" s="22"/>
      <c r="E31" s="23"/>
      <c r="F31" s="22"/>
    </row>
    <row r="32" s="2" customFormat="1" customHeight="1" spans="1:6">
      <c r="A32" s="22"/>
      <c r="B32" s="22"/>
      <c r="C32" s="22"/>
      <c r="D32" s="22"/>
      <c r="E32" s="23"/>
      <c r="F32" s="22"/>
    </row>
  </sheetData>
  <mergeCells count="3">
    <mergeCell ref="A1:F1"/>
    <mergeCell ref="A3:A6"/>
    <mergeCell ref="A7:A11"/>
  </mergeCells>
  <printOptions horizontalCentered="1"/>
  <pageMargins left="0.696527777777778" right="0.696527777777778" top="0.751388888888889" bottom="0.751388888888889" header="0.298611111111111" footer="0.298611111111111"/>
  <pageSetup paperSize="9" scale="86" orientation="portrait" horizont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34"/>
  <sheetViews>
    <sheetView workbookViewId="0">
      <pane ySplit="1" topLeftCell="A2" activePane="bottomLeft" state="frozen"/>
      <selection/>
      <selection pane="bottomLeft" activeCell="B3" sqref="$A3:$XFD33"/>
    </sheetView>
  </sheetViews>
  <sheetFormatPr defaultColWidth="12.625" defaultRowHeight="25" customHeight="1"/>
  <cols>
    <col min="1" max="1" width="11.125" style="57" customWidth="1"/>
    <col min="2" max="4" width="12.625" style="57" customWidth="1"/>
    <col min="5" max="5" width="19.25" style="58" customWidth="1"/>
    <col min="6" max="16384" width="12.625" style="57" customWidth="1"/>
  </cols>
  <sheetData>
    <row r="1" ht="27" customHeight="1" spans="1:6">
      <c r="A1" s="53" t="s">
        <v>548</v>
      </c>
      <c r="B1" s="54"/>
      <c r="C1" s="54"/>
      <c r="D1" s="53"/>
      <c r="E1" s="53"/>
      <c r="F1" s="53"/>
    </row>
    <row r="2" customHeight="1" spans="1:6">
      <c r="A2" s="4" t="s">
        <v>504</v>
      </c>
      <c r="B2" s="5" t="s">
        <v>370</v>
      </c>
      <c r="C2" s="5" t="s">
        <v>515</v>
      </c>
      <c r="D2" s="5" t="s">
        <v>516</v>
      </c>
      <c r="E2" s="6" t="s">
        <v>506</v>
      </c>
      <c r="F2" s="7" t="s">
        <v>374</v>
      </c>
    </row>
    <row r="3" s="1" customFormat="1" ht="23" customHeight="1" spans="1:8">
      <c r="A3" s="8" t="s">
        <v>508</v>
      </c>
      <c r="B3" s="9" t="s">
        <v>546</v>
      </c>
      <c r="C3" s="9">
        <v>700</v>
      </c>
      <c r="D3" s="9">
        <v>1800</v>
      </c>
      <c r="E3" s="10">
        <f>C3*D3/1000000</f>
        <v>1.26</v>
      </c>
      <c r="F3" s="176" t="s">
        <v>549</v>
      </c>
      <c r="G3" s="57"/>
      <c r="H3" s="57"/>
    </row>
    <row r="4" s="1" customFormat="1" ht="23" customHeight="1" spans="1:8">
      <c r="A4" s="8"/>
      <c r="B4" s="9" t="s">
        <v>526</v>
      </c>
      <c r="C4" s="9">
        <v>960</v>
      </c>
      <c r="D4" s="9">
        <v>1860</v>
      </c>
      <c r="E4" s="10">
        <f>C4*D4/1000000</f>
        <v>1.79</v>
      </c>
      <c r="F4" s="176" t="s">
        <v>550</v>
      </c>
      <c r="G4" s="57"/>
      <c r="H4" s="57"/>
    </row>
    <row r="5" s="1" customFormat="1" ht="23" customHeight="1" spans="1:9">
      <c r="A5" s="8"/>
      <c r="B5" s="9" t="s">
        <v>547</v>
      </c>
      <c r="C5" s="9">
        <f>(890+55*2)</f>
        <v>1000</v>
      </c>
      <c r="D5" s="9">
        <f>(2020+55)</f>
        <v>2075</v>
      </c>
      <c r="E5" s="10">
        <f>(C5*D5+C6*D6+C7*D7+C8*D8)/4/1000000</f>
        <v>2.03</v>
      </c>
      <c r="F5" s="176" t="s">
        <v>550</v>
      </c>
      <c r="G5" s="57"/>
      <c r="H5" s="57"/>
      <c r="I5" s="57"/>
    </row>
    <row r="6" s="1" customFormat="1" ht="23" customHeight="1" spans="1:9">
      <c r="A6" s="8"/>
      <c r="B6" s="9"/>
      <c r="C6" s="9">
        <v>965</v>
      </c>
      <c r="D6" s="9">
        <v>2100</v>
      </c>
      <c r="E6" s="10"/>
      <c r="F6" s="176" t="s">
        <v>550</v>
      </c>
      <c r="G6" s="57"/>
      <c r="H6" s="57"/>
      <c r="I6" s="57"/>
    </row>
    <row r="7" s="1" customFormat="1" ht="23" customHeight="1" spans="1:9">
      <c r="A7" s="8"/>
      <c r="B7" s="9"/>
      <c r="C7" s="9">
        <f>(880+55*2)</f>
        <v>990</v>
      </c>
      <c r="D7" s="9">
        <f>(2010+55)</f>
        <v>2065</v>
      </c>
      <c r="E7" s="10"/>
      <c r="F7" s="176" t="s">
        <v>549</v>
      </c>
      <c r="G7" s="57"/>
      <c r="H7" s="57"/>
      <c r="I7" s="57"/>
    </row>
    <row r="8" s="1" customFormat="1" ht="23" customHeight="1" spans="1:8">
      <c r="A8" s="8"/>
      <c r="B8" s="9"/>
      <c r="C8" s="9">
        <f>(870+55*2)</f>
        <v>980</v>
      </c>
      <c r="D8" s="9">
        <f>(1970+55)</f>
        <v>2025</v>
      </c>
      <c r="E8" s="10"/>
      <c r="F8" s="176" t="s">
        <v>549</v>
      </c>
      <c r="G8" s="57"/>
      <c r="H8" s="57"/>
    </row>
    <row r="9" s="1" customFormat="1" ht="23" customHeight="1" spans="1:8">
      <c r="A9" s="8"/>
      <c r="B9" s="9" t="s">
        <v>511</v>
      </c>
      <c r="C9" s="9">
        <v>1170</v>
      </c>
      <c r="D9" s="9">
        <v>2080</v>
      </c>
      <c r="E9" s="10">
        <f>(C9*D9+C10*D10)/2/1000000</f>
        <v>2.45</v>
      </c>
      <c r="F9" s="176" t="s">
        <v>550</v>
      </c>
      <c r="G9" s="57"/>
      <c r="H9" s="57"/>
    </row>
    <row r="10" s="1" customFormat="1" ht="23" customHeight="1" spans="1:8">
      <c r="A10" s="8"/>
      <c r="B10" s="9"/>
      <c r="C10" s="9">
        <f>(1090+55*2)</f>
        <v>1200</v>
      </c>
      <c r="D10" s="9">
        <f>(2000+55)</f>
        <v>2055</v>
      </c>
      <c r="E10" s="10"/>
      <c r="F10" s="176" t="s">
        <v>549</v>
      </c>
      <c r="G10" s="57"/>
      <c r="H10" s="57"/>
    </row>
    <row r="11" s="1" customFormat="1" ht="23" customHeight="1" spans="1:8">
      <c r="A11" s="8" t="s">
        <v>512</v>
      </c>
      <c r="B11" s="9" t="s">
        <v>537</v>
      </c>
      <c r="C11" s="9">
        <v>790</v>
      </c>
      <c r="D11" s="9">
        <v>1790</v>
      </c>
      <c r="E11" s="10">
        <f>(C11*D11+C12*D12+C13*D13+C14*D14+C15*D15+C16*D16+C17*D17+C18*D18)/8/1000000</f>
        <v>1.37</v>
      </c>
      <c r="F11" s="17" t="s">
        <v>6</v>
      </c>
      <c r="G11" s="57"/>
      <c r="H11" s="57"/>
    </row>
    <row r="12" s="1" customFormat="1" ht="23" customHeight="1" spans="1:8">
      <c r="A12" s="8"/>
      <c r="B12" s="9"/>
      <c r="C12" s="9">
        <v>780</v>
      </c>
      <c r="D12" s="9">
        <v>1770</v>
      </c>
      <c r="E12" s="10"/>
      <c r="F12" s="17" t="s">
        <v>7</v>
      </c>
      <c r="G12" s="57"/>
      <c r="H12" s="57"/>
    </row>
    <row r="13" s="1" customFormat="1" ht="23" customHeight="1" spans="1:8">
      <c r="A13" s="8"/>
      <c r="B13" s="9"/>
      <c r="C13" s="9">
        <v>780</v>
      </c>
      <c r="D13" s="9">
        <v>1790</v>
      </c>
      <c r="E13" s="10"/>
      <c r="F13" s="17" t="s">
        <v>7</v>
      </c>
      <c r="G13" s="57"/>
      <c r="H13" s="57"/>
    </row>
    <row r="14" s="1" customFormat="1" ht="23" customHeight="1" spans="1:8">
      <c r="A14" s="8"/>
      <c r="B14" s="9"/>
      <c r="C14" s="9">
        <v>790</v>
      </c>
      <c r="D14" s="9">
        <v>1740</v>
      </c>
      <c r="E14" s="10"/>
      <c r="F14" s="17" t="s">
        <v>8</v>
      </c>
      <c r="G14" s="57"/>
      <c r="H14" s="57"/>
    </row>
    <row r="15" s="2" customFormat="1" ht="23" customHeight="1" spans="1:8">
      <c r="A15" s="8"/>
      <c r="B15" s="9"/>
      <c r="C15" s="9">
        <v>780</v>
      </c>
      <c r="D15" s="9">
        <v>1770</v>
      </c>
      <c r="E15" s="10"/>
      <c r="F15" s="17" t="s">
        <v>8</v>
      </c>
      <c r="G15" s="57"/>
      <c r="H15" s="57"/>
    </row>
    <row r="16" s="2" customFormat="1" ht="23" customHeight="1" spans="1:8">
      <c r="A16" s="8"/>
      <c r="B16" s="9"/>
      <c r="C16" s="9">
        <v>760</v>
      </c>
      <c r="D16" s="9">
        <v>1770</v>
      </c>
      <c r="E16" s="10"/>
      <c r="F16" s="17" t="s">
        <v>551</v>
      </c>
      <c r="G16" s="57"/>
      <c r="H16" s="57"/>
    </row>
    <row r="17" s="2" customFormat="1" ht="23" customHeight="1" spans="1:8">
      <c r="A17" s="8"/>
      <c r="B17" s="9"/>
      <c r="C17" s="9">
        <v>770</v>
      </c>
      <c r="D17" s="9">
        <v>1740</v>
      </c>
      <c r="E17" s="10"/>
      <c r="F17" s="17" t="s">
        <v>551</v>
      </c>
      <c r="G17" s="57"/>
      <c r="H17" s="57"/>
    </row>
    <row r="18" s="2" customFormat="1" ht="23" customHeight="1" spans="1:8">
      <c r="A18" s="8"/>
      <c r="B18" s="9"/>
      <c r="C18" s="9">
        <v>770</v>
      </c>
      <c r="D18" s="9">
        <v>1770</v>
      </c>
      <c r="E18" s="10"/>
      <c r="F18" s="17" t="s">
        <v>551</v>
      </c>
      <c r="G18" s="57"/>
      <c r="H18" s="57"/>
    </row>
    <row r="19" s="2" customFormat="1" ht="23" customHeight="1" spans="1:8">
      <c r="A19" s="8"/>
      <c r="B19" s="9" t="s">
        <v>526</v>
      </c>
      <c r="C19" s="9">
        <v>980</v>
      </c>
      <c r="D19" s="9">
        <v>1760</v>
      </c>
      <c r="E19" s="10">
        <f>(C19*D19+C20*D20+C21*D21)/3/1000000</f>
        <v>1.72</v>
      </c>
      <c r="F19" s="17" t="s">
        <v>6</v>
      </c>
      <c r="G19" s="57"/>
      <c r="H19" s="57"/>
    </row>
    <row r="20" s="2" customFormat="1" ht="23" customHeight="1" spans="1:8">
      <c r="A20" s="8"/>
      <c r="B20" s="9"/>
      <c r="C20" s="9">
        <v>980</v>
      </c>
      <c r="D20" s="9">
        <v>1770</v>
      </c>
      <c r="E20" s="10"/>
      <c r="F20" s="17" t="s">
        <v>7</v>
      </c>
      <c r="G20" s="57"/>
      <c r="H20" s="57"/>
    </row>
    <row r="21" s="2" customFormat="1" ht="23" customHeight="1" spans="1:8">
      <c r="A21" s="8"/>
      <c r="B21" s="9"/>
      <c r="C21" s="9">
        <v>960</v>
      </c>
      <c r="D21" s="9">
        <v>1760</v>
      </c>
      <c r="E21" s="10"/>
      <c r="F21" s="17" t="s">
        <v>8</v>
      </c>
      <c r="G21" s="57"/>
      <c r="H21" s="57"/>
    </row>
    <row r="22" s="2" customFormat="1" ht="23" customHeight="1" spans="1:8">
      <c r="A22" s="8"/>
      <c r="B22" s="9" t="s">
        <v>547</v>
      </c>
      <c r="C22" s="9">
        <v>970</v>
      </c>
      <c r="D22" s="9">
        <v>2050</v>
      </c>
      <c r="E22" s="10">
        <f>(C22*D22+C23*D23+C24*D24+C25*D25+C26*D26+C27*D27+C28*D28+C29*D29)/8/1000000</f>
        <v>1.98</v>
      </c>
      <c r="F22" s="17" t="s">
        <v>6</v>
      </c>
      <c r="G22" s="57"/>
      <c r="H22" s="57"/>
    </row>
    <row r="23" s="2" customFormat="1" ht="23" customHeight="1" spans="1:8">
      <c r="A23" s="8"/>
      <c r="B23" s="9"/>
      <c r="C23" s="9">
        <f>(835+55*2)</f>
        <v>945</v>
      </c>
      <c r="D23" s="9">
        <f>(1960+55)</f>
        <v>2015</v>
      </c>
      <c r="E23" s="10"/>
      <c r="F23" s="17" t="s">
        <v>6</v>
      </c>
      <c r="G23" s="57"/>
      <c r="H23" s="57"/>
    </row>
    <row r="24" s="2" customFormat="1" ht="23" customHeight="1" spans="1:8">
      <c r="A24" s="8"/>
      <c r="B24" s="9"/>
      <c r="C24" s="9">
        <f t="shared" ref="C24:C28" si="0">(850+55*2)</f>
        <v>960</v>
      </c>
      <c r="D24" s="9">
        <f>(2010+55)</f>
        <v>2065</v>
      </c>
      <c r="E24" s="10"/>
      <c r="F24" s="17" t="s">
        <v>7</v>
      </c>
      <c r="G24" s="57"/>
      <c r="H24" s="57"/>
    </row>
    <row r="25" s="2" customFormat="1" ht="23" customHeight="1" spans="1:8">
      <c r="A25" s="8"/>
      <c r="B25" s="9"/>
      <c r="C25" s="9">
        <f>(855+55*2)</f>
        <v>965</v>
      </c>
      <c r="D25" s="9">
        <f>(2000+55)</f>
        <v>2055</v>
      </c>
      <c r="E25" s="10"/>
      <c r="F25" s="17" t="s">
        <v>7</v>
      </c>
      <c r="G25" s="57"/>
      <c r="H25" s="57"/>
    </row>
    <row r="26" s="2" customFormat="1" ht="23" customHeight="1" spans="1:8">
      <c r="A26" s="8"/>
      <c r="B26" s="9"/>
      <c r="C26" s="9">
        <v>980</v>
      </c>
      <c r="D26" s="9">
        <v>2060</v>
      </c>
      <c r="E26" s="10"/>
      <c r="F26" s="17" t="s">
        <v>7</v>
      </c>
      <c r="G26" s="57"/>
      <c r="H26" s="57"/>
    </row>
    <row r="27" s="2" customFormat="1" ht="23" customHeight="1" spans="1:8">
      <c r="A27" s="8"/>
      <c r="B27" s="9"/>
      <c r="C27" s="9">
        <f t="shared" si="0"/>
        <v>960</v>
      </c>
      <c r="D27" s="9">
        <f>(2000+55)</f>
        <v>2055</v>
      </c>
      <c r="E27" s="10"/>
      <c r="F27" s="17" t="s">
        <v>8</v>
      </c>
      <c r="G27" s="57"/>
      <c r="H27" s="57"/>
    </row>
    <row r="28" s="2" customFormat="1" ht="23" customHeight="1" spans="1:8">
      <c r="A28" s="8"/>
      <c r="B28" s="9"/>
      <c r="C28" s="9">
        <f t="shared" si="0"/>
        <v>960</v>
      </c>
      <c r="D28" s="9">
        <f>(2010+55)</f>
        <v>2065</v>
      </c>
      <c r="E28" s="10"/>
      <c r="F28" s="17" t="s">
        <v>8</v>
      </c>
      <c r="G28" s="57"/>
      <c r="H28" s="57"/>
    </row>
    <row r="29" s="2" customFormat="1" ht="23" customHeight="1" spans="1:8">
      <c r="A29" s="8"/>
      <c r="B29" s="9"/>
      <c r="C29" s="9">
        <v>970</v>
      </c>
      <c r="D29" s="9">
        <v>2070</v>
      </c>
      <c r="E29" s="10"/>
      <c r="F29" s="17" t="s">
        <v>8</v>
      </c>
      <c r="G29" s="57"/>
      <c r="H29" s="57"/>
    </row>
    <row r="30" s="2" customFormat="1" ht="23" customHeight="1" spans="1:8">
      <c r="A30" s="8"/>
      <c r="B30" s="9" t="s">
        <v>513</v>
      </c>
      <c r="C30" s="9">
        <v>1190</v>
      </c>
      <c r="D30" s="9">
        <v>2120</v>
      </c>
      <c r="E30" s="10">
        <f>C30*D30/1000000</f>
        <v>2.52</v>
      </c>
      <c r="F30" s="17" t="s">
        <v>552</v>
      </c>
      <c r="G30" s="57"/>
      <c r="H30" s="57"/>
    </row>
    <row r="31" s="2" customFormat="1" ht="23" customHeight="1" spans="1:8">
      <c r="A31" s="8"/>
      <c r="B31" s="9" t="s">
        <v>511</v>
      </c>
      <c r="C31" s="9">
        <f>(1020+55*2)</f>
        <v>1130</v>
      </c>
      <c r="D31" s="9">
        <f>(2000+55)</f>
        <v>2055</v>
      </c>
      <c r="E31" s="10">
        <f>(C31*D31+C32*D32+C33*D33)/3/1000000</f>
        <v>2.37</v>
      </c>
      <c r="F31" s="17" t="s">
        <v>6</v>
      </c>
      <c r="G31" s="57"/>
      <c r="H31" s="57"/>
    </row>
    <row r="32" s="2" customFormat="1" ht="23" customHeight="1" spans="1:8">
      <c r="A32" s="8"/>
      <c r="B32" s="9"/>
      <c r="C32" s="9">
        <f>(1050+55*2)</f>
        <v>1160</v>
      </c>
      <c r="D32" s="9">
        <f>(2010+55)</f>
        <v>2065</v>
      </c>
      <c r="E32" s="10"/>
      <c r="F32" s="17" t="s">
        <v>7</v>
      </c>
      <c r="G32" s="57"/>
      <c r="H32" s="57"/>
    </row>
    <row r="33" s="2" customFormat="1" ht="23" customHeight="1" spans="1:8">
      <c r="A33" s="18"/>
      <c r="B33" s="19"/>
      <c r="C33" s="19">
        <f>(1050+55*2)</f>
        <v>1160</v>
      </c>
      <c r="D33" s="19">
        <f>(2000+55)</f>
        <v>2055</v>
      </c>
      <c r="E33" s="20"/>
      <c r="F33" s="21" t="s">
        <v>8</v>
      </c>
      <c r="G33" s="57"/>
      <c r="H33" s="57"/>
    </row>
    <row r="34" s="2" customFormat="1" customHeight="1" spans="1:8">
      <c r="A34" s="57"/>
      <c r="B34" s="57"/>
      <c r="C34" s="57"/>
      <c r="D34" s="57"/>
      <c r="E34" s="58"/>
      <c r="F34" s="57"/>
      <c r="G34" s="57"/>
      <c r="H34" s="57"/>
    </row>
  </sheetData>
  <mergeCells count="15">
    <mergeCell ref="A1:F1"/>
    <mergeCell ref="A3:A10"/>
    <mergeCell ref="A11:A33"/>
    <mergeCell ref="B5:B8"/>
    <mergeCell ref="B9:B10"/>
    <mergeCell ref="B11:B18"/>
    <mergeCell ref="B19:B21"/>
    <mergeCell ref="B22:B29"/>
    <mergeCell ref="B31:B33"/>
    <mergeCell ref="E5:E8"/>
    <mergeCell ref="E9:E10"/>
    <mergeCell ref="E11:E18"/>
    <mergeCell ref="E19:E21"/>
    <mergeCell ref="E22:E29"/>
    <mergeCell ref="E31:E33"/>
  </mergeCells>
  <pageMargins left="0.747916666666667" right="0.747916666666667" top="0.354166666666667" bottom="0.984027777777778" header="0.196527777777778" footer="0.511805555555556"/>
  <pageSetup paperSize="9" scale="91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H26"/>
  <sheetViews>
    <sheetView workbookViewId="0">
      <selection activeCell="I17" sqref="I17"/>
    </sheetView>
  </sheetViews>
  <sheetFormatPr defaultColWidth="12.625" defaultRowHeight="25" customHeight="1" outlineLevelCol="7"/>
  <cols>
    <col min="1" max="3" width="12.625" style="2" customWidth="1"/>
    <col min="4" max="4" width="17.375" style="2" customWidth="1"/>
    <col min="5" max="16384" width="12.625" style="2" customWidth="1"/>
  </cols>
  <sheetData>
    <row r="1" s="1" customFormat="1" customHeight="1" spans="1:6">
      <c r="A1" s="55" t="s">
        <v>553</v>
      </c>
      <c r="B1" s="55"/>
      <c r="C1" s="55"/>
      <c r="D1" s="55"/>
      <c r="E1" s="55"/>
      <c r="F1" s="55"/>
    </row>
    <row r="2" s="1" customFormat="1" customHeight="1" spans="1:6">
      <c r="A2" s="4" t="s">
        <v>504</v>
      </c>
      <c r="B2" s="5" t="s">
        <v>370</v>
      </c>
      <c r="C2" s="5" t="s">
        <v>505</v>
      </c>
      <c r="D2" s="6" t="s">
        <v>506</v>
      </c>
      <c r="E2" s="6" t="s">
        <v>507</v>
      </c>
      <c r="F2" s="7" t="s">
        <v>374</v>
      </c>
    </row>
    <row r="3" s="1" customFormat="1" customHeight="1" spans="1:6">
      <c r="A3" s="8" t="s">
        <v>508</v>
      </c>
      <c r="B3" s="9" t="s">
        <v>526</v>
      </c>
      <c r="C3" s="9">
        <v>12</v>
      </c>
      <c r="D3" s="10">
        <f>'40#明细表（表2.1）'!E3</f>
        <v>1.71</v>
      </c>
      <c r="E3" s="10">
        <f t="shared" ref="E3:E8" si="0">C3*D3</f>
        <v>20.52</v>
      </c>
      <c r="F3" s="11"/>
    </row>
    <row r="4" s="1" customFormat="1" customHeight="1" spans="1:6">
      <c r="A4" s="8"/>
      <c r="B4" s="9" t="s">
        <v>510</v>
      </c>
      <c r="C4" s="9">
        <v>8</v>
      </c>
      <c r="D4" s="10">
        <f>'40#明细表（表2.1）'!E9</f>
        <v>2.04</v>
      </c>
      <c r="E4" s="10">
        <f t="shared" si="0"/>
        <v>16.32</v>
      </c>
      <c r="F4" s="11"/>
    </row>
    <row r="5" s="1" customFormat="1" customHeight="1" spans="1:6">
      <c r="A5" s="8" t="s">
        <v>512</v>
      </c>
      <c r="B5" s="9" t="s">
        <v>526</v>
      </c>
      <c r="C5" s="9">
        <v>200</v>
      </c>
      <c r="D5" s="10">
        <f>'40#明细表（表2.1）'!E13</f>
        <v>1.7</v>
      </c>
      <c r="E5" s="10">
        <f t="shared" si="0"/>
        <v>340</v>
      </c>
      <c r="F5" s="11"/>
    </row>
    <row r="6" s="1" customFormat="1" customHeight="1" spans="1:8">
      <c r="A6" s="8"/>
      <c r="B6" s="9" t="s">
        <v>513</v>
      </c>
      <c r="C6" s="9">
        <v>4</v>
      </c>
      <c r="D6" s="10">
        <f>'40#明细表（表2.1）'!E17</f>
        <v>2.42</v>
      </c>
      <c r="E6" s="10">
        <f t="shared" si="0"/>
        <v>9.68</v>
      </c>
      <c r="F6" s="11"/>
      <c r="H6" s="2"/>
    </row>
    <row r="7" s="1" customFormat="1" ht="51" customHeight="1" spans="1:6">
      <c r="A7" s="8"/>
      <c r="B7" s="9" t="s">
        <v>510</v>
      </c>
      <c r="C7" s="9">
        <v>202</v>
      </c>
      <c r="D7" s="10">
        <f>'40#明细表（表2.1）'!E19</f>
        <v>1.99</v>
      </c>
      <c r="E7" s="10">
        <f t="shared" si="0"/>
        <v>401.98</v>
      </c>
      <c r="F7" s="11"/>
    </row>
    <row r="8" s="2" customFormat="1" customHeight="1" spans="1:6">
      <c r="A8" s="8"/>
      <c r="B8" s="9" t="s">
        <v>511</v>
      </c>
      <c r="C8" s="9">
        <v>66</v>
      </c>
      <c r="D8" s="10">
        <f>'40#明细表（表2.1）'!E25</f>
        <v>2.4</v>
      </c>
      <c r="E8" s="10">
        <f t="shared" si="0"/>
        <v>158.4</v>
      </c>
      <c r="F8" s="11"/>
    </row>
    <row r="9" s="2" customFormat="1" customHeight="1" spans="1:6">
      <c r="A9" s="12" t="s">
        <v>484</v>
      </c>
      <c r="B9" s="13"/>
      <c r="C9" s="13">
        <f>SUM(C3:C8)</f>
        <v>492</v>
      </c>
      <c r="D9" s="14"/>
      <c r="E9" s="14">
        <f>SUM(E3:E8)</f>
        <v>946.9</v>
      </c>
      <c r="F9" s="56"/>
    </row>
    <row r="10" s="2" customFormat="1" customHeight="1" spans="1:6">
      <c r="A10" s="22"/>
      <c r="B10" s="22"/>
      <c r="C10" s="22"/>
      <c r="D10" s="22"/>
      <c r="E10" s="23"/>
      <c r="F10" s="22"/>
    </row>
    <row r="11" s="2" customFormat="1" customHeight="1" spans="1:6">
      <c r="A11" s="22"/>
      <c r="B11" s="22"/>
      <c r="C11" s="22"/>
      <c r="D11" s="22"/>
      <c r="E11" s="23"/>
      <c r="F11" s="22"/>
    </row>
    <row r="12" s="2" customFormat="1" customHeight="1" spans="1:6">
      <c r="A12" s="22"/>
      <c r="B12" s="22"/>
      <c r="C12" s="22"/>
      <c r="D12" s="22"/>
      <c r="E12" s="23"/>
      <c r="F12" s="22"/>
    </row>
    <row r="13" s="2" customFormat="1" customHeight="1" spans="1:6">
      <c r="A13" s="22"/>
      <c r="B13" s="22"/>
      <c r="C13" s="22"/>
      <c r="D13" s="22"/>
      <c r="E13" s="23"/>
      <c r="F13" s="22"/>
    </row>
    <row r="14" s="2" customFormat="1" customHeight="1" spans="1:6">
      <c r="A14" s="22"/>
      <c r="B14" s="22"/>
      <c r="C14" s="22"/>
      <c r="D14" s="22"/>
      <c r="E14" s="23"/>
      <c r="F14" s="22"/>
    </row>
    <row r="15" s="2" customFormat="1" customHeight="1" spans="1:6">
      <c r="A15" s="22"/>
      <c r="B15" s="22"/>
      <c r="C15" s="22"/>
      <c r="D15" s="22"/>
      <c r="E15" s="23"/>
      <c r="F15" s="22"/>
    </row>
    <row r="16" s="2" customFormat="1" customHeight="1" spans="1:6">
      <c r="A16" s="22"/>
      <c r="B16" s="22"/>
      <c r="C16" s="22"/>
      <c r="D16" s="22"/>
      <c r="E16" s="23"/>
      <c r="F16" s="22"/>
    </row>
    <row r="17" s="2" customFormat="1" customHeight="1" spans="1:6">
      <c r="A17" s="22"/>
      <c r="B17" s="22"/>
      <c r="C17" s="22"/>
      <c r="D17" s="22"/>
      <c r="E17" s="23"/>
      <c r="F17" s="22"/>
    </row>
    <row r="18" s="2" customFormat="1" customHeight="1" spans="1:6">
      <c r="A18" s="22"/>
      <c r="B18" s="22"/>
      <c r="C18" s="22"/>
      <c r="D18" s="22"/>
      <c r="E18" s="23"/>
      <c r="F18" s="22"/>
    </row>
    <row r="19" s="2" customFormat="1" customHeight="1" spans="1:6">
      <c r="A19" s="22"/>
      <c r="B19" s="22"/>
      <c r="C19" s="22"/>
      <c r="D19" s="22"/>
      <c r="E19" s="23"/>
      <c r="F19" s="22"/>
    </row>
    <row r="20" s="2" customFormat="1" customHeight="1" spans="1:6">
      <c r="A20" s="22"/>
      <c r="B20" s="22"/>
      <c r="C20" s="22"/>
      <c r="D20" s="22"/>
      <c r="E20" s="23"/>
      <c r="F20" s="22"/>
    </row>
    <row r="21" s="2" customFormat="1" customHeight="1" spans="1:6">
      <c r="A21" s="22"/>
      <c r="B21" s="22"/>
      <c r="C21" s="22"/>
      <c r="D21" s="22"/>
      <c r="E21" s="23"/>
      <c r="F21" s="22"/>
    </row>
    <row r="22" s="2" customFormat="1" customHeight="1" spans="1:6">
      <c r="A22" s="22"/>
      <c r="B22" s="22"/>
      <c r="C22" s="22"/>
      <c r="D22" s="22"/>
      <c r="E22" s="23"/>
      <c r="F22" s="22"/>
    </row>
    <row r="23" s="2" customFormat="1" customHeight="1" spans="1:6">
      <c r="A23" s="22"/>
      <c r="B23" s="22"/>
      <c r="C23" s="22"/>
      <c r="D23" s="22"/>
      <c r="E23" s="23"/>
      <c r="F23" s="22"/>
    </row>
    <row r="24" s="2" customFormat="1" customHeight="1" spans="1:6">
      <c r="A24" s="22"/>
      <c r="B24" s="22"/>
      <c r="C24" s="22"/>
      <c r="D24" s="22"/>
      <c r="E24" s="23"/>
      <c r="F24" s="22"/>
    </row>
    <row r="25" s="2" customFormat="1" customHeight="1" spans="1:6">
      <c r="A25" s="22"/>
      <c r="B25" s="22"/>
      <c r="C25" s="22"/>
      <c r="D25" s="22"/>
      <c r="E25" s="23"/>
      <c r="F25" s="22"/>
    </row>
    <row r="26" s="2" customFormat="1" customHeight="1" spans="1:6">
      <c r="A26" s="22"/>
      <c r="B26" s="22"/>
      <c r="C26" s="22"/>
      <c r="D26" s="22"/>
      <c r="E26" s="23"/>
      <c r="F26" s="22"/>
    </row>
  </sheetData>
  <mergeCells count="3">
    <mergeCell ref="A1:F1"/>
    <mergeCell ref="A3:A4"/>
    <mergeCell ref="A5:A8"/>
  </mergeCells>
  <printOptions horizontalCentered="1"/>
  <pageMargins left="0.696527777777778" right="0.696527777777778" top="0.751388888888889" bottom="0.751388888888889" header="0.298611111111111" footer="0.298611111111111"/>
  <pageSetup paperSize="9" scale="86" orientation="portrait" horizontalDpi="6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34"/>
  <sheetViews>
    <sheetView workbookViewId="0">
      <pane ySplit="1" topLeftCell="A2" activePane="bottomLeft" state="frozen"/>
      <selection/>
      <selection pane="bottomLeft" activeCell="A1" sqref="A1:F26"/>
    </sheetView>
  </sheetViews>
  <sheetFormatPr defaultColWidth="12.625" defaultRowHeight="25" customHeight="1"/>
  <cols>
    <col min="1" max="1" width="10.75" style="57" customWidth="1"/>
    <col min="2" max="4" width="12.625" style="57" customWidth="1"/>
    <col min="5" max="5" width="18" style="58" customWidth="1"/>
    <col min="6" max="16384" width="12.625" style="57" customWidth="1"/>
  </cols>
  <sheetData>
    <row r="1" customHeight="1" spans="1:6">
      <c r="A1" s="53" t="s">
        <v>554</v>
      </c>
      <c r="B1" s="54"/>
      <c r="C1" s="54"/>
      <c r="D1" s="53"/>
      <c r="E1" s="53"/>
      <c r="F1" s="53"/>
    </row>
    <row r="2" customHeight="1" spans="1:6">
      <c r="A2" s="4" t="s">
        <v>504</v>
      </c>
      <c r="B2" s="5" t="s">
        <v>370</v>
      </c>
      <c r="C2" s="5" t="s">
        <v>515</v>
      </c>
      <c r="D2" s="5" t="s">
        <v>516</v>
      </c>
      <c r="E2" s="6" t="s">
        <v>506</v>
      </c>
      <c r="F2" s="7" t="s">
        <v>374</v>
      </c>
    </row>
    <row r="3" s="1" customFormat="1" customHeight="1" spans="1:10">
      <c r="A3" s="8" t="s">
        <v>508</v>
      </c>
      <c r="B3" s="9" t="s">
        <v>526</v>
      </c>
      <c r="C3" s="9">
        <v>970</v>
      </c>
      <c r="D3" s="9">
        <v>1770</v>
      </c>
      <c r="E3" s="10">
        <f>(C3*D3+C4*D4+C5*D5+C6*D6+C7*D7+C8*D8)/6/1000000</f>
        <v>1.71</v>
      </c>
      <c r="F3" s="17" t="s">
        <v>517</v>
      </c>
      <c r="G3" s="57"/>
      <c r="H3" s="57"/>
      <c r="I3" s="57"/>
      <c r="J3" s="57"/>
    </row>
    <row r="4" s="1" customFormat="1" customHeight="1" spans="1:10">
      <c r="A4" s="8"/>
      <c r="B4" s="9"/>
      <c r="C4" s="9">
        <v>970</v>
      </c>
      <c r="D4" s="9">
        <v>1750</v>
      </c>
      <c r="E4" s="10"/>
      <c r="F4" s="17" t="s">
        <v>517</v>
      </c>
      <c r="G4" s="57"/>
      <c r="H4" s="57"/>
      <c r="I4" s="57"/>
      <c r="J4" s="57"/>
    </row>
    <row r="5" s="1" customFormat="1" customHeight="1" spans="1:10">
      <c r="A5" s="8"/>
      <c r="B5" s="9"/>
      <c r="C5" s="9">
        <v>990</v>
      </c>
      <c r="D5" s="9">
        <v>1770</v>
      </c>
      <c r="E5" s="10"/>
      <c r="F5" s="17" t="s">
        <v>517</v>
      </c>
      <c r="G5" s="57"/>
      <c r="H5" s="57"/>
      <c r="I5" s="57"/>
      <c r="J5" s="57"/>
    </row>
    <row r="6" s="1" customFormat="1" customHeight="1" spans="1:10">
      <c r="A6" s="8"/>
      <c r="B6" s="9"/>
      <c r="C6" s="9">
        <v>970</v>
      </c>
      <c r="D6" s="9">
        <v>1770</v>
      </c>
      <c r="E6" s="10"/>
      <c r="F6" s="17" t="s">
        <v>518</v>
      </c>
      <c r="G6" s="57"/>
      <c r="H6" s="57"/>
      <c r="I6" s="57"/>
      <c r="J6" s="57"/>
    </row>
    <row r="7" s="1" customFormat="1" customHeight="1" spans="1:10">
      <c r="A7" s="8"/>
      <c r="B7" s="9"/>
      <c r="C7" s="9">
        <v>950</v>
      </c>
      <c r="D7" s="9">
        <v>1750</v>
      </c>
      <c r="E7" s="10"/>
      <c r="F7" s="17" t="s">
        <v>518</v>
      </c>
      <c r="G7" s="57"/>
      <c r="H7" s="57"/>
      <c r="I7" s="57"/>
      <c r="J7" s="57"/>
    </row>
    <row r="8" s="1" customFormat="1" customHeight="1" spans="1:10">
      <c r="A8" s="8"/>
      <c r="B8" s="9"/>
      <c r="C8" s="9">
        <v>990</v>
      </c>
      <c r="D8" s="9">
        <v>1760</v>
      </c>
      <c r="E8" s="10"/>
      <c r="F8" s="17" t="s">
        <v>518</v>
      </c>
      <c r="G8" s="57"/>
      <c r="H8" s="57"/>
      <c r="I8" s="57"/>
      <c r="J8" s="57"/>
    </row>
    <row r="9" s="1" customFormat="1" customHeight="1" spans="1:8">
      <c r="A9" s="8"/>
      <c r="B9" s="9" t="s">
        <v>510</v>
      </c>
      <c r="C9" s="9">
        <f>(865+55*2)</f>
        <v>975</v>
      </c>
      <c r="D9" s="9">
        <f>(2060+55)</f>
        <v>2115</v>
      </c>
      <c r="E9" s="10">
        <f>(C9*D9+C10*D10+C11*D11+C12*D12)/4/1000000</f>
        <v>2.04</v>
      </c>
      <c r="F9" s="17" t="s">
        <v>517</v>
      </c>
      <c r="G9" s="57"/>
      <c r="H9" s="57"/>
    </row>
    <row r="10" s="1" customFormat="1" customHeight="1" spans="1:8">
      <c r="A10" s="8"/>
      <c r="B10" s="9"/>
      <c r="C10" s="9">
        <v>975</v>
      </c>
      <c r="D10" s="9">
        <v>2070</v>
      </c>
      <c r="E10" s="10"/>
      <c r="F10" s="17" t="s">
        <v>517</v>
      </c>
      <c r="G10" s="57"/>
      <c r="H10" s="57"/>
    </row>
    <row r="11" s="1" customFormat="1" customHeight="1" spans="1:8">
      <c r="A11" s="8"/>
      <c r="B11" s="9"/>
      <c r="C11" s="9">
        <f>(850+55*2)</f>
        <v>960</v>
      </c>
      <c r="D11" s="9">
        <f>(2090+55)</f>
        <v>2145</v>
      </c>
      <c r="E11" s="10"/>
      <c r="F11" s="17" t="s">
        <v>518</v>
      </c>
      <c r="G11" s="57"/>
      <c r="H11" s="57"/>
    </row>
    <row r="12" s="1" customFormat="1" customHeight="1" spans="1:8">
      <c r="A12" s="8"/>
      <c r="B12" s="9"/>
      <c r="C12" s="9">
        <v>980</v>
      </c>
      <c r="D12" s="9">
        <v>2080</v>
      </c>
      <c r="E12" s="10"/>
      <c r="F12" s="17" t="s">
        <v>518</v>
      </c>
      <c r="G12" s="57"/>
      <c r="H12" s="57"/>
    </row>
    <row r="13" s="1" customFormat="1" customHeight="1" spans="1:8">
      <c r="A13" s="8" t="s">
        <v>512</v>
      </c>
      <c r="B13" s="9" t="s">
        <v>526</v>
      </c>
      <c r="C13" s="9">
        <v>970</v>
      </c>
      <c r="D13" s="9">
        <v>1770</v>
      </c>
      <c r="E13" s="10">
        <f>(C13*D13+C14*D14+C15*D15+C16*D16)/4/1000000</f>
        <v>1.7</v>
      </c>
      <c r="F13" s="17" t="s">
        <v>521</v>
      </c>
      <c r="G13" s="57"/>
      <c r="H13" s="57"/>
    </row>
    <row r="14" s="1" customFormat="1" customHeight="1" spans="1:8">
      <c r="A14" s="8"/>
      <c r="B14" s="9"/>
      <c r="C14" s="9">
        <v>960</v>
      </c>
      <c r="D14" s="9">
        <v>1770</v>
      </c>
      <c r="E14" s="10"/>
      <c r="F14" s="17" t="s">
        <v>521</v>
      </c>
      <c r="G14" s="57"/>
      <c r="H14" s="57"/>
    </row>
    <row r="15" s="2" customFormat="1" customHeight="1" spans="1:8">
      <c r="A15" s="8"/>
      <c r="B15" s="9"/>
      <c r="C15" s="9">
        <v>960</v>
      </c>
      <c r="D15" s="9">
        <v>1760</v>
      </c>
      <c r="E15" s="10"/>
      <c r="F15" s="17" t="s">
        <v>523</v>
      </c>
      <c r="G15" s="57"/>
      <c r="H15" s="57"/>
    </row>
    <row r="16" s="2" customFormat="1" customHeight="1" spans="1:8">
      <c r="A16" s="8"/>
      <c r="B16" s="9"/>
      <c r="C16" s="9">
        <v>960</v>
      </c>
      <c r="D16" s="9">
        <v>1750</v>
      </c>
      <c r="E16" s="10"/>
      <c r="F16" s="17" t="s">
        <v>523</v>
      </c>
      <c r="G16" s="57"/>
      <c r="H16" s="57"/>
    </row>
    <row r="17" s="2" customFormat="1" customHeight="1" spans="1:8">
      <c r="A17" s="8"/>
      <c r="B17" s="9" t="s">
        <v>513</v>
      </c>
      <c r="C17" s="9">
        <v>1170</v>
      </c>
      <c r="D17" s="9">
        <v>2070</v>
      </c>
      <c r="E17" s="10">
        <f>(C17*D17+C18*D18)/2/1000000</f>
        <v>2.42</v>
      </c>
      <c r="F17" s="17" t="s">
        <v>520</v>
      </c>
      <c r="G17" s="57"/>
      <c r="H17" s="57"/>
    </row>
    <row r="18" s="2" customFormat="1" customHeight="1" spans="1:8">
      <c r="A18" s="8"/>
      <c r="B18" s="9"/>
      <c r="C18" s="9">
        <v>1170</v>
      </c>
      <c r="D18" s="9">
        <v>2070</v>
      </c>
      <c r="E18" s="10"/>
      <c r="F18" s="17" t="s">
        <v>520</v>
      </c>
      <c r="G18" s="57"/>
      <c r="H18" s="57"/>
    </row>
    <row r="19" s="2" customFormat="1" customHeight="1" spans="1:8">
      <c r="A19" s="8"/>
      <c r="B19" s="9" t="s">
        <v>510</v>
      </c>
      <c r="C19" s="9">
        <v>970</v>
      </c>
      <c r="D19" s="9">
        <v>2070</v>
      </c>
      <c r="E19" s="10">
        <f>(C19*D19+C20*D20+C21*D21+C22*D22+C23*D23+C24*D24)/6/1000000</f>
        <v>1.99</v>
      </c>
      <c r="F19" s="17" t="s">
        <v>521</v>
      </c>
      <c r="G19" s="57"/>
      <c r="H19" s="57"/>
    </row>
    <row r="20" s="2" customFormat="1" customHeight="1" spans="1:8">
      <c r="A20" s="8"/>
      <c r="B20" s="9"/>
      <c r="C20" s="9">
        <f>(850+55*2)</f>
        <v>960</v>
      </c>
      <c r="D20" s="9">
        <f>(2000+55)</f>
        <v>2055</v>
      </c>
      <c r="E20" s="10"/>
      <c r="F20" s="17" t="s">
        <v>521</v>
      </c>
      <c r="G20" s="57"/>
      <c r="H20" s="57"/>
    </row>
    <row r="21" s="2" customFormat="1" customHeight="1" spans="1:8">
      <c r="A21" s="8"/>
      <c r="B21" s="9"/>
      <c r="C21" s="9">
        <v>970</v>
      </c>
      <c r="D21" s="9">
        <v>2010</v>
      </c>
      <c r="E21" s="10"/>
      <c r="F21" s="17" t="s">
        <v>521</v>
      </c>
      <c r="G21" s="57"/>
      <c r="H21" s="57"/>
    </row>
    <row r="22" s="2" customFormat="1" customHeight="1" spans="1:8">
      <c r="A22" s="8"/>
      <c r="B22" s="9"/>
      <c r="C22" s="9">
        <f>(855+55*2)</f>
        <v>965</v>
      </c>
      <c r="D22" s="9">
        <f>(2000+55)</f>
        <v>2055</v>
      </c>
      <c r="E22" s="10"/>
      <c r="F22" s="17" t="s">
        <v>523</v>
      </c>
      <c r="G22" s="57"/>
      <c r="H22" s="57"/>
    </row>
    <row r="23" s="2" customFormat="1" customHeight="1" spans="1:8">
      <c r="A23" s="8"/>
      <c r="B23" s="9"/>
      <c r="C23" s="9">
        <f>(855+55*2)</f>
        <v>965</v>
      </c>
      <c r="D23" s="9">
        <f t="shared" ref="D23:D26" si="0">(2010+55)</f>
        <v>2065</v>
      </c>
      <c r="E23" s="10"/>
      <c r="F23" s="17" t="s">
        <v>523</v>
      </c>
      <c r="G23" s="57"/>
      <c r="H23" s="57"/>
    </row>
    <row r="24" s="2" customFormat="1" customHeight="1" spans="1:8">
      <c r="A24" s="8"/>
      <c r="B24" s="9"/>
      <c r="C24" s="9">
        <v>980</v>
      </c>
      <c r="D24" s="9">
        <v>2090</v>
      </c>
      <c r="E24" s="10"/>
      <c r="F24" s="17" t="s">
        <v>523</v>
      </c>
      <c r="G24" s="57"/>
      <c r="H24" s="57"/>
    </row>
    <row r="25" s="2" customFormat="1" customHeight="1" spans="1:8">
      <c r="A25" s="8"/>
      <c r="B25" s="9" t="s">
        <v>511</v>
      </c>
      <c r="C25" s="9">
        <f>(1050+55*2)</f>
        <v>1160</v>
      </c>
      <c r="D25" s="9">
        <f t="shared" si="0"/>
        <v>2065</v>
      </c>
      <c r="E25" s="10">
        <f>(C25*D25+C26*D26)/2/1000000</f>
        <v>2.4</v>
      </c>
      <c r="F25" s="17" t="s">
        <v>521</v>
      </c>
      <c r="G25" s="57"/>
      <c r="H25" s="57"/>
    </row>
    <row r="26" s="2" customFormat="1" customHeight="1" spans="1:8">
      <c r="A26" s="18"/>
      <c r="B26" s="19"/>
      <c r="C26" s="19">
        <f>(1050+55*2)</f>
        <v>1160</v>
      </c>
      <c r="D26" s="19">
        <f t="shared" si="0"/>
        <v>2065</v>
      </c>
      <c r="E26" s="20"/>
      <c r="F26" s="21" t="s">
        <v>523</v>
      </c>
      <c r="G26" s="57"/>
      <c r="H26" s="57"/>
    </row>
    <row r="27" s="2" customFormat="1" customHeight="1" spans="1:8">
      <c r="A27" s="57"/>
      <c r="B27" s="57"/>
      <c r="C27" s="57"/>
      <c r="D27" s="57"/>
      <c r="E27" s="58"/>
      <c r="F27" s="57"/>
      <c r="G27" s="57"/>
      <c r="H27" s="57"/>
    </row>
    <row r="28" s="2" customFormat="1" customHeight="1" spans="1:8">
      <c r="A28" s="57"/>
      <c r="B28" s="57"/>
      <c r="C28" s="57"/>
      <c r="D28" s="57"/>
      <c r="E28" s="58"/>
      <c r="F28" s="57"/>
      <c r="G28" s="57"/>
      <c r="H28" s="57"/>
    </row>
    <row r="29" s="2" customFormat="1" customHeight="1" spans="1:8">
      <c r="A29" s="57"/>
      <c r="B29" s="57"/>
      <c r="C29" s="57"/>
      <c r="D29" s="57"/>
      <c r="E29" s="58"/>
      <c r="F29" s="57"/>
      <c r="G29" s="57"/>
      <c r="H29" s="57"/>
    </row>
    <row r="30" s="2" customFormat="1" customHeight="1" spans="1:8">
      <c r="A30" s="57"/>
      <c r="B30" s="57"/>
      <c r="C30" s="57"/>
      <c r="D30" s="57"/>
      <c r="E30" s="58"/>
      <c r="F30" s="57"/>
      <c r="G30" s="57"/>
      <c r="H30" s="57"/>
    </row>
    <row r="31" s="2" customFormat="1" customHeight="1" spans="1:8">
      <c r="A31" s="57"/>
      <c r="B31" s="57"/>
      <c r="C31" s="57"/>
      <c r="D31" s="57"/>
      <c r="E31" s="58"/>
      <c r="F31" s="57"/>
      <c r="G31" s="57"/>
      <c r="H31" s="57"/>
    </row>
    <row r="32" s="2" customFormat="1" customHeight="1" spans="1:8">
      <c r="A32" s="57"/>
      <c r="B32" s="57"/>
      <c r="C32" s="57"/>
      <c r="D32" s="57"/>
      <c r="E32" s="58"/>
      <c r="F32" s="57"/>
      <c r="G32" s="57"/>
      <c r="H32" s="57"/>
    </row>
    <row r="33" s="2" customFormat="1" customHeight="1" spans="1:8">
      <c r="A33" s="57"/>
      <c r="B33" s="57"/>
      <c r="C33" s="57"/>
      <c r="D33" s="57"/>
      <c r="E33" s="58"/>
      <c r="F33" s="57"/>
      <c r="G33" s="57"/>
      <c r="H33" s="57"/>
    </row>
    <row r="34" s="2" customFormat="1" customHeight="1" spans="1:8">
      <c r="A34" s="57"/>
      <c r="B34" s="57"/>
      <c r="C34" s="57"/>
      <c r="D34" s="57"/>
      <c r="E34" s="58"/>
      <c r="F34" s="57"/>
      <c r="G34" s="57"/>
      <c r="H34" s="57"/>
    </row>
  </sheetData>
  <mergeCells count="15">
    <mergeCell ref="A1:F1"/>
    <mergeCell ref="A3:A12"/>
    <mergeCell ref="A13:A26"/>
    <mergeCell ref="B3:B8"/>
    <mergeCell ref="B9:B12"/>
    <mergeCell ref="B13:B16"/>
    <mergeCell ref="B17:B18"/>
    <mergeCell ref="B19:B24"/>
    <mergeCell ref="B25:B26"/>
    <mergeCell ref="E3:E8"/>
    <mergeCell ref="E9:E12"/>
    <mergeCell ref="E13:E16"/>
    <mergeCell ref="E17:E18"/>
    <mergeCell ref="E19:E24"/>
    <mergeCell ref="E25:E26"/>
  </mergeCells>
  <printOptions horizontalCentered="1"/>
  <pageMargins left="0.747916666666667" right="0.747916666666667" top="0.984027777777778" bottom="0.984027777777778" header="0.511805555555556" footer="0.511805555555556"/>
  <pageSetup paperSize="9" scale="91" orientation="portrait" horizontalDpi="6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32"/>
  <sheetViews>
    <sheetView workbookViewId="0">
      <selection activeCell="F11" sqref="A1:F11"/>
    </sheetView>
  </sheetViews>
  <sheetFormatPr defaultColWidth="12.625" defaultRowHeight="25" customHeight="1" outlineLevelCol="6"/>
  <cols>
    <col min="1" max="1" width="10.375" style="2" customWidth="1"/>
    <col min="2" max="3" width="12.625" style="2" customWidth="1"/>
    <col min="4" max="4" width="17.875" style="2" customWidth="1"/>
    <col min="5" max="16384" width="12.625" style="2" customWidth="1"/>
  </cols>
  <sheetData>
    <row r="1" s="1" customFormat="1" customHeight="1" spans="1:6">
      <c r="A1" s="55" t="s">
        <v>555</v>
      </c>
      <c r="B1" s="55"/>
      <c r="C1" s="55"/>
      <c r="D1" s="55"/>
      <c r="E1" s="55"/>
      <c r="F1" s="55"/>
    </row>
    <row r="2" s="1" customFormat="1" customHeight="1" spans="1:6">
      <c r="A2" s="4" t="s">
        <v>504</v>
      </c>
      <c r="B2" s="5" t="s">
        <v>370</v>
      </c>
      <c r="C2" s="5" t="s">
        <v>505</v>
      </c>
      <c r="D2" s="6" t="s">
        <v>506</v>
      </c>
      <c r="E2" s="6" t="s">
        <v>507</v>
      </c>
      <c r="F2" s="7" t="s">
        <v>374</v>
      </c>
    </row>
    <row r="3" s="1" customFormat="1" customHeight="1" spans="1:6">
      <c r="A3" s="8" t="s">
        <v>508</v>
      </c>
      <c r="B3" s="9" t="s">
        <v>546</v>
      </c>
      <c r="C3" s="9">
        <v>1</v>
      </c>
      <c r="D3" s="10">
        <f>'41#明细表（表2.1） '!E3</f>
        <v>1.19</v>
      </c>
      <c r="E3" s="10">
        <f t="shared" ref="E3:E10" si="0">C3*D3</f>
        <v>1.19</v>
      </c>
      <c r="F3" s="11"/>
    </row>
    <row r="4" s="1" customFormat="1" customHeight="1" spans="1:6">
      <c r="A4" s="8"/>
      <c r="B4" s="9" t="s">
        <v>526</v>
      </c>
      <c r="C4" s="9">
        <v>2</v>
      </c>
      <c r="D4" s="10">
        <f>'41#明细表（表2.1） '!E5</f>
        <v>1.73</v>
      </c>
      <c r="E4" s="10">
        <f t="shared" si="0"/>
        <v>3.46</v>
      </c>
      <c r="F4" s="11"/>
    </row>
    <row r="5" s="1" customFormat="1" customHeight="1" spans="1:6">
      <c r="A5" s="8"/>
      <c r="B5" s="9" t="s">
        <v>510</v>
      </c>
      <c r="C5" s="9">
        <v>4</v>
      </c>
      <c r="D5" s="10">
        <f>'41#明细表（表2.1） '!E7</f>
        <v>2</v>
      </c>
      <c r="E5" s="10">
        <f t="shared" si="0"/>
        <v>8</v>
      </c>
      <c r="F5" s="11"/>
    </row>
    <row r="6" s="1" customFormat="1" customHeight="1" spans="1:7">
      <c r="A6" s="8" t="s">
        <v>512</v>
      </c>
      <c r="B6" s="9" t="s">
        <v>537</v>
      </c>
      <c r="C6" s="9">
        <v>66</v>
      </c>
      <c r="D6" s="10">
        <f>'41#明细表（表2.1） '!E11</f>
        <v>1.37</v>
      </c>
      <c r="E6" s="10">
        <f t="shared" si="0"/>
        <v>90.42</v>
      </c>
      <c r="F6" s="11"/>
      <c r="G6" s="16"/>
    </row>
    <row r="7" s="1" customFormat="1" customHeight="1" spans="1:6">
      <c r="A7" s="8"/>
      <c r="B7" s="9" t="s">
        <v>526</v>
      </c>
      <c r="C7" s="9">
        <v>34</v>
      </c>
      <c r="D7" s="10">
        <f>'41#明细表（表2.1） '!E17</f>
        <v>1.73</v>
      </c>
      <c r="E7" s="10">
        <f t="shared" si="0"/>
        <v>58.82</v>
      </c>
      <c r="F7" s="11"/>
    </row>
    <row r="8" s="1" customFormat="1" customHeight="1" spans="1:6">
      <c r="A8" s="8"/>
      <c r="B8" s="9" t="s">
        <v>513</v>
      </c>
      <c r="C8" s="9">
        <v>1</v>
      </c>
      <c r="D8" s="10">
        <f>'41#明细表（表2.1） '!E20</f>
        <v>2.46</v>
      </c>
      <c r="E8" s="10">
        <f t="shared" si="0"/>
        <v>2.46</v>
      </c>
      <c r="F8" s="11"/>
    </row>
    <row r="9" s="1" customFormat="1" customHeight="1" spans="1:6">
      <c r="A9" s="8"/>
      <c r="B9" s="9" t="s">
        <v>510</v>
      </c>
      <c r="C9" s="9">
        <v>101</v>
      </c>
      <c r="D9" s="10">
        <f>'41#明细表（表2.1） '!E21</f>
        <v>2</v>
      </c>
      <c r="E9" s="10">
        <f t="shared" si="0"/>
        <v>202</v>
      </c>
      <c r="F9" s="11"/>
    </row>
    <row r="10" s="1" customFormat="1" customHeight="1" spans="1:6">
      <c r="A10" s="8"/>
      <c r="B10" s="9" t="s">
        <v>511</v>
      </c>
      <c r="C10" s="9">
        <v>33</v>
      </c>
      <c r="D10" s="10">
        <f>'41#明细表（表2.1） '!E30</f>
        <v>2.36</v>
      </c>
      <c r="E10" s="10">
        <f t="shared" si="0"/>
        <v>77.88</v>
      </c>
      <c r="F10" s="11"/>
    </row>
    <row r="11" s="1" customFormat="1" customHeight="1" spans="1:6">
      <c r="A11" s="12" t="s">
        <v>484</v>
      </c>
      <c r="B11" s="13"/>
      <c r="C11" s="13">
        <f>SUM(C3:C10)</f>
        <v>242</v>
      </c>
      <c r="D11" s="14"/>
      <c r="E11" s="14">
        <f>SUM(E3:E10)</f>
        <v>444.23</v>
      </c>
      <c r="F11" s="56"/>
    </row>
    <row r="12" s="1" customFormat="1" customHeight="1" spans="1:6">
      <c r="A12" s="22"/>
      <c r="B12" s="22"/>
      <c r="C12" s="22"/>
      <c r="D12" s="22"/>
      <c r="E12" s="23"/>
      <c r="F12" s="22"/>
    </row>
    <row r="13" s="2" customFormat="1" customHeight="1" spans="1:6">
      <c r="A13" s="22"/>
      <c r="B13" s="22"/>
      <c r="C13" s="22"/>
      <c r="D13" s="22"/>
      <c r="E13" s="23"/>
      <c r="F13" s="22"/>
    </row>
    <row r="14" s="2" customFormat="1" customHeight="1" spans="1:6">
      <c r="A14" s="22"/>
      <c r="B14" s="22"/>
      <c r="C14" s="22"/>
      <c r="D14" s="22"/>
      <c r="E14" s="23"/>
      <c r="F14" s="22"/>
    </row>
    <row r="15" s="2" customFormat="1" customHeight="1" spans="1:6">
      <c r="A15" s="22"/>
      <c r="B15" s="22"/>
      <c r="C15" s="22"/>
      <c r="D15" s="22"/>
      <c r="E15" s="23"/>
      <c r="F15" s="22"/>
    </row>
    <row r="16" s="2" customFormat="1" customHeight="1" spans="1:6">
      <c r="A16" s="22"/>
      <c r="B16" s="22"/>
      <c r="C16" s="22"/>
      <c r="D16" s="22"/>
      <c r="E16" s="23"/>
      <c r="F16" s="22"/>
    </row>
    <row r="17" s="2" customFormat="1" customHeight="1" spans="1:6">
      <c r="A17" s="22"/>
      <c r="B17" s="22"/>
      <c r="C17" s="22"/>
      <c r="D17" s="22"/>
      <c r="E17" s="23"/>
      <c r="F17" s="22"/>
    </row>
    <row r="18" s="2" customFormat="1" customHeight="1" spans="1:6">
      <c r="A18" s="22"/>
      <c r="B18" s="22"/>
      <c r="C18" s="22"/>
      <c r="D18" s="22"/>
      <c r="E18" s="23"/>
      <c r="F18" s="22"/>
    </row>
    <row r="19" s="2" customFormat="1" customHeight="1" spans="1:6">
      <c r="A19" s="22"/>
      <c r="B19" s="22"/>
      <c r="C19" s="22"/>
      <c r="D19" s="22"/>
      <c r="E19" s="23"/>
      <c r="F19" s="22"/>
    </row>
    <row r="20" s="2" customFormat="1" customHeight="1" spans="1:6">
      <c r="A20" s="22"/>
      <c r="B20" s="22"/>
      <c r="C20" s="22"/>
      <c r="D20" s="22"/>
      <c r="E20" s="23"/>
      <c r="F20" s="22"/>
    </row>
    <row r="21" s="2" customFormat="1" customHeight="1" spans="1:6">
      <c r="A21" s="22"/>
      <c r="B21" s="22"/>
      <c r="C21" s="22"/>
      <c r="D21" s="22"/>
      <c r="E21" s="23"/>
      <c r="F21" s="22"/>
    </row>
    <row r="22" s="2" customFormat="1" customHeight="1" spans="1:6">
      <c r="A22" s="22"/>
      <c r="B22" s="22"/>
      <c r="C22" s="22"/>
      <c r="D22" s="22"/>
      <c r="E22" s="23"/>
      <c r="F22" s="22"/>
    </row>
    <row r="23" s="2" customFormat="1" customHeight="1" spans="1:6">
      <c r="A23" s="22"/>
      <c r="B23" s="22"/>
      <c r="C23" s="22"/>
      <c r="D23" s="22"/>
      <c r="E23" s="23"/>
      <c r="F23" s="22"/>
    </row>
    <row r="24" s="2" customFormat="1" customHeight="1" spans="1:6">
      <c r="A24" s="22"/>
      <c r="B24" s="22"/>
      <c r="C24" s="22"/>
      <c r="D24" s="22"/>
      <c r="E24" s="23"/>
      <c r="F24" s="22"/>
    </row>
    <row r="25" s="2" customFormat="1" customHeight="1" spans="1:6">
      <c r="A25" s="22"/>
      <c r="B25" s="22"/>
      <c r="C25" s="22"/>
      <c r="D25" s="22"/>
      <c r="E25" s="23"/>
      <c r="F25" s="22"/>
    </row>
    <row r="26" s="2" customFormat="1" customHeight="1" spans="1:6">
      <c r="A26" s="22"/>
      <c r="B26" s="22"/>
      <c r="C26" s="22"/>
      <c r="D26" s="22"/>
      <c r="E26" s="23"/>
      <c r="F26" s="22"/>
    </row>
    <row r="27" s="2" customFormat="1" customHeight="1" spans="1:6">
      <c r="A27" s="22"/>
      <c r="B27" s="22"/>
      <c r="C27" s="22"/>
      <c r="D27" s="22"/>
      <c r="E27" s="23"/>
      <c r="F27" s="22"/>
    </row>
    <row r="28" s="2" customFormat="1" customHeight="1" spans="1:6">
      <c r="A28" s="22"/>
      <c r="B28" s="22"/>
      <c r="C28" s="22"/>
      <c r="D28" s="22"/>
      <c r="E28" s="23"/>
      <c r="F28" s="22"/>
    </row>
    <row r="29" s="2" customFormat="1" customHeight="1" spans="1:6">
      <c r="A29" s="22"/>
      <c r="B29" s="22"/>
      <c r="C29" s="22"/>
      <c r="D29" s="22"/>
      <c r="E29" s="23"/>
      <c r="F29" s="22"/>
    </row>
    <row r="30" s="2" customFormat="1" customHeight="1" spans="1:6">
      <c r="A30" s="22"/>
      <c r="B30" s="22"/>
      <c r="C30" s="22"/>
      <c r="D30" s="22"/>
      <c r="E30" s="23"/>
      <c r="F30" s="22"/>
    </row>
    <row r="31" s="2" customFormat="1" customHeight="1" spans="1:6">
      <c r="A31" s="22"/>
      <c r="B31" s="22"/>
      <c r="C31" s="22"/>
      <c r="D31" s="22"/>
      <c r="E31" s="23"/>
      <c r="F31" s="22"/>
    </row>
    <row r="32" s="2" customFormat="1" customHeight="1" spans="1:6">
      <c r="A32" s="22"/>
      <c r="B32" s="22"/>
      <c r="C32" s="22"/>
      <c r="D32" s="22"/>
      <c r="E32" s="23"/>
      <c r="F32" s="22"/>
    </row>
  </sheetData>
  <mergeCells count="3">
    <mergeCell ref="A1:F1"/>
    <mergeCell ref="A3:A5"/>
    <mergeCell ref="A6:A10"/>
  </mergeCells>
  <printOptions horizontalCentered="1"/>
  <pageMargins left="0.696527777777778" right="0.696527777777778" top="0.751388888888889" bottom="0.751388888888889" header="0.298611111111111" footer="0.298611111111111"/>
  <pageSetup paperSize="9" scale="86" orientation="portrait" horizontalDpi="6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34"/>
  <sheetViews>
    <sheetView workbookViewId="0">
      <pane ySplit="1" topLeftCell="A17" activePane="bottomLeft" state="frozen"/>
      <selection/>
      <selection pane="bottomLeft" activeCell="A1" sqref="A1:F32"/>
    </sheetView>
  </sheetViews>
  <sheetFormatPr defaultColWidth="12.625" defaultRowHeight="25" customHeight="1"/>
  <cols>
    <col min="1" max="1" width="10.125" style="51" customWidth="1"/>
    <col min="2" max="4" width="12.625" style="51" customWidth="1"/>
    <col min="5" max="5" width="19" style="52" customWidth="1"/>
    <col min="6" max="16384" width="12.625" style="51" customWidth="1"/>
  </cols>
  <sheetData>
    <row r="1" customHeight="1" spans="1:6">
      <c r="A1" s="53" t="s">
        <v>556</v>
      </c>
      <c r="B1" s="54"/>
      <c r="C1" s="54"/>
      <c r="D1" s="53"/>
      <c r="E1" s="53"/>
      <c r="F1" s="53"/>
    </row>
    <row r="2" customHeight="1" spans="1:6">
      <c r="A2" s="4" t="s">
        <v>504</v>
      </c>
      <c r="B2" s="5" t="s">
        <v>370</v>
      </c>
      <c r="C2" s="5" t="s">
        <v>515</v>
      </c>
      <c r="D2" s="5" t="s">
        <v>516</v>
      </c>
      <c r="E2" s="6" t="s">
        <v>506</v>
      </c>
      <c r="F2" s="7" t="s">
        <v>374</v>
      </c>
    </row>
    <row r="3" s="1" customFormat="1" customHeight="1" spans="1:8">
      <c r="A3" s="8" t="s">
        <v>508</v>
      </c>
      <c r="B3" s="9" t="s">
        <v>546</v>
      </c>
      <c r="C3" s="9">
        <v>670</v>
      </c>
      <c r="D3" s="9">
        <v>1780</v>
      </c>
      <c r="E3" s="10">
        <f>(C3*D3+C4*D4)/2/1000000</f>
        <v>1.19</v>
      </c>
      <c r="F3" s="176" t="s">
        <v>549</v>
      </c>
      <c r="G3" s="51"/>
      <c r="H3" s="51"/>
    </row>
    <row r="4" s="1" customFormat="1" customHeight="1" spans="1:8">
      <c r="A4" s="8"/>
      <c r="B4" s="9"/>
      <c r="C4" s="9">
        <v>670</v>
      </c>
      <c r="D4" s="9">
        <v>1760</v>
      </c>
      <c r="E4" s="10"/>
      <c r="F4" s="176" t="s">
        <v>549</v>
      </c>
      <c r="G4" s="51"/>
      <c r="H4" s="51"/>
    </row>
    <row r="5" s="1" customFormat="1" customHeight="1" spans="1:9">
      <c r="A5" s="8"/>
      <c r="B5" s="9" t="s">
        <v>526</v>
      </c>
      <c r="C5" s="9">
        <v>970</v>
      </c>
      <c r="D5" s="9">
        <v>1750</v>
      </c>
      <c r="E5" s="10">
        <f>(C5*D5+C6*D6)/2/1000000</f>
        <v>1.73</v>
      </c>
      <c r="F5" s="176" t="s">
        <v>550</v>
      </c>
      <c r="G5" s="51"/>
      <c r="H5" s="51"/>
      <c r="I5" s="51"/>
    </row>
    <row r="6" s="1" customFormat="1" customHeight="1" spans="1:9">
      <c r="A6" s="8"/>
      <c r="B6" s="9"/>
      <c r="C6" s="9">
        <v>1000</v>
      </c>
      <c r="D6" s="9">
        <v>1770</v>
      </c>
      <c r="E6" s="10"/>
      <c r="F6" s="176" t="s">
        <v>549</v>
      </c>
      <c r="G6" s="51"/>
      <c r="H6" s="51"/>
      <c r="I6" s="51"/>
    </row>
    <row r="7" s="1" customFormat="1" customHeight="1" spans="1:9">
      <c r="A7" s="8"/>
      <c r="B7" s="9" t="s">
        <v>510</v>
      </c>
      <c r="C7" s="9">
        <f>(870+55*2)</f>
        <v>980</v>
      </c>
      <c r="D7" s="9">
        <f>(1990+55)</f>
        <v>2045</v>
      </c>
      <c r="E7" s="10">
        <f>(C7*D7+C8*D8+C9*D9+C10*D10)/4/1000000</f>
        <v>2</v>
      </c>
      <c r="F7" s="176" t="s">
        <v>550</v>
      </c>
      <c r="G7" s="51"/>
      <c r="H7" s="51"/>
      <c r="I7" s="51"/>
    </row>
    <row r="8" s="1" customFormat="1" customHeight="1" spans="1:8">
      <c r="A8" s="8"/>
      <c r="B8" s="9"/>
      <c r="C8" s="9">
        <v>970</v>
      </c>
      <c r="D8" s="9">
        <v>2060</v>
      </c>
      <c r="E8" s="10"/>
      <c r="F8" s="176" t="s">
        <v>550</v>
      </c>
      <c r="G8" s="51"/>
      <c r="H8" s="51"/>
    </row>
    <row r="9" s="1" customFormat="1" customHeight="1" spans="1:8">
      <c r="A9" s="8"/>
      <c r="B9" s="9"/>
      <c r="C9" s="9">
        <f>(860+55*2)</f>
        <v>970</v>
      </c>
      <c r="D9" s="9">
        <f>(2000+55)</f>
        <v>2055</v>
      </c>
      <c r="E9" s="10"/>
      <c r="F9" s="176" t="s">
        <v>549</v>
      </c>
      <c r="G9" s="51"/>
      <c r="H9" s="51"/>
    </row>
    <row r="10" s="1" customFormat="1" customHeight="1" spans="1:8">
      <c r="A10" s="8"/>
      <c r="B10" s="9"/>
      <c r="C10" s="9">
        <v>970</v>
      </c>
      <c r="D10" s="9">
        <v>2060</v>
      </c>
      <c r="E10" s="10"/>
      <c r="F10" s="176" t="s">
        <v>549</v>
      </c>
      <c r="G10" s="51"/>
      <c r="H10" s="51"/>
    </row>
    <row r="11" s="1" customFormat="1" customHeight="1" spans="1:8">
      <c r="A11" s="8" t="s">
        <v>512</v>
      </c>
      <c r="B11" s="9" t="s">
        <v>537</v>
      </c>
      <c r="C11" s="9">
        <v>770</v>
      </c>
      <c r="D11" s="9">
        <v>1770</v>
      </c>
      <c r="E11" s="10">
        <f>(C11*D11+C12*D12+C13*D13+C14*D14+C15*D15+C16*D16)/6/1000000</f>
        <v>1.37</v>
      </c>
      <c r="F11" s="17" t="s">
        <v>6</v>
      </c>
      <c r="G11" s="51"/>
      <c r="H11" s="51"/>
    </row>
    <row r="12" s="1" customFormat="1" customHeight="1" spans="1:8">
      <c r="A12" s="8"/>
      <c r="B12" s="9"/>
      <c r="C12" s="9">
        <v>770</v>
      </c>
      <c r="D12" s="9">
        <v>1780</v>
      </c>
      <c r="E12" s="10"/>
      <c r="F12" s="17" t="s">
        <v>6</v>
      </c>
      <c r="G12" s="51"/>
      <c r="H12" s="51"/>
    </row>
    <row r="13" s="1" customFormat="1" customHeight="1" spans="1:8">
      <c r="A13" s="8"/>
      <c r="B13" s="9"/>
      <c r="C13" s="9">
        <v>780</v>
      </c>
      <c r="D13" s="9">
        <v>1760</v>
      </c>
      <c r="E13" s="10"/>
      <c r="F13" s="17" t="s">
        <v>7</v>
      </c>
      <c r="G13" s="51"/>
      <c r="H13" s="51"/>
    </row>
    <row r="14" s="1" customFormat="1" customHeight="1" spans="1:8">
      <c r="A14" s="8"/>
      <c r="B14" s="9"/>
      <c r="C14" s="9">
        <v>780</v>
      </c>
      <c r="D14" s="9">
        <v>1770</v>
      </c>
      <c r="E14" s="10"/>
      <c r="F14" s="17" t="s">
        <v>7</v>
      </c>
      <c r="G14" s="51"/>
      <c r="H14" s="51"/>
    </row>
    <row r="15" s="2" customFormat="1" customHeight="1" spans="1:8">
      <c r="A15" s="8"/>
      <c r="B15" s="9"/>
      <c r="C15" s="9">
        <v>780</v>
      </c>
      <c r="D15" s="9">
        <v>1780</v>
      </c>
      <c r="E15" s="10"/>
      <c r="F15" s="17" t="s">
        <v>8</v>
      </c>
      <c r="G15" s="51"/>
      <c r="H15" s="51"/>
    </row>
    <row r="16" s="2" customFormat="1" customHeight="1" spans="1:8">
      <c r="A16" s="8"/>
      <c r="B16" s="9"/>
      <c r="C16" s="9">
        <v>770</v>
      </c>
      <c r="D16" s="9">
        <v>1770</v>
      </c>
      <c r="E16" s="10"/>
      <c r="F16" s="17" t="s">
        <v>8</v>
      </c>
      <c r="G16" s="51"/>
      <c r="H16" s="51"/>
    </row>
    <row r="17" s="2" customFormat="1" customHeight="1" spans="1:8">
      <c r="A17" s="8"/>
      <c r="B17" s="9" t="s">
        <v>526</v>
      </c>
      <c r="C17" s="9">
        <v>990</v>
      </c>
      <c r="D17" s="9">
        <v>1750</v>
      </c>
      <c r="E17" s="10">
        <f>(C17*D17+C18*D18+C19*D19)/3/1000000</f>
        <v>1.73</v>
      </c>
      <c r="F17" s="17" t="s">
        <v>6</v>
      </c>
      <c r="G17" s="51"/>
      <c r="H17" s="51"/>
    </row>
    <row r="18" s="2" customFormat="1" customHeight="1" spans="1:8">
      <c r="A18" s="8"/>
      <c r="B18" s="9"/>
      <c r="C18" s="9">
        <v>970</v>
      </c>
      <c r="D18" s="9">
        <v>1770</v>
      </c>
      <c r="E18" s="10"/>
      <c r="F18" s="17" t="s">
        <v>7</v>
      </c>
      <c r="G18" s="51"/>
      <c r="H18" s="51"/>
    </row>
    <row r="19" s="2" customFormat="1" customHeight="1" spans="1:8">
      <c r="A19" s="8"/>
      <c r="B19" s="9"/>
      <c r="C19" s="9">
        <v>980</v>
      </c>
      <c r="D19" s="9">
        <v>1780</v>
      </c>
      <c r="E19" s="10"/>
      <c r="F19" s="17" t="s">
        <v>8</v>
      </c>
      <c r="G19" s="51"/>
      <c r="H19" s="51"/>
    </row>
    <row r="20" s="2" customFormat="1" customHeight="1" spans="1:8">
      <c r="A20" s="8"/>
      <c r="B20" s="9" t="s">
        <v>513</v>
      </c>
      <c r="C20" s="9">
        <v>1170</v>
      </c>
      <c r="D20" s="9">
        <v>2100</v>
      </c>
      <c r="E20" s="10">
        <f>C20*D20/1000000</f>
        <v>2.46</v>
      </c>
      <c r="F20" s="17" t="s">
        <v>552</v>
      </c>
      <c r="G20" s="51"/>
      <c r="H20" s="51"/>
    </row>
    <row r="21" s="2" customFormat="1" customHeight="1" spans="1:8">
      <c r="A21" s="8"/>
      <c r="B21" s="9" t="s">
        <v>510</v>
      </c>
      <c r="C21" s="9">
        <v>960</v>
      </c>
      <c r="D21" s="9">
        <v>2080</v>
      </c>
      <c r="E21" s="10">
        <f>(C21*D21+C22*D22+C23*D23+C24*D24+C25*D25+C26*D26+C27*D27+C28*D28+C29*D29)/9/1000000</f>
        <v>2</v>
      </c>
      <c r="F21" s="17" t="s">
        <v>6</v>
      </c>
      <c r="G21" s="51"/>
      <c r="H21" s="51"/>
    </row>
    <row r="22" s="2" customFormat="1" customHeight="1" spans="1:8">
      <c r="A22" s="8"/>
      <c r="B22" s="9"/>
      <c r="C22" s="9">
        <f>(880+55*2)</f>
        <v>990</v>
      </c>
      <c r="D22" s="9">
        <f>2000+55</f>
        <v>2055</v>
      </c>
      <c r="E22" s="10"/>
      <c r="F22" s="17" t="s">
        <v>6</v>
      </c>
      <c r="G22" s="51"/>
      <c r="H22" s="51"/>
    </row>
    <row r="23" s="2" customFormat="1" customHeight="1" spans="1:8">
      <c r="A23" s="8"/>
      <c r="B23" s="9"/>
      <c r="C23" s="9">
        <v>970</v>
      </c>
      <c r="D23" s="9">
        <v>2080</v>
      </c>
      <c r="E23" s="10"/>
      <c r="F23" s="17" t="s">
        <v>6</v>
      </c>
      <c r="G23" s="51"/>
      <c r="H23" s="51"/>
    </row>
    <row r="24" s="2" customFormat="1" customHeight="1" spans="1:8">
      <c r="A24" s="8"/>
      <c r="B24" s="9"/>
      <c r="C24" s="9">
        <f>(850+55*2)</f>
        <v>960</v>
      </c>
      <c r="D24" s="9">
        <f t="shared" ref="D24:D28" si="0">2010+55</f>
        <v>2065</v>
      </c>
      <c r="E24" s="10"/>
      <c r="F24" s="17" t="s">
        <v>7</v>
      </c>
      <c r="G24" s="51"/>
      <c r="H24" s="51"/>
    </row>
    <row r="25" s="2" customFormat="1" customHeight="1" spans="1:8">
      <c r="A25" s="8"/>
      <c r="B25" s="9"/>
      <c r="C25" s="9">
        <f>(855+55*2)</f>
        <v>965</v>
      </c>
      <c r="D25" s="9">
        <f t="shared" si="0"/>
        <v>2065</v>
      </c>
      <c r="E25" s="10"/>
      <c r="F25" s="17" t="s">
        <v>7</v>
      </c>
      <c r="G25" s="51"/>
      <c r="H25" s="51"/>
    </row>
    <row r="26" s="2" customFormat="1" customHeight="1" spans="1:8">
      <c r="A26" s="8"/>
      <c r="B26" s="9"/>
      <c r="C26" s="9">
        <v>970</v>
      </c>
      <c r="D26" s="9">
        <v>2070</v>
      </c>
      <c r="E26" s="10"/>
      <c r="F26" s="17" t="s">
        <v>7</v>
      </c>
      <c r="G26" s="51"/>
      <c r="H26" s="51"/>
    </row>
    <row r="27" s="2" customFormat="1" customHeight="1" spans="1:8">
      <c r="A27" s="8"/>
      <c r="B27" s="9"/>
      <c r="C27" s="9">
        <f>850+55*2</f>
        <v>960</v>
      </c>
      <c r="D27" s="9">
        <f t="shared" si="0"/>
        <v>2065</v>
      </c>
      <c r="E27" s="10"/>
      <c r="F27" s="17" t="s">
        <v>8</v>
      </c>
      <c r="G27" s="51"/>
      <c r="H27" s="51"/>
    </row>
    <row r="28" s="2" customFormat="1" customHeight="1" spans="1:8">
      <c r="A28" s="8"/>
      <c r="B28" s="9"/>
      <c r="C28" s="9">
        <f>(850+55*2)</f>
        <v>960</v>
      </c>
      <c r="D28" s="9">
        <f t="shared" si="0"/>
        <v>2065</v>
      </c>
      <c r="E28" s="10"/>
      <c r="F28" s="17" t="s">
        <v>8</v>
      </c>
      <c r="G28" s="51"/>
      <c r="H28" s="51"/>
    </row>
    <row r="29" s="2" customFormat="1" customHeight="1" spans="1:8">
      <c r="A29" s="8"/>
      <c r="B29" s="9"/>
      <c r="C29" s="9">
        <v>975</v>
      </c>
      <c r="D29" s="9">
        <v>2070</v>
      </c>
      <c r="E29" s="10"/>
      <c r="F29" s="17" t="s">
        <v>8</v>
      </c>
      <c r="G29" s="51"/>
      <c r="H29" s="51"/>
    </row>
    <row r="30" s="2" customFormat="1" customHeight="1" spans="1:8">
      <c r="A30" s="8"/>
      <c r="B30" s="9" t="s">
        <v>511</v>
      </c>
      <c r="C30" s="9">
        <f>1000+55*2</f>
        <v>1110</v>
      </c>
      <c r="D30" s="9">
        <f>2000+55</f>
        <v>2055</v>
      </c>
      <c r="E30" s="10">
        <f>(C30*D30+C31*D31+C32*D32)/3/1000000</f>
        <v>2.36</v>
      </c>
      <c r="F30" s="17" t="s">
        <v>6</v>
      </c>
      <c r="G30" s="51"/>
      <c r="H30" s="51"/>
    </row>
    <row r="31" s="2" customFormat="1" customHeight="1" spans="1:8">
      <c r="A31" s="8"/>
      <c r="B31" s="9"/>
      <c r="C31" s="9">
        <f>1050+55*2</f>
        <v>1160</v>
      </c>
      <c r="D31" s="9">
        <f>2020+55</f>
        <v>2075</v>
      </c>
      <c r="E31" s="10"/>
      <c r="F31" s="17" t="s">
        <v>7</v>
      </c>
      <c r="G31" s="51"/>
      <c r="H31" s="51"/>
    </row>
    <row r="32" s="2" customFormat="1" customHeight="1" spans="1:8">
      <c r="A32" s="18"/>
      <c r="B32" s="19"/>
      <c r="C32" s="19">
        <f>1055+55*2</f>
        <v>1165</v>
      </c>
      <c r="D32" s="19">
        <f>2010+55</f>
        <v>2065</v>
      </c>
      <c r="E32" s="20"/>
      <c r="F32" s="21" t="s">
        <v>8</v>
      </c>
      <c r="G32" s="51"/>
      <c r="H32" s="51"/>
    </row>
    <row r="33" s="2" customFormat="1" customHeight="1" spans="1:8">
      <c r="A33" s="51"/>
      <c r="B33" s="51"/>
      <c r="C33" s="51"/>
      <c r="D33" s="51"/>
      <c r="E33" s="52"/>
      <c r="F33" s="51"/>
      <c r="G33" s="51"/>
      <c r="H33" s="51"/>
    </row>
    <row r="34" s="2" customFormat="1" customHeight="1" spans="1:8">
      <c r="A34" s="51"/>
      <c r="B34" s="51"/>
      <c r="C34" s="51"/>
      <c r="D34" s="51"/>
      <c r="E34" s="52"/>
      <c r="F34" s="51"/>
      <c r="G34" s="51"/>
      <c r="H34" s="51"/>
    </row>
  </sheetData>
  <mergeCells count="17">
    <mergeCell ref="A1:F1"/>
    <mergeCell ref="A3:A10"/>
    <mergeCell ref="A11:A32"/>
    <mergeCell ref="B3:B4"/>
    <mergeCell ref="B5:B6"/>
    <mergeCell ref="B7:B10"/>
    <mergeCell ref="B11:B16"/>
    <mergeCell ref="B17:B19"/>
    <mergeCell ref="B21:B29"/>
    <mergeCell ref="B30:B32"/>
    <mergeCell ref="E3:E4"/>
    <mergeCell ref="E5:E6"/>
    <mergeCell ref="E7:E10"/>
    <mergeCell ref="E11:E16"/>
    <mergeCell ref="E17:E19"/>
    <mergeCell ref="E21:E29"/>
    <mergeCell ref="E30:E32"/>
  </mergeCells>
  <printOptions horizontalCentered="1"/>
  <pageMargins left="0.747916666666667" right="0.747916666666667" top="0.314583333333333" bottom="0.984027777777778" header="0.275" footer="0.511805555555556"/>
  <pageSetup paperSize="9" scale="91" orientation="portrait" horizontalDpi="6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32"/>
  <sheetViews>
    <sheetView workbookViewId="0">
      <pane ySplit="1" topLeftCell="A2" activePane="bottomLeft" state="frozen"/>
      <selection/>
      <selection pane="bottomLeft" activeCell="A1" sqref="A1:F8"/>
    </sheetView>
  </sheetViews>
  <sheetFormatPr defaultColWidth="12.625" defaultRowHeight="25" customHeight="1"/>
  <cols>
    <col min="1" max="1" width="10.25" style="2" customWidth="1"/>
    <col min="2" max="5" width="12.625" style="2" customWidth="1"/>
    <col min="6" max="6" width="12.625" style="42" customWidth="1"/>
    <col min="7" max="16383" width="12.625" style="2" customWidth="1"/>
    <col min="16384" max="16384" width="12.625" style="2"/>
  </cols>
  <sheetData>
    <row r="1" s="1" customFormat="1" customHeight="1" spans="1:7">
      <c r="A1" s="43" t="s">
        <v>557</v>
      </c>
      <c r="B1" s="43"/>
      <c r="C1" s="43"/>
      <c r="D1" s="43"/>
      <c r="E1" s="43"/>
      <c r="F1" s="44"/>
      <c r="G1" s="45"/>
    </row>
    <row r="2" s="1" customFormat="1" customHeight="1" spans="1:7">
      <c r="A2" s="46" t="s">
        <v>504</v>
      </c>
      <c r="B2" s="46" t="s">
        <v>370</v>
      </c>
      <c r="C2" s="46" t="s">
        <v>558</v>
      </c>
      <c r="D2" s="46" t="s">
        <v>559</v>
      </c>
      <c r="E2" s="46" t="s">
        <v>505</v>
      </c>
      <c r="F2" s="47" t="s">
        <v>507</v>
      </c>
      <c r="G2" s="22"/>
    </row>
    <row r="3" s="1" customFormat="1" customHeight="1" spans="1:7">
      <c r="A3" s="48" t="s">
        <v>560</v>
      </c>
      <c r="B3" s="9" t="s">
        <v>561</v>
      </c>
      <c r="C3" s="9">
        <v>980</v>
      </c>
      <c r="D3" s="9">
        <v>2085</v>
      </c>
      <c r="E3" s="9">
        <v>6</v>
      </c>
      <c r="F3" s="10">
        <f>C3*D3*E3/1000000</f>
        <v>12.26</v>
      </c>
      <c r="G3" s="22"/>
    </row>
    <row r="4" s="1" customFormat="1" customHeight="1" spans="1:7">
      <c r="A4" s="49"/>
      <c r="B4" s="9" t="s">
        <v>562</v>
      </c>
      <c r="C4" s="9">
        <v>1450</v>
      </c>
      <c r="D4" s="9">
        <v>2085</v>
      </c>
      <c r="E4" s="9">
        <v>1</v>
      </c>
      <c r="F4" s="10">
        <f>C4*D4*E4/1000000</f>
        <v>3.02</v>
      </c>
      <c r="G4" s="22"/>
    </row>
    <row r="5" s="1" customFormat="1" customHeight="1" spans="1:7">
      <c r="A5" s="50"/>
      <c r="B5" s="9" t="s">
        <v>510</v>
      </c>
      <c r="C5" s="9">
        <v>970</v>
      </c>
      <c r="D5" s="9">
        <v>2085</v>
      </c>
      <c r="E5" s="9">
        <v>4</v>
      </c>
      <c r="F5" s="10">
        <f>C5*D5*E5/1000000</f>
        <v>8.09</v>
      </c>
      <c r="G5" s="22"/>
    </row>
    <row r="6" s="1" customFormat="1" customHeight="1" spans="1:8">
      <c r="A6" s="9" t="s">
        <v>563</v>
      </c>
      <c r="B6" s="9" t="s">
        <v>564</v>
      </c>
      <c r="C6" s="9">
        <v>1780</v>
      </c>
      <c r="D6" s="9">
        <v>2700</v>
      </c>
      <c r="E6" s="9">
        <v>1</v>
      </c>
      <c r="F6" s="10">
        <f>C6*D6*E6/1000000</f>
        <v>4.81</v>
      </c>
      <c r="G6" s="22"/>
      <c r="H6" s="16"/>
    </row>
    <row r="7" s="1" customFormat="1" customHeight="1" spans="1:7">
      <c r="A7" s="9"/>
      <c r="B7" s="9" t="s">
        <v>547</v>
      </c>
      <c r="C7" s="9">
        <v>990</v>
      </c>
      <c r="D7" s="9">
        <v>2090</v>
      </c>
      <c r="E7" s="9">
        <v>1</v>
      </c>
      <c r="F7" s="10">
        <f>C7*D7*E7/1000000</f>
        <v>2.07</v>
      </c>
      <c r="G7" s="22"/>
    </row>
    <row r="8" s="1" customFormat="1" customHeight="1" spans="1:7">
      <c r="A8" s="46" t="s">
        <v>484</v>
      </c>
      <c r="B8" s="46"/>
      <c r="C8" s="46"/>
      <c r="D8" s="46"/>
      <c r="E8" s="46">
        <f>SUM(E3:E7)</f>
        <v>13</v>
      </c>
      <c r="F8" s="47">
        <f>SUM(F3:F7)</f>
        <v>30.25</v>
      </c>
      <c r="G8" s="22"/>
    </row>
    <row r="9" s="1" customFormat="1" customHeight="1" spans="1:7">
      <c r="A9" s="22"/>
      <c r="B9" s="22"/>
      <c r="C9" s="22"/>
      <c r="D9" s="22"/>
      <c r="E9" s="22"/>
      <c r="F9" s="23"/>
      <c r="G9" s="22"/>
    </row>
    <row r="10" s="1" customFormat="1" customHeight="1" spans="1:7">
      <c r="A10" s="22"/>
      <c r="B10" s="22"/>
      <c r="C10" s="22"/>
      <c r="D10" s="22"/>
      <c r="E10" s="22"/>
      <c r="F10" s="23"/>
      <c r="G10" s="22"/>
    </row>
    <row r="11" s="1" customFormat="1" customHeight="1" spans="1:9">
      <c r="A11" s="22"/>
      <c r="B11" s="22"/>
      <c r="C11" s="22"/>
      <c r="D11" s="22"/>
      <c r="E11" s="22"/>
      <c r="F11" s="23"/>
      <c r="G11" s="22"/>
      <c r="I11" s="2"/>
    </row>
    <row r="12" s="1" customFormat="1" customHeight="1" spans="1:7">
      <c r="A12" s="22"/>
      <c r="B12" s="22"/>
      <c r="C12" s="22"/>
      <c r="D12" s="22"/>
      <c r="E12" s="22"/>
      <c r="F12" s="23"/>
      <c r="G12" s="22"/>
    </row>
    <row r="13" s="2" customFormat="1" customHeight="1" spans="1:7">
      <c r="A13" s="22"/>
      <c r="B13" s="22"/>
      <c r="C13" s="22"/>
      <c r="D13" s="22"/>
      <c r="E13" s="22"/>
      <c r="F13" s="23"/>
      <c r="G13" s="22"/>
    </row>
    <row r="14" s="2" customFormat="1" customHeight="1" spans="1:7">
      <c r="A14" s="22"/>
      <c r="B14" s="22"/>
      <c r="C14" s="22"/>
      <c r="D14" s="22"/>
      <c r="E14" s="22"/>
      <c r="F14" s="23"/>
      <c r="G14" s="22"/>
    </row>
    <row r="15" s="2" customFormat="1" customHeight="1" spans="1:7">
      <c r="A15" s="22"/>
      <c r="B15" s="22"/>
      <c r="C15" s="22"/>
      <c r="D15" s="22"/>
      <c r="E15" s="22"/>
      <c r="F15" s="23"/>
      <c r="G15" s="22"/>
    </row>
    <row r="16" s="2" customFormat="1" customHeight="1" spans="1:7">
      <c r="A16" s="22"/>
      <c r="B16" s="22"/>
      <c r="C16" s="22"/>
      <c r="D16" s="22"/>
      <c r="E16" s="22"/>
      <c r="F16" s="23"/>
      <c r="G16" s="22"/>
    </row>
    <row r="17" s="2" customFormat="1" customHeight="1" spans="1:7">
      <c r="A17" s="22"/>
      <c r="B17" s="22"/>
      <c r="C17" s="22"/>
      <c r="D17" s="22"/>
      <c r="E17" s="22"/>
      <c r="F17" s="23"/>
      <c r="G17" s="22"/>
    </row>
    <row r="18" s="2" customFormat="1" customHeight="1" spans="1:7">
      <c r="A18" s="22"/>
      <c r="B18" s="22"/>
      <c r="C18" s="22"/>
      <c r="D18" s="22"/>
      <c r="E18" s="22"/>
      <c r="F18" s="23"/>
      <c r="G18" s="22"/>
    </row>
    <row r="19" s="2" customFormat="1" customHeight="1" spans="1:7">
      <c r="A19" s="22"/>
      <c r="B19" s="22"/>
      <c r="C19" s="22"/>
      <c r="D19" s="22"/>
      <c r="E19" s="22"/>
      <c r="F19" s="23"/>
      <c r="G19" s="22"/>
    </row>
    <row r="20" s="2" customFormat="1" customHeight="1" spans="1:7">
      <c r="A20" s="22"/>
      <c r="B20" s="22"/>
      <c r="C20" s="22"/>
      <c r="D20" s="22"/>
      <c r="E20" s="22"/>
      <c r="F20" s="23"/>
      <c r="G20" s="22"/>
    </row>
    <row r="21" s="2" customFormat="1" customHeight="1" spans="1:7">
      <c r="A21" s="22"/>
      <c r="B21" s="22"/>
      <c r="C21" s="22"/>
      <c r="D21" s="22"/>
      <c r="E21" s="22"/>
      <c r="F21" s="23"/>
      <c r="G21" s="22"/>
    </row>
    <row r="22" s="2" customFormat="1" customHeight="1" spans="1:7">
      <c r="A22" s="22"/>
      <c r="B22" s="22"/>
      <c r="C22" s="22"/>
      <c r="D22" s="22"/>
      <c r="E22" s="22"/>
      <c r="F22" s="23"/>
      <c r="G22" s="22"/>
    </row>
    <row r="23" s="2" customFormat="1" customHeight="1" spans="1:7">
      <c r="A23" s="22"/>
      <c r="B23" s="22"/>
      <c r="C23" s="22"/>
      <c r="D23" s="22"/>
      <c r="E23" s="22"/>
      <c r="F23" s="23"/>
      <c r="G23" s="22"/>
    </row>
    <row r="24" s="2" customFormat="1" customHeight="1" spans="1:7">
      <c r="A24" s="22"/>
      <c r="B24" s="22"/>
      <c r="C24" s="22"/>
      <c r="D24" s="22"/>
      <c r="E24" s="22"/>
      <c r="F24" s="23"/>
      <c r="G24" s="22"/>
    </row>
    <row r="25" s="2" customFormat="1" customHeight="1" spans="1:7">
      <c r="A25" s="22"/>
      <c r="B25" s="22"/>
      <c r="C25" s="22"/>
      <c r="D25" s="22"/>
      <c r="E25" s="22"/>
      <c r="F25" s="23"/>
      <c r="G25" s="22"/>
    </row>
    <row r="26" s="2" customFormat="1" customHeight="1" spans="1:7">
      <c r="A26" s="22"/>
      <c r="B26" s="22"/>
      <c r="C26" s="22"/>
      <c r="D26" s="22"/>
      <c r="E26" s="22"/>
      <c r="F26" s="23"/>
      <c r="G26" s="22"/>
    </row>
    <row r="27" s="2" customFormat="1" customHeight="1" spans="1:7">
      <c r="A27" s="22"/>
      <c r="B27" s="22"/>
      <c r="C27" s="22"/>
      <c r="D27" s="22"/>
      <c r="E27" s="22"/>
      <c r="F27" s="23"/>
      <c r="G27" s="22"/>
    </row>
    <row r="28" s="2" customFormat="1" customHeight="1" spans="1:7">
      <c r="A28" s="22"/>
      <c r="B28" s="22"/>
      <c r="C28" s="22"/>
      <c r="D28" s="22"/>
      <c r="E28" s="22"/>
      <c r="F28" s="23"/>
      <c r="G28" s="22"/>
    </row>
    <row r="29" s="2" customFormat="1" customHeight="1" spans="1:7">
      <c r="A29" s="22"/>
      <c r="B29" s="22"/>
      <c r="C29" s="22"/>
      <c r="D29" s="22"/>
      <c r="E29" s="22"/>
      <c r="F29" s="23"/>
      <c r="G29" s="22"/>
    </row>
    <row r="30" s="2" customFormat="1" customHeight="1" spans="1:7">
      <c r="A30" s="22"/>
      <c r="B30" s="22"/>
      <c r="C30" s="22"/>
      <c r="D30" s="22"/>
      <c r="E30" s="22"/>
      <c r="F30" s="23"/>
      <c r="G30" s="22"/>
    </row>
    <row r="31" s="2" customFormat="1" customHeight="1" spans="1:7">
      <c r="A31" s="22"/>
      <c r="B31" s="22"/>
      <c r="C31" s="22"/>
      <c r="D31" s="22"/>
      <c r="E31" s="22"/>
      <c r="F31" s="23"/>
      <c r="G31" s="22"/>
    </row>
    <row r="32" s="2" customFormat="1" customHeight="1" spans="1:7">
      <c r="A32" s="22"/>
      <c r="B32" s="22"/>
      <c r="C32" s="22"/>
      <c r="D32" s="22"/>
      <c r="E32" s="22"/>
      <c r="F32" s="23"/>
      <c r="G32" s="22"/>
    </row>
  </sheetData>
  <mergeCells count="3">
    <mergeCell ref="A1:F1"/>
    <mergeCell ref="A3:A5"/>
    <mergeCell ref="A6:A7"/>
  </mergeCells>
  <printOptions horizontalCentered="1"/>
  <pageMargins left="0.747916666666667" right="0.747916666666667" top="0.984027777777778" bottom="0.984027777777778" header="0.511805555555556" footer="0.511805555555556"/>
  <pageSetup paperSize="9" scale="91" orientation="portrait" horizontalDpi="6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182"/>
  <sheetViews>
    <sheetView workbookViewId="0">
      <pane ySplit="1" topLeftCell="A104" activePane="bottomLeft" state="frozen"/>
      <selection/>
      <selection pane="bottomLeft" activeCell="J29" sqref="J29"/>
    </sheetView>
  </sheetViews>
  <sheetFormatPr defaultColWidth="12.625" defaultRowHeight="25" customHeight="1" outlineLevelCol="4"/>
  <cols>
    <col min="1" max="1" width="13.1833333333333" style="27" customWidth="1"/>
    <col min="2" max="2" width="14" style="26" customWidth="1"/>
    <col min="3" max="3" width="15.25" style="26" customWidth="1"/>
    <col min="4" max="4" width="14.75" style="28" customWidth="1"/>
    <col min="5" max="5" width="20.875" style="29" customWidth="1"/>
    <col min="6" max="16378" width="12.625" style="26" customWidth="1"/>
    <col min="16379" max="16383" width="12.625" style="27" customWidth="1"/>
    <col min="16384" max="16384" width="12.625" style="27"/>
  </cols>
  <sheetData>
    <row r="1" s="24" customFormat="1" customHeight="1" spans="1:5">
      <c r="A1" s="30" t="s">
        <v>565</v>
      </c>
      <c r="B1" s="31"/>
      <c r="C1" s="31"/>
      <c r="D1" s="31"/>
      <c r="E1" s="32"/>
    </row>
    <row r="2" s="24" customFormat="1" customHeight="1" spans="1:5">
      <c r="A2" s="33" t="s">
        <v>504</v>
      </c>
      <c r="B2" s="34" t="s">
        <v>558</v>
      </c>
      <c r="C2" s="34" t="s">
        <v>559</v>
      </c>
      <c r="D2" s="35" t="s">
        <v>505</v>
      </c>
      <c r="E2" s="36" t="s">
        <v>489</v>
      </c>
    </row>
    <row r="3" s="24" customFormat="1" ht="11" customHeight="1" spans="1:5">
      <c r="A3" s="177" t="s">
        <v>566</v>
      </c>
      <c r="B3" s="38">
        <v>960</v>
      </c>
      <c r="C3" s="38">
        <v>2050</v>
      </c>
      <c r="D3" s="38">
        <v>1</v>
      </c>
      <c r="E3" s="39">
        <f t="shared" ref="E3:E18" si="0">B3*C3*D3/1000000</f>
        <v>1.97</v>
      </c>
    </row>
    <row r="4" s="24" customFormat="1" ht="11" customHeight="1" spans="1:5">
      <c r="A4" s="37"/>
      <c r="B4" s="38">
        <v>990</v>
      </c>
      <c r="C4" s="38">
        <v>2090</v>
      </c>
      <c r="D4" s="38">
        <v>1</v>
      </c>
      <c r="E4" s="39">
        <f t="shared" si="0"/>
        <v>2.07</v>
      </c>
    </row>
    <row r="5" s="24" customFormat="1" ht="11" customHeight="1" spans="1:5">
      <c r="A5" s="37"/>
      <c r="B5" s="38">
        <v>1260</v>
      </c>
      <c r="C5" s="38">
        <v>2105</v>
      </c>
      <c r="D5" s="38">
        <v>1</v>
      </c>
      <c r="E5" s="39">
        <f t="shared" si="0"/>
        <v>2.65</v>
      </c>
    </row>
    <row r="6" s="24" customFormat="1" ht="11" customHeight="1" spans="1:5">
      <c r="A6" s="37"/>
      <c r="B6" s="38">
        <v>1470</v>
      </c>
      <c r="C6" s="38">
        <v>2100</v>
      </c>
      <c r="D6" s="38">
        <f>1</f>
        <v>1</v>
      </c>
      <c r="E6" s="39">
        <f t="shared" si="0"/>
        <v>3.09</v>
      </c>
    </row>
    <row r="7" s="24" customFormat="1" ht="11" customHeight="1" spans="1:5">
      <c r="A7" s="37"/>
      <c r="B7" s="38">
        <v>1770</v>
      </c>
      <c r="C7" s="38">
        <v>2110</v>
      </c>
      <c r="D7" s="38">
        <v>1</v>
      </c>
      <c r="E7" s="39">
        <f t="shared" si="0"/>
        <v>3.73</v>
      </c>
    </row>
    <row r="8" s="24" customFormat="1" ht="11" customHeight="1" spans="1:5">
      <c r="A8" s="37"/>
      <c r="B8" s="38">
        <f>1670*0+1160</f>
        <v>1160</v>
      </c>
      <c r="C8" s="38">
        <v>2130</v>
      </c>
      <c r="D8" s="38">
        <v>1</v>
      </c>
      <c r="E8" s="39">
        <f t="shared" si="0"/>
        <v>2.47</v>
      </c>
    </row>
    <row r="9" s="24" customFormat="1" ht="11" customHeight="1" spans="1:5">
      <c r="A9" s="37"/>
      <c r="B9" s="38">
        <v>1470</v>
      </c>
      <c r="C9" s="38">
        <v>2080</v>
      </c>
      <c r="D9" s="38">
        <v>1</v>
      </c>
      <c r="E9" s="39">
        <f t="shared" si="0"/>
        <v>3.06</v>
      </c>
    </row>
    <row r="10" s="24" customFormat="1" ht="11" customHeight="1" spans="1:5">
      <c r="A10" s="37"/>
      <c r="B10" s="38">
        <v>1770</v>
      </c>
      <c r="C10" s="38">
        <v>2080</v>
      </c>
      <c r="D10" s="38">
        <f t="shared" ref="D10:D13" si="1">1</f>
        <v>1</v>
      </c>
      <c r="E10" s="39">
        <f t="shared" si="0"/>
        <v>3.68</v>
      </c>
    </row>
    <row r="11" s="24" customFormat="1" ht="11" customHeight="1" spans="1:5">
      <c r="A11" s="37"/>
      <c r="B11" s="38">
        <v>1000</v>
      </c>
      <c r="C11" s="38">
        <v>2115</v>
      </c>
      <c r="D11" s="38">
        <v>1</v>
      </c>
      <c r="E11" s="39">
        <f t="shared" si="0"/>
        <v>2.12</v>
      </c>
    </row>
    <row r="12" s="24" customFormat="1" ht="11" customHeight="1" spans="1:5">
      <c r="A12" s="37"/>
      <c r="B12" s="38">
        <v>970</v>
      </c>
      <c r="C12" s="38">
        <v>2090</v>
      </c>
      <c r="D12" s="38">
        <f t="shared" si="1"/>
        <v>1</v>
      </c>
      <c r="E12" s="39">
        <f t="shared" si="0"/>
        <v>2.03</v>
      </c>
    </row>
    <row r="13" s="25" customFormat="1" ht="11" customHeight="1" spans="1:5">
      <c r="A13" s="37"/>
      <c r="B13" s="38">
        <v>1760</v>
      </c>
      <c r="C13" s="38">
        <v>2580</v>
      </c>
      <c r="D13" s="38">
        <f t="shared" si="1"/>
        <v>1</v>
      </c>
      <c r="E13" s="39">
        <f t="shared" si="0"/>
        <v>4.54</v>
      </c>
    </row>
    <row r="14" s="25" customFormat="1" ht="11" customHeight="1" spans="1:5">
      <c r="A14" s="37"/>
      <c r="B14" s="38">
        <v>1000</v>
      </c>
      <c r="C14" s="38">
        <v>2150</v>
      </c>
      <c r="D14" s="38">
        <v>1</v>
      </c>
      <c r="E14" s="39">
        <f t="shared" si="0"/>
        <v>2.15</v>
      </c>
    </row>
    <row r="15" s="25" customFormat="1" ht="11" customHeight="1" spans="1:5">
      <c r="A15" s="37"/>
      <c r="B15" s="38">
        <f>1670*0+970</f>
        <v>970</v>
      </c>
      <c r="C15" s="38">
        <f>2100*0+2070</f>
        <v>2070</v>
      </c>
      <c r="D15" s="38">
        <v>1</v>
      </c>
      <c r="E15" s="39">
        <f t="shared" si="0"/>
        <v>2.01</v>
      </c>
    </row>
    <row r="16" s="25" customFormat="1" ht="11" customHeight="1" spans="1:5">
      <c r="A16" s="37"/>
      <c r="B16" s="38">
        <v>1480</v>
      </c>
      <c r="C16" s="38">
        <v>2080</v>
      </c>
      <c r="D16" s="38">
        <v>1</v>
      </c>
      <c r="E16" s="39">
        <f t="shared" si="0"/>
        <v>3.08</v>
      </c>
    </row>
    <row r="17" s="25" customFormat="1" ht="11" customHeight="1" spans="1:5">
      <c r="A17" s="37"/>
      <c r="B17" s="38">
        <v>960</v>
      </c>
      <c r="C17" s="38">
        <v>2080</v>
      </c>
      <c r="D17" s="38">
        <v>1</v>
      </c>
      <c r="E17" s="39">
        <f t="shared" si="0"/>
        <v>2</v>
      </c>
    </row>
    <row r="18" s="25" customFormat="1" ht="11" customHeight="1" spans="1:5">
      <c r="A18" s="37"/>
      <c r="B18" s="38">
        <v>795</v>
      </c>
      <c r="C18" s="38">
        <v>2060</v>
      </c>
      <c r="D18" s="38">
        <v>1</v>
      </c>
      <c r="E18" s="39">
        <f t="shared" si="0"/>
        <v>1.64</v>
      </c>
    </row>
    <row r="19" s="25" customFormat="1" ht="11" customHeight="1" spans="1:5">
      <c r="A19" s="37"/>
      <c r="B19" s="38">
        <v>980</v>
      </c>
      <c r="C19" s="38">
        <v>2100</v>
      </c>
      <c r="D19" s="38">
        <v>1</v>
      </c>
      <c r="E19" s="39">
        <f t="shared" ref="E19:E62" si="2">B19*C19*D19/1000000</f>
        <v>2.06</v>
      </c>
    </row>
    <row r="20" s="25" customFormat="1" ht="11" customHeight="1" spans="1:5">
      <c r="A20" s="37"/>
      <c r="B20" s="38">
        <v>1480</v>
      </c>
      <c r="C20" s="38">
        <v>2100</v>
      </c>
      <c r="D20" s="38">
        <v>1</v>
      </c>
      <c r="E20" s="39">
        <f t="shared" si="2"/>
        <v>3.11</v>
      </c>
    </row>
    <row r="21" s="25" customFormat="1" ht="11" customHeight="1" spans="1:5">
      <c r="A21" s="37"/>
      <c r="B21" s="38">
        <v>960</v>
      </c>
      <c r="C21" s="38">
        <v>2090</v>
      </c>
      <c r="D21" s="38">
        <f>1</f>
        <v>1</v>
      </c>
      <c r="E21" s="39">
        <f t="shared" si="2"/>
        <v>2.01</v>
      </c>
    </row>
    <row r="22" s="25" customFormat="1" ht="11" customHeight="1" spans="1:5">
      <c r="A22" s="37"/>
      <c r="B22" s="38">
        <v>1000</v>
      </c>
      <c r="C22" s="38">
        <v>2150</v>
      </c>
      <c r="D22" s="38">
        <v>1</v>
      </c>
      <c r="E22" s="39">
        <f t="shared" si="2"/>
        <v>2.15</v>
      </c>
    </row>
    <row r="23" s="25" customFormat="1" ht="11" customHeight="1" spans="1:5">
      <c r="A23" s="37"/>
      <c r="B23" s="38">
        <v>950</v>
      </c>
      <c r="C23" s="38">
        <f>2295*0+2080</f>
        <v>2080</v>
      </c>
      <c r="D23" s="38">
        <v>1</v>
      </c>
      <c r="E23" s="39">
        <f t="shared" si="2"/>
        <v>1.98</v>
      </c>
    </row>
    <row r="24" s="25" customFormat="1" ht="11" customHeight="1" spans="1:5">
      <c r="A24" s="37"/>
      <c r="B24" s="38">
        <v>1170</v>
      </c>
      <c r="C24" s="38">
        <v>2090</v>
      </c>
      <c r="D24" s="38">
        <v>1</v>
      </c>
      <c r="E24" s="39">
        <f t="shared" si="2"/>
        <v>2.45</v>
      </c>
    </row>
    <row r="25" s="25" customFormat="1" ht="11" customHeight="1" spans="1:5">
      <c r="A25" s="37"/>
      <c r="B25" s="38">
        <v>970</v>
      </c>
      <c r="C25" s="38">
        <f>2100*0+2080</f>
        <v>2080</v>
      </c>
      <c r="D25" s="38">
        <v>1</v>
      </c>
      <c r="E25" s="39">
        <f t="shared" si="2"/>
        <v>2.02</v>
      </c>
    </row>
    <row r="26" s="25" customFormat="1" ht="11" customHeight="1" spans="1:5">
      <c r="A26" s="37"/>
      <c r="B26" s="38">
        <v>970</v>
      </c>
      <c r="C26" s="38">
        <f>2090*0+2080</f>
        <v>2080</v>
      </c>
      <c r="D26" s="38">
        <v>1</v>
      </c>
      <c r="E26" s="39">
        <f t="shared" si="2"/>
        <v>2.02</v>
      </c>
    </row>
    <row r="27" s="25" customFormat="1" ht="11" customHeight="1" spans="1:5">
      <c r="A27" s="37"/>
      <c r="B27" s="38">
        <v>1170</v>
      </c>
      <c r="C27" s="38">
        <v>2090</v>
      </c>
      <c r="D27" s="38">
        <v>1</v>
      </c>
      <c r="E27" s="39">
        <f t="shared" si="2"/>
        <v>2.45</v>
      </c>
    </row>
    <row r="28" s="25" customFormat="1" ht="11" customHeight="1" spans="1:5">
      <c r="A28" s="37"/>
      <c r="B28" s="38">
        <v>1470</v>
      </c>
      <c r="C28" s="38">
        <f>2100-30</f>
        <v>2070</v>
      </c>
      <c r="D28" s="38">
        <v>1</v>
      </c>
      <c r="E28" s="39">
        <f t="shared" si="2"/>
        <v>3.04</v>
      </c>
    </row>
    <row r="29" s="25" customFormat="1" ht="11" customHeight="1" spans="1:5">
      <c r="A29" s="37"/>
      <c r="B29" s="38">
        <v>1170</v>
      </c>
      <c r="C29" s="38">
        <f>2100-30</f>
        <v>2070</v>
      </c>
      <c r="D29" s="38">
        <v>1</v>
      </c>
      <c r="E29" s="39">
        <f t="shared" si="2"/>
        <v>2.42</v>
      </c>
    </row>
    <row r="30" s="26" customFormat="1" ht="11" customHeight="1" spans="1:5">
      <c r="A30" s="37"/>
      <c r="B30" s="38">
        <v>970</v>
      </c>
      <c r="C30" s="38">
        <v>2080</v>
      </c>
      <c r="D30" s="38">
        <v>1</v>
      </c>
      <c r="E30" s="39">
        <f t="shared" si="2"/>
        <v>2.02</v>
      </c>
    </row>
    <row r="31" s="26" customFormat="1" ht="11" customHeight="1" spans="1:5">
      <c r="A31" s="37"/>
      <c r="B31" s="38">
        <v>970</v>
      </c>
      <c r="C31" s="38">
        <v>2060</v>
      </c>
      <c r="D31" s="38">
        <v>1</v>
      </c>
      <c r="E31" s="39">
        <f t="shared" si="2"/>
        <v>2</v>
      </c>
    </row>
    <row r="32" s="26" customFormat="1" ht="11" customHeight="1" spans="1:5">
      <c r="A32" s="37"/>
      <c r="B32" s="38">
        <v>970</v>
      </c>
      <c r="C32" s="38">
        <v>2080</v>
      </c>
      <c r="D32" s="38">
        <v>1</v>
      </c>
      <c r="E32" s="39">
        <f t="shared" si="2"/>
        <v>2.02</v>
      </c>
    </row>
    <row r="33" s="26" customFormat="1" ht="11" customHeight="1" spans="1:5">
      <c r="A33" s="37"/>
      <c r="B33" s="38">
        <v>970</v>
      </c>
      <c r="C33" s="38">
        <v>2080</v>
      </c>
      <c r="D33" s="38">
        <v>1</v>
      </c>
      <c r="E33" s="39">
        <f t="shared" si="2"/>
        <v>2.02</v>
      </c>
    </row>
    <row r="34" s="26" customFormat="1" ht="11" customHeight="1" spans="1:5">
      <c r="A34" s="37"/>
      <c r="B34" s="38">
        <v>955</v>
      </c>
      <c r="C34" s="38">
        <v>2090</v>
      </c>
      <c r="D34" s="38">
        <v>1</v>
      </c>
      <c r="E34" s="39">
        <f t="shared" si="2"/>
        <v>2</v>
      </c>
    </row>
    <row r="35" s="26" customFormat="1" ht="11" customHeight="1" spans="1:5">
      <c r="A35" s="37"/>
      <c r="B35" s="38">
        <v>970</v>
      </c>
      <c r="C35" s="38">
        <v>2080</v>
      </c>
      <c r="D35" s="38">
        <v>1</v>
      </c>
      <c r="E35" s="39">
        <f t="shared" si="2"/>
        <v>2.02</v>
      </c>
    </row>
    <row r="36" s="26" customFormat="1" ht="11" customHeight="1" spans="1:5">
      <c r="A36" s="37"/>
      <c r="B36" s="38">
        <v>970</v>
      </c>
      <c r="C36" s="38">
        <v>2080</v>
      </c>
      <c r="D36" s="38">
        <v>1</v>
      </c>
      <c r="E36" s="39">
        <f t="shared" si="2"/>
        <v>2.02</v>
      </c>
    </row>
    <row r="37" s="26" customFormat="1" ht="11" customHeight="1" spans="1:5">
      <c r="A37" s="37"/>
      <c r="B37" s="38">
        <v>960</v>
      </c>
      <c r="C37" s="38">
        <v>2090</v>
      </c>
      <c r="D37" s="38">
        <v>1</v>
      </c>
      <c r="E37" s="39">
        <f t="shared" si="2"/>
        <v>2.01</v>
      </c>
    </row>
    <row r="38" s="26" customFormat="1" ht="11" customHeight="1" spans="1:5">
      <c r="A38" s="37"/>
      <c r="B38" s="38">
        <v>980</v>
      </c>
      <c r="C38" s="38">
        <v>2090</v>
      </c>
      <c r="D38" s="38">
        <v>1</v>
      </c>
      <c r="E38" s="39">
        <f t="shared" si="2"/>
        <v>2.05</v>
      </c>
    </row>
    <row r="39" s="26" customFormat="1" ht="11" customHeight="1" spans="1:5">
      <c r="A39" s="37"/>
      <c r="B39" s="38">
        <v>970</v>
      </c>
      <c r="C39" s="38">
        <v>2080</v>
      </c>
      <c r="D39" s="38">
        <v>1</v>
      </c>
      <c r="E39" s="39">
        <f t="shared" si="2"/>
        <v>2.02</v>
      </c>
    </row>
    <row r="40" s="26" customFormat="1" ht="11" customHeight="1" spans="1:5">
      <c r="A40" s="37"/>
      <c r="B40" s="38">
        <v>970</v>
      </c>
      <c r="C40" s="38">
        <v>2080</v>
      </c>
      <c r="D40" s="38">
        <v>1</v>
      </c>
      <c r="E40" s="39">
        <f t="shared" si="2"/>
        <v>2.02</v>
      </c>
    </row>
    <row r="41" s="26" customFormat="1" ht="11" customHeight="1" spans="1:5">
      <c r="A41" s="37"/>
      <c r="B41" s="38">
        <v>1170</v>
      </c>
      <c r="C41" s="38">
        <v>2090</v>
      </c>
      <c r="D41" s="38">
        <v>1</v>
      </c>
      <c r="E41" s="39">
        <f t="shared" si="2"/>
        <v>2.45</v>
      </c>
    </row>
    <row r="42" s="26" customFormat="1" ht="11" customHeight="1" spans="1:5">
      <c r="A42" s="37"/>
      <c r="B42" s="38">
        <v>1260</v>
      </c>
      <c r="C42" s="38">
        <f>2100-30</f>
        <v>2070</v>
      </c>
      <c r="D42" s="38">
        <v>1</v>
      </c>
      <c r="E42" s="39">
        <f t="shared" si="2"/>
        <v>2.61</v>
      </c>
    </row>
    <row r="43" s="26" customFormat="1" ht="11" customHeight="1" spans="1:5">
      <c r="A43" s="37"/>
      <c r="B43" s="38">
        <v>970</v>
      </c>
      <c r="C43" s="38">
        <v>2080</v>
      </c>
      <c r="D43" s="38">
        <v>1</v>
      </c>
      <c r="E43" s="39">
        <f t="shared" si="2"/>
        <v>2.02</v>
      </c>
    </row>
    <row r="44" s="26" customFormat="1" ht="11" customHeight="1" spans="1:5">
      <c r="A44" s="37"/>
      <c r="B44" s="38">
        <v>970</v>
      </c>
      <c r="C44" s="38">
        <v>2080</v>
      </c>
      <c r="D44" s="38">
        <f>1</f>
        <v>1</v>
      </c>
      <c r="E44" s="39">
        <f t="shared" si="2"/>
        <v>2.02</v>
      </c>
    </row>
    <row r="45" s="26" customFormat="1" ht="11" customHeight="1" spans="1:5">
      <c r="A45" s="37"/>
      <c r="B45" s="38">
        <v>1200</v>
      </c>
      <c r="C45" s="38">
        <v>1960</v>
      </c>
      <c r="D45" s="38">
        <v>1</v>
      </c>
      <c r="E45" s="39">
        <f t="shared" si="2"/>
        <v>2.35</v>
      </c>
    </row>
    <row r="46" s="26" customFormat="1" ht="11" customHeight="1" spans="1:5">
      <c r="A46" s="37"/>
      <c r="B46" s="38">
        <v>1080</v>
      </c>
      <c r="C46" s="38">
        <f>2100-30</f>
        <v>2070</v>
      </c>
      <c r="D46" s="38">
        <v>1</v>
      </c>
      <c r="E46" s="39">
        <f t="shared" si="2"/>
        <v>2.24</v>
      </c>
    </row>
    <row r="47" s="26" customFormat="1" ht="11" customHeight="1" spans="1:5">
      <c r="A47" s="37"/>
      <c r="B47" s="38">
        <v>970</v>
      </c>
      <c r="C47" s="38">
        <v>2080</v>
      </c>
      <c r="D47" s="38">
        <v>1</v>
      </c>
      <c r="E47" s="39">
        <f t="shared" si="2"/>
        <v>2.02</v>
      </c>
    </row>
    <row r="48" s="26" customFormat="1" ht="11" customHeight="1" spans="1:5">
      <c r="A48" s="37"/>
      <c r="B48" s="38">
        <v>1200</v>
      </c>
      <c r="C48" s="38">
        <v>1080</v>
      </c>
      <c r="D48" s="38">
        <v>1</v>
      </c>
      <c r="E48" s="39">
        <f t="shared" si="2"/>
        <v>1.3</v>
      </c>
    </row>
    <row r="49" s="26" customFormat="1" ht="11" customHeight="1" spans="1:5">
      <c r="A49" s="37"/>
      <c r="B49" s="38">
        <v>990</v>
      </c>
      <c r="C49" s="38">
        <f>2120*0+2080</f>
        <v>2080</v>
      </c>
      <c r="D49" s="38">
        <v>1</v>
      </c>
      <c r="E49" s="39">
        <f t="shared" si="2"/>
        <v>2.06</v>
      </c>
    </row>
    <row r="50" s="26" customFormat="1" ht="11" customHeight="1" spans="1:5">
      <c r="A50" s="37"/>
      <c r="B50" s="38">
        <v>950</v>
      </c>
      <c r="C50" s="38">
        <f>2310*0+2080</f>
        <v>2080</v>
      </c>
      <c r="D50" s="38">
        <v>1</v>
      </c>
      <c r="E50" s="39">
        <f t="shared" si="2"/>
        <v>1.98</v>
      </c>
    </row>
    <row r="51" s="26" customFormat="1" ht="11" customHeight="1" spans="1:5">
      <c r="A51" s="37"/>
      <c r="B51" s="38">
        <v>970</v>
      </c>
      <c r="C51" s="38">
        <v>2080</v>
      </c>
      <c r="D51" s="38">
        <v>1</v>
      </c>
      <c r="E51" s="39">
        <f t="shared" si="2"/>
        <v>2.02</v>
      </c>
    </row>
    <row r="52" s="26" customFormat="1" ht="11" customHeight="1" spans="1:5">
      <c r="A52" s="37"/>
      <c r="B52" s="38">
        <v>970</v>
      </c>
      <c r="C52" s="38">
        <v>2080</v>
      </c>
      <c r="D52" s="38">
        <v>1</v>
      </c>
      <c r="E52" s="39">
        <f t="shared" si="2"/>
        <v>2.02</v>
      </c>
    </row>
    <row r="53" s="26" customFormat="1" ht="11" customHeight="1" spans="1:5">
      <c r="A53" s="37"/>
      <c r="B53" s="38">
        <f>1080</f>
        <v>1080</v>
      </c>
      <c r="C53" s="38">
        <f>2150*0+2080</f>
        <v>2080</v>
      </c>
      <c r="D53" s="38">
        <v>1</v>
      </c>
      <c r="E53" s="39">
        <f t="shared" si="2"/>
        <v>2.25</v>
      </c>
    </row>
    <row r="54" s="26" customFormat="1" ht="11" customHeight="1" spans="1:5">
      <c r="A54" s="37"/>
      <c r="B54" s="38">
        <v>990</v>
      </c>
      <c r="C54" s="38">
        <f>2120</f>
        <v>2120</v>
      </c>
      <c r="D54" s="38">
        <v>1</v>
      </c>
      <c r="E54" s="39">
        <f t="shared" si="2"/>
        <v>2.1</v>
      </c>
    </row>
    <row r="55" s="26" customFormat="1" ht="11" customHeight="1" spans="1:5">
      <c r="A55" s="37"/>
      <c r="B55" s="38">
        <v>980</v>
      </c>
      <c r="C55" s="38">
        <f>2120</f>
        <v>2120</v>
      </c>
      <c r="D55" s="38">
        <v>1</v>
      </c>
      <c r="E55" s="39">
        <f t="shared" si="2"/>
        <v>2.08</v>
      </c>
    </row>
    <row r="56" s="26" customFormat="1" ht="11" customHeight="1" spans="1:5">
      <c r="A56" s="37"/>
      <c r="B56" s="38">
        <v>970</v>
      </c>
      <c r="C56" s="38">
        <v>2080</v>
      </c>
      <c r="D56" s="38">
        <v>1</v>
      </c>
      <c r="E56" s="39">
        <f t="shared" si="2"/>
        <v>2.02</v>
      </c>
    </row>
    <row r="57" s="26" customFormat="1" ht="11" customHeight="1" spans="1:5">
      <c r="A57" s="37"/>
      <c r="B57" s="38">
        <v>970</v>
      </c>
      <c r="C57" s="38">
        <v>2080</v>
      </c>
      <c r="D57" s="38">
        <v>1</v>
      </c>
      <c r="E57" s="39">
        <f t="shared" si="2"/>
        <v>2.02</v>
      </c>
    </row>
    <row r="58" s="26" customFormat="1" ht="11" customHeight="1" spans="1:5">
      <c r="A58" s="37"/>
      <c r="B58" s="38">
        <v>970</v>
      </c>
      <c r="C58" s="38">
        <v>2080</v>
      </c>
      <c r="D58" s="38">
        <v>1</v>
      </c>
      <c r="E58" s="39">
        <f t="shared" si="2"/>
        <v>2.02</v>
      </c>
    </row>
    <row r="59" s="26" customFormat="1" ht="11" customHeight="1" spans="1:5">
      <c r="A59" s="37"/>
      <c r="B59" s="38">
        <v>990</v>
      </c>
      <c r="C59" s="38">
        <f>2150*0+2080</f>
        <v>2080</v>
      </c>
      <c r="D59" s="38">
        <v>1</v>
      </c>
      <c r="E59" s="39">
        <f t="shared" si="2"/>
        <v>2.06</v>
      </c>
    </row>
    <row r="60" s="26" customFormat="1" ht="11" customHeight="1" spans="1:5">
      <c r="A60" s="37"/>
      <c r="B60" s="38">
        <v>1970</v>
      </c>
      <c r="C60" s="38">
        <v>2070</v>
      </c>
      <c r="D60" s="38">
        <v>1</v>
      </c>
      <c r="E60" s="39">
        <f t="shared" si="2"/>
        <v>4.08</v>
      </c>
    </row>
    <row r="61" s="26" customFormat="1" ht="11" customHeight="1" spans="1:5">
      <c r="A61" s="37"/>
      <c r="B61" s="38">
        <v>970</v>
      </c>
      <c r="C61" s="38">
        <v>2080</v>
      </c>
      <c r="D61" s="38">
        <v>1</v>
      </c>
      <c r="E61" s="39">
        <f t="shared" si="2"/>
        <v>2.02</v>
      </c>
    </row>
    <row r="62" s="26" customFormat="1" ht="11" customHeight="1" spans="1:5">
      <c r="A62" s="37"/>
      <c r="B62" s="38">
        <f>1220*0+1170</f>
        <v>1170</v>
      </c>
      <c r="C62" s="38">
        <v>1950</v>
      </c>
      <c r="D62" s="38">
        <v>1</v>
      </c>
      <c r="E62" s="39">
        <f t="shared" si="2"/>
        <v>2.28</v>
      </c>
    </row>
    <row r="63" s="26" customFormat="1" ht="11" customHeight="1" spans="1:5">
      <c r="A63" s="37"/>
      <c r="B63" s="38">
        <v>980</v>
      </c>
      <c r="C63" s="38">
        <v>2080</v>
      </c>
      <c r="D63" s="38">
        <v>1</v>
      </c>
      <c r="E63" s="39">
        <f t="shared" ref="E63:E88" si="3">B63*C63*D63/1000000</f>
        <v>2.04</v>
      </c>
    </row>
    <row r="64" s="26" customFormat="1" ht="11" customHeight="1" spans="1:5">
      <c r="A64" s="37"/>
      <c r="B64" s="38">
        <v>990</v>
      </c>
      <c r="C64" s="38">
        <v>2080</v>
      </c>
      <c r="D64" s="38">
        <v>1</v>
      </c>
      <c r="E64" s="39">
        <f t="shared" si="3"/>
        <v>2.06</v>
      </c>
    </row>
    <row r="65" s="26" customFormat="1" ht="11" customHeight="1" spans="1:5">
      <c r="A65" s="37"/>
      <c r="B65" s="38">
        <v>1210</v>
      </c>
      <c r="C65" s="38">
        <v>1980</v>
      </c>
      <c r="D65" s="38">
        <v>1</v>
      </c>
      <c r="E65" s="39">
        <f t="shared" si="3"/>
        <v>2.4</v>
      </c>
    </row>
    <row r="66" s="26" customFormat="1" ht="11" customHeight="1" spans="1:5">
      <c r="A66" s="37"/>
      <c r="B66" s="38">
        <v>970</v>
      </c>
      <c r="C66" s="38">
        <v>2080</v>
      </c>
      <c r="D66" s="38">
        <v>1</v>
      </c>
      <c r="E66" s="39">
        <f t="shared" si="3"/>
        <v>2.02</v>
      </c>
    </row>
    <row r="67" s="26" customFormat="1" ht="11" customHeight="1" spans="1:5">
      <c r="A67" s="37"/>
      <c r="B67" s="38">
        <v>970</v>
      </c>
      <c r="C67" s="38">
        <v>2080</v>
      </c>
      <c r="D67" s="38">
        <v>1</v>
      </c>
      <c r="E67" s="39">
        <f t="shared" si="3"/>
        <v>2.02</v>
      </c>
    </row>
    <row r="68" s="26" customFormat="1" ht="11" customHeight="1" spans="1:5">
      <c r="A68" s="37"/>
      <c r="B68" s="38">
        <f>1770</f>
        <v>1770</v>
      </c>
      <c r="C68" s="38">
        <v>2060</v>
      </c>
      <c r="D68" s="38">
        <v>1</v>
      </c>
      <c r="E68" s="39">
        <f t="shared" si="3"/>
        <v>3.65</v>
      </c>
    </row>
    <row r="69" s="26" customFormat="1" ht="11" customHeight="1" spans="1:5">
      <c r="A69" s="37"/>
      <c r="B69" s="38">
        <v>1770</v>
      </c>
      <c r="C69" s="38">
        <v>2050</v>
      </c>
      <c r="D69" s="38">
        <v>1</v>
      </c>
      <c r="E69" s="39">
        <f t="shared" si="3"/>
        <v>3.63</v>
      </c>
    </row>
    <row r="70" s="26" customFormat="1" ht="11" customHeight="1" spans="1:5">
      <c r="A70" s="37"/>
      <c r="B70" s="38">
        <v>970</v>
      </c>
      <c r="C70" s="38">
        <v>2080</v>
      </c>
      <c r="D70" s="38">
        <v>1</v>
      </c>
      <c r="E70" s="39">
        <f t="shared" si="3"/>
        <v>2.02</v>
      </c>
    </row>
    <row r="71" s="26" customFormat="1" ht="11" customHeight="1" spans="1:5">
      <c r="A71" s="37"/>
      <c r="B71" s="38">
        <v>970</v>
      </c>
      <c r="C71" s="38">
        <v>2080</v>
      </c>
      <c r="D71" s="38">
        <v>1</v>
      </c>
      <c r="E71" s="39">
        <f t="shared" si="3"/>
        <v>2.02</v>
      </c>
    </row>
    <row r="72" s="26" customFormat="1" ht="11" customHeight="1" spans="1:5">
      <c r="A72" s="37"/>
      <c r="B72" s="38">
        <v>970</v>
      </c>
      <c r="C72" s="38">
        <v>2080</v>
      </c>
      <c r="D72" s="38">
        <v>1</v>
      </c>
      <c r="E72" s="39">
        <f t="shared" si="3"/>
        <v>2.02</v>
      </c>
    </row>
    <row r="73" s="26" customFormat="1" ht="11" customHeight="1" spans="1:5">
      <c r="A73" s="37"/>
      <c r="B73" s="38">
        <v>990</v>
      </c>
      <c r="C73" s="38">
        <v>1980</v>
      </c>
      <c r="D73" s="38">
        <v>1</v>
      </c>
      <c r="E73" s="39">
        <f t="shared" si="3"/>
        <v>1.96</v>
      </c>
    </row>
    <row r="74" s="26" customFormat="1" ht="11" customHeight="1" spans="1:5">
      <c r="A74" s="37"/>
      <c r="B74" s="38">
        <v>970</v>
      </c>
      <c r="C74" s="38">
        <v>2080</v>
      </c>
      <c r="D74" s="38">
        <v>1</v>
      </c>
      <c r="E74" s="39">
        <f t="shared" si="3"/>
        <v>2.02</v>
      </c>
    </row>
    <row r="75" s="26" customFormat="1" ht="11" customHeight="1" spans="1:5">
      <c r="A75" s="37"/>
      <c r="B75" s="38">
        <v>970</v>
      </c>
      <c r="C75" s="38">
        <v>2080</v>
      </c>
      <c r="D75" s="38">
        <v>1</v>
      </c>
      <c r="E75" s="39">
        <f t="shared" si="3"/>
        <v>2.02</v>
      </c>
    </row>
    <row r="76" s="26" customFormat="1" ht="11" customHeight="1" spans="1:5">
      <c r="A76" s="37"/>
      <c r="B76" s="38">
        <v>970</v>
      </c>
      <c r="C76" s="38">
        <v>2080</v>
      </c>
      <c r="D76" s="38">
        <v>1</v>
      </c>
      <c r="E76" s="39">
        <f t="shared" si="3"/>
        <v>2.02</v>
      </c>
    </row>
    <row r="77" s="26" customFormat="1" ht="11" customHeight="1" spans="1:5">
      <c r="A77" s="37"/>
      <c r="B77" s="38">
        <v>970</v>
      </c>
      <c r="C77" s="38">
        <v>2080</v>
      </c>
      <c r="D77" s="38">
        <v>1</v>
      </c>
      <c r="E77" s="39">
        <f t="shared" si="3"/>
        <v>2.02</v>
      </c>
    </row>
    <row r="78" s="26" customFormat="1" ht="11" customHeight="1" spans="1:5">
      <c r="A78" s="37"/>
      <c r="B78" s="38">
        <v>970</v>
      </c>
      <c r="C78" s="38">
        <v>2080</v>
      </c>
      <c r="D78" s="38">
        <v>1</v>
      </c>
      <c r="E78" s="39">
        <f t="shared" si="3"/>
        <v>2.02</v>
      </c>
    </row>
    <row r="79" s="26" customFormat="1" ht="11" customHeight="1" spans="1:5">
      <c r="A79" s="37"/>
      <c r="B79" s="38">
        <v>970</v>
      </c>
      <c r="C79" s="38">
        <v>2080</v>
      </c>
      <c r="D79" s="38">
        <v>1</v>
      </c>
      <c r="E79" s="39">
        <f t="shared" si="3"/>
        <v>2.02</v>
      </c>
    </row>
    <row r="80" s="26" customFormat="1" ht="11" customHeight="1" spans="1:5">
      <c r="A80" s="37"/>
      <c r="B80" s="38">
        <v>970</v>
      </c>
      <c r="C80" s="38">
        <v>2080</v>
      </c>
      <c r="D80" s="38">
        <v>1</v>
      </c>
      <c r="E80" s="39">
        <f t="shared" si="3"/>
        <v>2.02</v>
      </c>
    </row>
    <row r="81" s="26" customFormat="1" ht="11" customHeight="1" spans="1:5">
      <c r="A81" s="37"/>
      <c r="B81" s="38">
        <v>970</v>
      </c>
      <c r="C81" s="38">
        <v>2080</v>
      </c>
      <c r="D81" s="38">
        <v>1</v>
      </c>
      <c r="E81" s="39">
        <f t="shared" si="3"/>
        <v>2.02</v>
      </c>
    </row>
    <row r="82" s="26" customFormat="1" ht="11" customHeight="1" spans="1:5">
      <c r="A82" s="37"/>
      <c r="B82" s="38">
        <f>1200*0+1970</f>
        <v>1970</v>
      </c>
      <c r="C82" s="38">
        <v>1980</v>
      </c>
      <c r="D82" s="38">
        <v>1</v>
      </c>
      <c r="E82" s="39">
        <f t="shared" si="3"/>
        <v>3.9</v>
      </c>
    </row>
    <row r="83" s="26" customFormat="1" ht="11" customHeight="1" spans="1:5">
      <c r="A83" s="37"/>
      <c r="B83" s="38">
        <v>970</v>
      </c>
      <c r="C83" s="38">
        <v>2080</v>
      </c>
      <c r="D83" s="38">
        <v>1</v>
      </c>
      <c r="E83" s="39">
        <f t="shared" si="3"/>
        <v>2.02</v>
      </c>
    </row>
    <row r="84" s="26" customFormat="1" ht="11" customHeight="1" spans="1:5">
      <c r="A84" s="37"/>
      <c r="B84" s="38">
        <f>1210*0+1170</f>
        <v>1170</v>
      </c>
      <c r="C84" s="38">
        <v>2000</v>
      </c>
      <c r="D84" s="38">
        <v>1</v>
      </c>
      <c r="E84" s="39">
        <f t="shared" si="3"/>
        <v>2.34</v>
      </c>
    </row>
    <row r="85" s="26" customFormat="1" ht="11" customHeight="1" spans="1:5">
      <c r="A85" s="37"/>
      <c r="B85" s="38">
        <f>1200*0+1170</f>
        <v>1170</v>
      </c>
      <c r="C85" s="38">
        <v>1970</v>
      </c>
      <c r="D85" s="38">
        <v>1</v>
      </c>
      <c r="E85" s="39">
        <f t="shared" si="3"/>
        <v>2.3</v>
      </c>
    </row>
    <row r="86" s="26" customFormat="1" ht="11" customHeight="1" spans="1:5">
      <c r="A86" s="37"/>
      <c r="B86" s="38">
        <v>970</v>
      </c>
      <c r="C86" s="38">
        <v>2080</v>
      </c>
      <c r="D86" s="38">
        <v>1</v>
      </c>
      <c r="E86" s="39">
        <f t="shared" si="3"/>
        <v>2.02</v>
      </c>
    </row>
    <row r="87" s="26" customFormat="1" ht="11" customHeight="1" spans="1:5">
      <c r="A87" s="37"/>
      <c r="B87" s="38">
        <v>970</v>
      </c>
      <c r="C87" s="38">
        <v>2080</v>
      </c>
      <c r="D87" s="38">
        <v>1</v>
      </c>
      <c r="E87" s="39">
        <f t="shared" si="3"/>
        <v>2.02</v>
      </c>
    </row>
    <row r="88" s="26" customFormat="1" ht="11" customHeight="1" spans="1:5">
      <c r="A88" s="37"/>
      <c r="B88" s="38">
        <v>970</v>
      </c>
      <c r="C88" s="38">
        <v>2080</v>
      </c>
      <c r="D88" s="38">
        <v>1</v>
      </c>
      <c r="E88" s="39">
        <f t="shared" si="3"/>
        <v>2.02</v>
      </c>
    </row>
    <row r="89" s="26" customFormat="1" ht="11" customHeight="1" spans="1:5">
      <c r="A89" s="178" t="s">
        <v>567</v>
      </c>
      <c r="B89" s="38">
        <v>1210</v>
      </c>
      <c r="C89" s="38">
        <v>2000</v>
      </c>
      <c r="D89" s="38">
        <v>1</v>
      </c>
      <c r="E89" s="39">
        <f t="shared" ref="E89:E152" si="4">B89*C89*D89/1000000</f>
        <v>2.42</v>
      </c>
    </row>
    <row r="90" s="26" customFormat="1" ht="11" customHeight="1" spans="1:5">
      <c r="A90" s="40"/>
      <c r="B90" s="38">
        <v>1250</v>
      </c>
      <c r="C90" s="38">
        <v>1980</v>
      </c>
      <c r="D90" s="38">
        <v>1</v>
      </c>
      <c r="E90" s="39">
        <f t="shared" si="4"/>
        <v>2.48</v>
      </c>
    </row>
    <row r="91" s="26" customFormat="1" ht="11" customHeight="1" spans="1:5">
      <c r="A91" s="40"/>
      <c r="B91" s="38">
        <v>1220</v>
      </c>
      <c r="C91" s="38">
        <v>1980</v>
      </c>
      <c r="D91" s="38">
        <v>1</v>
      </c>
      <c r="E91" s="39">
        <f t="shared" si="4"/>
        <v>2.42</v>
      </c>
    </row>
    <row r="92" s="26" customFormat="1" ht="11" customHeight="1" spans="1:5">
      <c r="A92" s="40"/>
      <c r="B92" s="38">
        <v>970</v>
      </c>
      <c r="C92" s="38">
        <v>2080</v>
      </c>
      <c r="D92" s="38">
        <v>1</v>
      </c>
      <c r="E92" s="39">
        <f t="shared" si="4"/>
        <v>2.02</v>
      </c>
    </row>
    <row r="93" s="26" customFormat="1" ht="11" customHeight="1" spans="1:5">
      <c r="A93" s="40"/>
      <c r="B93" s="38">
        <v>970</v>
      </c>
      <c r="C93" s="38">
        <v>2080</v>
      </c>
      <c r="D93" s="38">
        <v>1</v>
      </c>
      <c r="E93" s="39">
        <f t="shared" si="4"/>
        <v>2.02</v>
      </c>
    </row>
    <row r="94" s="26" customFormat="1" ht="11" customHeight="1" spans="1:5">
      <c r="A94" s="40"/>
      <c r="B94" s="38">
        <v>980</v>
      </c>
      <c r="C94" s="38">
        <v>2060</v>
      </c>
      <c r="D94" s="38">
        <f>1</f>
        <v>1</v>
      </c>
      <c r="E94" s="39">
        <f t="shared" si="4"/>
        <v>2.02</v>
      </c>
    </row>
    <row r="95" s="26" customFormat="1" ht="11" customHeight="1" spans="1:5">
      <c r="A95" s="40"/>
      <c r="B95" s="38">
        <v>1190</v>
      </c>
      <c r="C95" s="38">
        <v>1980</v>
      </c>
      <c r="D95" s="38">
        <v>1</v>
      </c>
      <c r="E95" s="39">
        <f t="shared" si="4"/>
        <v>2.36</v>
      </c>
    </row>
    <row r="96" s="26" customFormat="1" ht="11" customHeight="1" spans="1:5">
      <c r="A96" s="40"/>
      <c r="B96" s="38">
        <f>1800*0+1770</f>
        <v>1770</v>
      </c>
      <c r="C96" s="38">
        <v>2470</v>
      </c>
      <c r="D96" s="38">
        <v>1</v>
      </c>
      <c r="E96" s="39">
        <f t="shared" si="4"/>
        <v>4.37</v>
      </c>
    </row>
    <row r="97" s="26" customFormat="1" ht="11" customHeight="1" spans="1:5">
      <c r="A97" s="40"/>
      <c r="B97" s="38">
        <v>970</v>
      </c>
      <c r="C97" s="38">
        <v>2080</v>
      </c>
      <c r="D97" s="38">
        <v>1</v>
      </c>
      <c r="E97" s="39">
        <f t="shared" si="4"/>
        <v>2.02</v>
      </c>
    </row>
    <row r="98" s="26" customFormat="1" ht="11" customHeight="1" spans="1:5">
      <c r="A98" s="40"/>
      <c r="B98" s="38">
        <v>970</v>
      </c>
      <c r="C98" s="38">
        <v>2080</v>
      </c>
      <c r="D98" s="38">
        <v>1</v>
      </c>
      <c r="E98" s="39">
        <f t="shared" si="4"/>
        <v>2.02</v>
      </c>
    </row>
    <row r="99" s="26" customFormat="1" ht="11" customHeight="1" spans="1:5">
      <c r="A99" s="40"/>
      <c r="B99" s="38">
        <v>1180</v>
      </c>
      <c r="C99" s="38">
        <v>2690</v>
      </c>
      <c r="D99" s="38">
        <v>1</v>
      </c>
      <c r="E99" s="39">
        <f t="shared" si="4"/>
        <v>3.17</v>
      </c>
    </row>
    <row r="100" s="26" customFormat="1" ht="11" customHeight="1" spans="1:5">
      <c r="A100" s="40"/>
      <c r="B100" s="38">
        <v>1200</v>
      </c>
      <c r="C100" s="38">
        <v>1980</v>
      </c>
      <c r="D100" s="38">
        <v>1</v>
      </c>
      <c r="E100" s="39">
        <f t="shared" si="4"/>
        <v>2.38</v>
      </c>
    </row>
    <row r="101" s="26" customFormat="1" ht="11" customHeight="1" spans="1:5">
      <c r="A101" s="40"/>
      <c r="B101" s="38">
        <v>1210</v>
      </c>
      <c r="C101" s="38">
        <v>1980</v>
      </c>
      <c r="D101" s="38">
        <v>1</v>
      </c>
      <c r="E101" s="39">
        <f t="shared" si="4"/>
        <v>2.4</v>
      </c>
    </row>
    <row r="102" s="26" customFormat="1" ht="11" customHeight="1" spans="1:5">
      <c r="A102" s="40"/>
      <c r="B102" s="38">
        <v>1810</v>
      </c>
      <c r="C102" s="38">
        <v>2450</v>
      </c>
      <c r="D102" s="38">
        <v>1</v>
      </c>
      <c r="E102" s="39">
        <f t="shared" si="4"/>
        <v>4.43</v>
      </c>
    </row>
    <row r="103" s="26" customFormat="1" ht="11" customHeight="1" spans="1:5">
      <c r="A103" s="40"/>
      <c r="B103" s="38">
        <f>1430*0+970</f>
        <v>970</v>
      </c>
      <c r="C103" s="38">
        <v>1970</v>
      </c>
      <c r="D103" s="38">
        <v>1</v>
      </c>
      <c r="E103" s="39">
        <f t="shared" si="4"/>
        <v>1.91</v>
      </c>
    </row>
    <row r="104" s="26" customFormat="1" ht="11" customHeight="1" spans="1:5">
      <c r="A104" s="40"/>
      <c r="B104" s="38">
        <v>970</v>
      </c>
      <c r="C104" s="38">
        <v>2080</v>
      </c>
      <c r="D104" s="38">
        <v>1</v>
      </c>
      <c r="E104" s="39">
        <f t="shared" si="4"/>
        <v>2.02</v>
      </c>
    </row>
    <row r="105" s="26" customFormat="1" ht="11" customHeight="1" spans="1:5">
      <c r="A105" s="40"/>
      <c r="B105" s="38">
        <v>970</v>
      </c>
      <c r="C105" s="38">
        <v>2080</v>
      </c>
      <c r="D105" s="38">
        <v>1</v>
      </c>
      <c r="E105" s="39">
        <f t="shared" si="4"/>
        <v>2.02</v>
      </c>
    </row>
    <row r="106" s="26" customFormat="1" ht="11" customHeight="1" spans="1:5">
      <c r="A106" s="40"/>
      <c r="B106" s="38">
        <v>1030</v>
      </c>
      <c r="C106" s="38">
        <v>1970</v>
      </c>
      <c r="D106" s="38">
        <v>1</v>
      </c>
      <c r="E106" s="39">
        <f t="shared" si="4"/>
        <v>2.03</v>
      </c>
    </row>
    <row r="107" s="26" customFormat="1" ht="11" customHeight="1" spans="1:5">
      <c r="A107" s="40"/>
      <c r="B107" s="38">
        <v>970</v>
      </c>
      <c r="C107" s="38">
        <v>2080</v>
      </c>
      <c r="D107" s="38">
        <v>1</v>
      </c>
      <c r="E107" s="39">
        <f t="shared" si="4"/>
        <v>2.02</v>
      </c>
    </row>
    <row r="108" s="26" customFormat="1" ht="11" customHeight="1" spans="1:5">
      <c r="A108" s="40"/>
      <c r="B108" s="38">
        <v>970</v>
      </c>
      <c r="C108" s="38">
        <v>2080</v>
      </c>
      <c r="D108" s="38">
        <v>1</v>
      </c>
      <c r="E108" s="39">
        <f t="shared" si="4"/>
        <v>2.02</v>
      </c>
    </row>
    <row r="109" s="26" customFormat="1" ht="11" customHeight="1" spans="1:5">
      <c r="A109" s="40"/>
      <c r="B109" s="38">
        <v>970</v>
      </c>
      <c r="C109" s="38">
        <v>2080</v>
      </c>
      <c r="D109" s="38">
        <v>1</v>
      </c>
      <c r="E109" s="39">
        <f t="shared" si="4"/>
        <v>2.02</v>
      </c>
    </row>
    <row r="110" s="26" customFormat="1" ht="11" customHeight="1" spans="1:5">
      <c r="A110" s="40"/>
      <c r="B110" s="38">
        <v>970</v>
      </c>
      <c r="C110" s="38">
        <v>2070</v>
      </c>
      <c r="D110" s="38">
        <f>1</f>
        <v>1</v>
      </c>
      <c r="E110" s="39">
        <f t="shared" si="4"/>
        <v>2.01</v>
      </c>
    </row>
    <row r="111" s="26" customFormat="1" ht="11" customHeight="1" spans="1:5">
      <c r="A111" s="40"/>
      <c r="B111" s="38">
        <v>1230</v>
      </c>
      <c r="C111" s="38">
        <v>1970</v>
      </c>
      <c r="D111" s="38">
        <v>1</v>
      </c>
      <c r="E111" s="39">
        <f t="shared" si="4"/>
        <v>2.42</v>
      </c>
    </row>
    <row r="112" s="26" customFormat="1" ht="11" customHeight="1" spans="1:5">
      <c r="A112" s="40"/>
      <c r="B112" s="38">
        <v>970</v>
      </c>
      <c r="C112" s="38">
        <v>2080</v>
      </c>
      <c r="D112" s="38">
        <v>1</v>
      </c>
      <c r="E112" s="39">
        <f t="shared" si="4"/>
        <v>2.02</v>
      </c>
    </row>
    <row r="113" s="26" customFormat="1" ht="11" customHeight="1" spans="1:5">
      <c r="A113" s="40"/>
      <c r="B113" s="38">
        <v>970</v>
      </c>
      <c r="C113" s="38">
        <v>2080</v>
      </c>
      <c r="D113" s="38">
        <v>1</v>
      </c>
      <c r="E113" s="39">
        <f t="shared" si="4"/>
        <v>2.02</v>
      </c>
    </row>
    <row r="114" s="26" customFormat="1" ht="11" customHeight="1" spans="1:5">
      <c r="A114" s="40"/>
      <c r="B114" s="38">
        <v>970</v>
      </c>
      <c r="C114" s="38">
        <v>2080</v>
      </c>
      <c r="D114" s="38">
        <v>1</v>
      </c>
      <c r="E114" s="39">
        <f t="shared" si="4"/>
        <v>2.02</v>
      </c>
    </row>
    <row r="115" s="26" customFormat="1" ht="11" customHeight="1" spans="1:5">
      <c r="A115" s="40"/>
      <c r="B115" s="38">
        <v>970</v>
      </c>
      <c r="C115" s="38">
        <v>2080</v>
      </c>
      <c r="D115" s="38">
        <v>1</v>
      </c>
      <c r="E115" s="39">
        <f t="shared" si="4"/>
        <v>2.02</v>
      </c>
    </row>
    <row r="116" s="26" customFormat="1" ht="11" customHeight="1" spans="1:5">
      <c r="A116" s="40"/>
      <c r="B116" s="38">
        <v>970</v>
      </c>
      <c r="C116" s="38">
        <v>2080</v>
      </c>
      <c r="D116" s="38">
        <v>1</v>
      </c>
      <c r="E116" s="39">
        <f t="shared" si="4"/>
        <v>2.02</v>
      </c>
    </row>
    <row r="117" s="26" customFormat="1" ht="11" customHeight="1" spans="1:5">
      <c r="A117" s="40"/>
      <c r="B117" s="38">
        <v>970</v>
      </c>
      <c r="C117" s="38">
        <v>2080</v>
      </c>
      <c r="D117" s="38">
        <v>1</v>
      </c>
      <c r="E117" s="39">
        <f t="shared" si="4"/>
        <v>2.02</v>
      </c>
    </row>
    <row r="118" s="26" customFormat="1" ht="11" customHeight="1" spans="1:5">
      <c r="A118" s="40"/>
      <c r="B118" s="38">
        <v>1190</v>
      </c>
      <c r="C118" s="38">
        <v>2400</v>
      </c>
      <c r="D118" s="38">
        <v>1</v>
      </c>
      <c r="E118" s="39">
        <f t="shared" si="4"/>
        <v>2.86</v>
      </c>
    </row>
    <row r="119" s="26" customFormat="1" ht="11" customHeight="1" spans="1:5">
      <c r="A119" s="40"/>
      <c r="B119" s="38">
        <v>970</v>
      </c>
      <c r="C119" s="38">
        <v>2080</v>
      </c>
      <c r="D119" s="38">
        <v>1</v>
      </c>
      <c r="E119" s="39">
        <f t="shared" si="4"/>
        <v>2.02</v>
      </c>
    </row>
    <row r="120" s="26" customFormat="1" ht="11" customHeight="1" spans="1:5">
      <c r="A120" s="40"/>
      <c r="B120" s="38">
        <v>970</v>
      </c>
      <c r="C120" s="38">
        <v>2080</v>
      </c>
      <c r="D120" s="38">
        <v>1</v>
      </c>
      <c r="E120" s="39">
        <f t="shared" si="4"/>
        <v>2.02</v>
      </c>
    </row>
    <row r="121" s="26" customFormat="1" ht="11" customHeight="1" spans="1:5">
      <c r="A121" s="40"/>
      <c r="B121" s="38">
        <f>1200*0+1170</f>
        <v>1170</v>
      </c>
      <c r="C121" s="38">
        <v>1990</v>
      </c>
      <c r="D121" s="38">
        <v>1</v>
      </c>
      <c r="E121" s="39">
        <f t="shared" si="4"/>
        <v>2.33</v>
      </c>
    </row>
    <row r="122" s="26" customFormat="1" ht="11" customHeight="1" spans="1:5">
      <c r="A122" s="40"/>
      <c r="B122" s="38">
        <f>1210*0+1170</f>
        <v>1170</v>
      </c>
      <c r="C122" s="38">
        <v>1970</v>
      </c>
      <c r="D122" s="38">
        <v>1</v>
      </c>
      <c r="E122" s="39">
        <f t="shared" si="4"/>
        <v>2.3</v>
      </c>
    </row>
    <row r="123" s="26" customFormat="1" ht="11" customHeight="1" spans="1:5">
      <c r="A123" s="40"/>
      <c r="B123" s="38">
        <v>1190</v>
      </c>
      <c r="C123" s="38">
        <v>1990</v>
      </c>
      <c r="D123" s="38">
        <v>1</v>
      </c>
      <c r="E123" s="39">
        <f t="shared" si="4"/>
        <v>2.37</v>
      </c>
    </row>
    <row r="124" s="26" customFormat="1" ht="11" customHeight="1" spans="1:5">
      <c r="A124" s="40"/>
      <c r="B124" s="38">
        <v>1000</v>
      </c>
      <c r="C124" s="38">
        <v>2180</v>
      </c>
      <c r="D124" s="38">
        <v>1</v>
      </c>
      <c r="E124" s="39">
        <f t="shared" si="4"/>
        <v>2.18</v>
      </c>
    </row>
    <row r="125" s="26" customFormat="1" ht="11" customHeight="1" spans="1:5">
      <c r="A125" s="40"/>
      <c r="B125" s="38">
        <f>1280*0+970</f>
        <v>970</v>
      </c>
      <c r="C125" s="38">
        <v>2080</v>
      </c>
      <c r="D125" s="38">
        <v>1</v>
      </c>
      <c r="E125" s="39">
        <f t="shared" si="4"/>
        <v>2.02</v>
      </c>
    </row>
    <row r="126" s="26" customFormat="1" ht="11" customHeight="1" spans="1:5">
      <c r="A126" s="40"/>
      <c r="B126" s="38">
        <v>970</v>
      </c>
      <c r="C126" s="38">
        <v>2080</v>
      </c>
      <c r="D126" s="38">
        <v>1</v>
      </c>
      <c r="E126" s="39">
        <f t="shared" si="4"/>
        <v>2.02</v>
      </c>
    </row>
    <row r="127" s="26" customFormat="1" ht="11" customHeight="1" spans="1:5">
      <c r="A127" s="40"/>
      <c r="B127" s="38">
        <v>970</v>
      </c>
      <c r="C127" s="38">
        <v>2080</v>
      </c>
      <c r="D127" s="38">
        <v>1</v>
      </c>
      <c r="E127" s="39">
        <f t="shared" si="4"/>
        <v>2.02</v>
      </c>
    </row>
    <row r="128" s="26" customFormat="1" ht="11" customHeight="1" spans="1:5">
      <c r="A128" s="40"/>
      <c r="B128" s="38">
        <v>970</v>
      </c>
      <c r="C128" s="38">
        <v>2080</v>
      </c>
      <c r="D128" s="38">
        <v>1</v>
      </c>
      <c r="E128" s="39">
        <f t="shared" si="4"/>
        <v>2.02</v>
      </c>
    </row>
    <row r="129" s="26" customFormat="1" ht="11" customHeight="1" spans="1:5">
      <c r="A129" s="40"/>
      <c r="B129" s="38">
        <v>1190</v>
      </c>
      <c r="C129" s="38">
        <f>2700*0+2080</f>
        <v>2080</v>
      </c>
      <c r="D129" s="38">
        <v>1</v>
      </c>
      <c r="E129" s="39">
        <f t="shared" si="4"/>
        <v>2.48</v>
      </c>
    </row>
    <row r="130" s="26" customFormat="1" ht="11" customHeight="1" spans="1:5">
      <c r="A130" s="40"/>
      <c r="B130" s="38">
        <v>970</v>
      </c>
      <c r="C130" s="38">
        <v>2080</v>
      </c>
      <c r="D130" s="38">
        <v>1</v>
      </c>
      <c r="E130" s="39">
        <f t="shared" si="4"/>
        <v>2.02</v>
      </c>
    </row>
    <row r="131" s="26" customFormat="1" ht="11" customHeight="1" spans="1:5">
      <c r="A131" s="40"/>
      <c r="B131" s="38">
        <v>970</v>
      </c>
      <c r="C131" s="38">
        <v>2080</v>
      </c>
      <c r="D131" s="38">
        <v>1</v>
      </c>
      <c r="E131" s="39">
        <f t="shared" si="4"/>
        <v>2.02</v>
      </c>
    </row>
    <row r="132" s="26" customFormat="1" ht="11" customHeight="1" spans="1:5">
      <c r="A132" s="40"/>
      <c r="B132" s="38">
        <v>970</v>
      </c>
      <c r="C132" s="38">
        <v>2080</v>
      </c>
      <c r="D132" s="38">
        <v>1</v>
      </c>
      <c r="E132" s="39">
        <f t="shared" si="4"/>
        <v>2.02</v>
      </c>
    </row>
    <row r="133" s="26" customFormat="1" ht="11" customHeight="1" spans="1:5">
      <c r="A133" s="40"/>
      <c r="B133" s="38">
        <v>970</v>
      </c>
      <c r="C133" s="38">
        <v>2080</v>
      </c>
      <c r="D133" s="38">
        <v>1</v>
      </c>
      <c r="E133" s="39">
        <f t="shared" si="4"/>
        <v>2.02</v>
      </c>
    </row>
    <row r="134" s="26" customFormat="1" ht="11" customHeight="1" spans="1:5">
      <c r="A134" s="40"/>
      <c r="B134" s="38">
        <v>970</v>
      </c>
      <c r="C134" s="38">
        <v>2080</v>
      </c>
      <c r="D134" s="38">
        <v>1</v>
      </c>
      <c r="E134" s="39">
        <f t="shared" si="4"/>
        <v>2.02</v>
      </c>
    </row>
    <row r="135" s="26" customFormat="1" ht="11" customHeight="1" spans="1:5">
      <c r="A135" s="40"/>
      <c r="B135" s="38">
        <v>1170</v>
      </c>
      <c r="C135" s="38">
        <v>2080</v>
      </c>
      <c r="D135" s="38">
        <v>1</v>
      </c>
      <c r="E135" s="39">
        <f t="shared" si="4"/>
        <v>2.43</v>
      </c>
    </row>
    <row r="136" s="26" customFormat="1" ht="11" customHeight="1" spans="1:5">
      <c r="A136" s="40"/>
      <c r="B136" s="38">
        <v>1210</v>
      </c>
      <c r="C136" s="38">
        <v>2080</v>
      </c>
      <c r="D136" s="38">
        <v>1</v>
      </c>
      <c r="E136" s="39">
        <f t="shared" si="4"/>
        <v>2.52</v>
      </c>
    </row>
    <row r="137" s="26" customFormat="1" ht="11" customHeight="1" spans="1:5">
      <c r="A137" s="40"/>
      <c r="B137" s="38">
        <v>1170</v>
      </c>
      <c r="C137" s="38">
        <f>2110-30</f>
        <v>2080</v>
      </c>
      <c r="D137" s="38">
        <v>1</v>
      </c>
      <c r="E137" s="39">
        <f t="shared" si="4"/>
        <v>2.43</v>
      </c>
    </row>
    <row r="138" s="26" customFormat="1" ht="11" customHeight="1" spans="1:5">
      <c r="A138" s="40"/>
      <c r="B138" s="38">
        <v>970</v>
      </c>
      <c r="C138" s="38">
        <v>2080</v>
      </c>
      <c r="D138" s="38">
        <v>1</v>
      </c>
      <c r="E138" s="39">
        <f t="shared" si="4"/>
        <v>2.02</v>
      </c>
    </row>
    <row r="139" s="26" customFormat="1" ht="11" customHeight="1" spans="1:5">
      <c r="A139" s="40"/>
      <c r="B139" s="38">
        <v>970</v>
      </c>
      <c r="C139" s="38">
        <v>2080</v>
      </c>
      <c r="D139" s="38">
        <v>1</v>
      </c>
      <c r="E139" s="39">
        <f t="shared" si="4"/>
        <v>2.02</v>
      </c>
    </row>
    <row r="140" s="26" customFormat="1" ht="11" customHeight="1" spans="1:5">
      <c r="A140" s="40"/>
      <c r="B140" s="38">
        <v>970</v>
      </c>
      <c r="C140" s="38">
        <v>2080</v>
      </c>
      <c r="D140" s="38">
        <v>1</v>
      </c>
      <c r="E140" s="39">
        <f t="shared" si="4"/>
        <v>2.02</v>
      </c>
    </row>
    <row r="141" s="26" customFormat="1" ht="11" customHeight="1" spans="1:5">
      <c r="A141" s="40"/>
      <c r="B141" s="38">
        <v>970</v>
      </c>
      <c r="C141" s="38">
        <v>2080</v>
      </c>
      <c r="D141" s="38">
        <v>1</v>
      </c>
      <c r="E141" s="39">
        <f t="shared" si="4"/>
        <v>2.02</v>
      </c>
    </row>
    <row r="142" s="26" customFormat="1" ht="11" customHeight="1" spans="1:5">
      <c r="A142" s="40"/>
      <c r="B142" s="38">
        <v>970</v>
      </c>
      <c r="C142" s="38">
        <v>2080</v>
      </c>
      <c r="D142" s="38">
        <v>1</v>
      </c>
      <c r="E142" s="39">
        <f t="shared" si="4"/>
        <v>2.02</v>
      </c>
    </row>
    <row r="143" s="26" customFormat="1" ht="11" customHeight="1" spans="1:5">
      <c r="A143" s="40"/>
      <c r="B143" s="38">
        <v>970</v>
      </c>
      <c r="C143" s="38">
        <v>2080</v>
      </c>
      <c r="D143" s="38">
        <v>1</v>
      </c>
      <c r="E143" s="39">
        <f t="shared" si="4"/>
        <v>2.02</v>
      </c>
    </row>
    <row r="144" s="26" customFormat="1" ht="11" customHeight="1" spans="1:5">
      <c r="A144" s="40"/>
      <c r="B144" s="38">
        <v>1170</v>
      </c>
      <c r="C144" s="38">
        <v>2080</v>
      </c>
      <c r="D144" s="38">
        <v>1</v>
      </c>
      <c r="E144" s="39">
        <f t="shared" si="4"/>
        <v>2.43</v>
      </c>
    </row>
    <row r="145" s="26" customFormat="1" ht="11" customHeight="1" spans="1:5">
      <c r="A145" s="40"/>
      <c r="B145" s="38">
        <v>970</v>
      </c>
      <c r="C145" s="38">
        <v>2080</v>
      </c>
      <c r="D145" s="38">
        <v>1</v>
      </c>
      <c r="E145" s="39">
        <f t="shared" si="4"/>
        <v>2.02</v>
      </c>
    </row>
    <row r="146" s="26" customFormat="1" ht="11" customHeight="1" spans="1:5">
      <c r="A146" s="40"/>
      <c r="B146" s="38">
        <v>970</v>
      </c>
      <c r="C146" s="38">
        <v>2080</v>
      </c>
      <c r="D146" s="38">
        <v>1</v>
      </c>
      <c r="E146" s="39">
        <f t="shared" si="4"/>
        <v>2.02</v>
      </c>
    </row>
    <row r="147" s="26" customFormat="1" ht="11" customHeight="1" spans="1:5">
      <c r="A147" s="40"/>
      <c r="B147" s="38">
        <v>970</v>
      </c>
      <c r="C147" s="38">
        <v>2080</v>
      </c>
      <c r="D147" s="38">
        <v>1</v>
      </c>
      <c r="E147" s="39">
        <f t="shared" si="4"/>
        <v>2.02</v>
      </c>
    </row>
    <row r="148" s="26" customFormat="1" ht="11" customHeight="1" spans="1:5">
      <c r="A148" s="40"/>
      <c r="B148" s="38">
        <v>970</v>
      </c>
      <c r="C148" s="38">
        <v>2080</v>
      </c>
      <c r="D148" s="38">
        <v>1</v>
      </c>
      <c r="E148" s="39">
        <f t="shared" si="4"/>
        <v>2.02</v>
      </c>
    </row>
    <row r="149" s="26" customFormat="1" ht="11" customHeight="1" spans="1:5">
      <c r="A149" s="40"/>
      <c r="B149" s="38">
        <v>1470</v>
      </c>
      <c r="C149" s="38">
        <v>2030</v>
      </c>
      <c r="D149" s="38">
        <v>1</v>
      </c>
      <c r="E149" s="39">
        <f t="shared" si="4"/>
        <v>2.98</v>
      </c>
    </row>
    <row r="150" s="26" customFormat="1" ht="11" customHeight="1" spans="1:5">
      <c r="A150" s="40"/>
      <c r="B150" s="38">
        <v>1170</v>
      </c>
      <c r="C150" s="38">
        <v>2080</v>
      </c>
      <c r="D150" s="38">
        <v>1</v>
      </c>
      <c r="E150" s="39">
        <f t="shared" si="4"/>
        <v>2.43</v>
      </c>
    </row>
    <row r="151" s="26" customFormat="1" ht="11" customHeight="1" spans="1:5">
      <c r="A151" s="40"/>
      <c r="B151" s="38">
        <v>970</v>
      </c>
      <c r="C151" s="38">
        <v>2080</v>
      </c>
      <c r="D151" s="38">
        <v>1</v>
      </c>
      <c r="E151" s="39">
        <f t="shared" si="4"/>
        <v>2.02</v>
      </c>
    </row>
    <row r="152" s="26" customFormat="1" ht="11" customHeight="1" spans="1:5">
      <c r="A152" s="40"/>
      <c r="B152" s="38">
        <v>970</v>
      </c>
      <c r="C152" s="38">
        <v>2080</v>
      </c>
      <c r="D152" s="38">
        <v>1</v>
      </c>
      <c r="E152" s="39">
        <f t="shared" si="4"/>
        <v>2.02</v>
      </c>
    </row>
    <row r="153" s="26" customFormat="1" ht="11" customHeight="1" spans="1:5">
      <c r="A153" s="40"/>
      <c r="B153" s="38">
        <v>970</v>
      </c>
      <c r="C153" s="38">
        <v>2080</v>
      </c>
      <c r="D153" s="38">
        <v>1</v>
      </c>
      <c r="E153" s="39">
        <f t="shared" ref="E153:E176" si="5">B153*C153*D153/1000000</f>
        <v>2.02</v>
      </c>
    </row>
    <row r="154" s="26" customFormat="1" ht="11" customHeight="1" spans="1:5">
      <c r="A154" s="40"/>
      <c r="B154" s="38">
        <v>970</v>
      </c>
      <c r="C154" s="38">
        <v>2080</v>
      </c>
      <c r="D154" s="38">
        <v>1</v>
      </c>
      <c r="E154" s="39">
        <f t="shared" si="5"/>
        <v>2.02</v>
      </c>
    </row>
    <row r="155" s="26" customFormat="1" ht="11" customHeight="1" spans="1:5">
      <c r="A155" s="40"/>
      <c r="B155" s="38">
        <v>1170</v>
      </c>
      <c r="C155" s="38">
        <v>2080</v>
      </c>
      <c r="D155" s="38">
        <v>1</v>
      </c>
      <c r="E155" s="39">
        <f t="shared" si="5"/>
        <v>2.43</v>
      </c>
    </row>
    <row r="156" s="26" customFormat="1" ht="11" customHeight="1" spans="1:5">
      <c r="A156" s="40"/>
      <c r="B156" s="38">
        <v>970</v>
      </c>
      <c r="C156" s="38">
        <v>2080</v>
      </c>
      <c r="D156" s="38">
        <v>1</v>
      </c>
      <c r="E156" s="39">
        <f t="shared" si="5"/>
        <v>2.02</v>
      </c>
    </row>
    <row r="157" s="26" customFormat="1" ht="11" customHeight="1" spans="1:5">
      <c r="A157" s="40"/>
      <c r="B157" s="38">
        <v>1470</v>
      </c>
      <c r="C157" s="38">
        <f>2100-30</f>
        <v>2070</v>
      </c>
      <c r="D157" s="38">
        <v>1</v>
      </c>
      <c r="E157" s="39">
        <f t="shared" si="5"/>
        <v>3.04</v>
      </c>
    </row>
    <row r="158" s="26" customFormat="1" ht="11" customHeight="1" spans="1:5">
      <c r="A158" s="40"/>
      <c r="B158" s="38">
        <v>1170</v>
      </c>
      <c r="C158" s="38">
        <v>2080</v>
      </c>
      <c r="D158" s="38">
        <v>1</v>
      </c>
      <c r="E158" s="39">
        <f t="shared" si="5"/>
        <v>2.43</v>
      </c>
    </row>
    <row r="159" s="26" customFormat="1" ht="11" customHeight="1" spans="1:5">
      <c r="A159" s="40"/>
      <c r="B159" s="38">
        <v>970</v>
      </c>
      <c r="C159" s="38">
        <v>2080</v>
      </c>
      <c r="D159" s="38">
        <v>1</v>
      </c>
      <c r="E159" s="39">
        <f t="shared" si="5"/>
        <v>2.02</v>
      </c>
    </row>
    <row r="160" s="26" customFormat="1" ht="11" customHeight="1" spans="1:5">
      <c r="A160" s="40"/>
      <c r="B160" s="38">
        <v>970</v>
      </c>
      <c r="C160" s="38">
        <v>2080</v>
      </c>
      <c r="D160" s="38">
        <v>1</v>
      </c>
      <c r="E160" s="39">
        <f t="shared" si="5"/>
        <v>2.02</v>
      </c>
    </row>
    <row r="161" s="26" customFormat="1" ht="11" customHeight="1" spans="1:5">
      <c r="A161" s="40"/>
      <c r="B161" s="38">
        <v>950</v>
      </c>
      <c r="C161" s="38">
        <f>2120*0+2080</f>
        <v>2080</v>
      </c>
      <c r="D161" s="38">
        <v>1</v>
      </c>
      <c r="E161" s="39">
        <f t="shared" si="5"/>
        <v>1.98</v>
      </c>
    </row>
    <row r="162" s="26" customFormat="1" ht="11" customHeight="1" spans="1:5">
      <c r="A162" s="40"/>
      <c r="B162" s="38">
        <v>1000</v>
      </c>
      <c r="C162" s="38">
        <f>2120*0+2080</f>
        <v>2080</v>
      </c>
      <c r="D162" s="38">
        <v>1</v>
      </c>
      <c r="E162" s="39">
        <f t="shared" si="5"/>
        <v>2.08</v>
      </c>
    </row>
    <row r="163" s="26" customFormat="1" ht="11" customHeight="1" spans="1:5">
      <c r="A163" s="40"/>
      <c r="B163" s="38">
        <v>970</v>
      </c>
      <c r="C163" s="38">
        <v>2080</v>
      </c>
      <c r="D163" s="38">
        <v>1</v>
      </c>
      <c r="E163" s="39">
        <f t="shared" si="5"/>
        <v>2.02</v>
      </c>
    </row>
    <row r="164" s="26" customFormat="1" ht="11" customHeight="1" spans="1:5">
      <c r="A164" s="40"/>
      <c r="B164" s="38">
        <v>970</v>
      </c>
      <c r="C164" s="38">
        <v>2080</v>
      </c>
      <c r="D164" s="38">
        <f>1</f>
        <v>1</v>
      </c>
      <c r="E164" s="39">
        <f t="shared" si="5"/>
        <v>2.02</v>
      </c>
    </row>
    <row r="165" s="26" customFormat="1" ht="11" customHeight="1" spans="1:5">
      <c r="A165" s="40"/>
      <c r="B165" s="38">
        <v>1170</v>
      </c>
      <c r="C165" s="38">
        <v>2080</v>
      </c>
      <c r="D165" s="38">
        <v>1</v>
      </c>
      <c r="E165" s="39">
        <f t="shared" si="5"/>
        <v>2.43</v>
      </c>
    </row>
    <row r="166" s="26" customFormat="1" ht="11" customHeight="1" spans="1:5">
      <c r="A166" s="40"/>
      <c r="B166" s="38">
        <v>1470</v>
      </c>
      <c r="C166" s="38">
        <v>2050</v>
      </c>
      <c r="D166" s="38">
        <v>1</v>
      </c>
      <c r="E166" s="39">
        <f t="shared" si="5"/>
        <v>3.01</v>
      </c>
    </row>
    <row r="167" s="26" customFormat="1" ht="11" customHeight="1" spans="1:5">
      <c r="A167" s="40"/>
      <c r="B167" s="38">
        <v>970</v>
      </c>
      <c r="C167" s="38">
        <v>2080</v>
      </c>
      <c r="D167" s="38">
        <v>1</v>
      </c>
      <c r="E167" s="39">
        <f t="shared" si="5"/>
        <v>2.02</v>
      </c>
    </row>
    <row r="168" s="26" customFormat="1" ht="11" customHeight="1" spans="1:5">
      <c r="A168" s="40"/>
      <c r="B168" s="38">
        <v>1170</v>
      </c>
      <c r="C168" s="38">
        <v>2080</v>
      </c>
      <c r="D168" s="38">
        <v>1</v>
      </c>
      <c r="E168" s="39">
        <f t="shared" si="5"/>
        <v>2.43</v>
      </c>
    </row>
    <row r="169" s="26" customFormat="1" ht="11" customHeight="1" spans="1:5">
      <c r="A169" s="40"/>
      <c r="B169" s="38">
        <v>970</v>
      </c>
      <c r="C169" s="38">
        <v>2080</v>
      </c>
      <c r="D169" s="38">
        <v>1</v>
      </c>
      <c r="E169" s="39">
        <f t="shared" si="5"/>
        <v>2.02</v>
      </c>
    </row>
    <row r="170" s="26" customFormat="1" ht="11" customHeight="1" spans="1:5">
      <c r="A170" s="40"/>
      <c r="B170" s="38">
        <v>970</v>
      </c>
      <c r="C170" s="38">
        <v>2080</v>
      </c>
      <c r="D170" s="38">
        <v>1</v>
      </c>
      <c r="E170" s="39">
        <f t="shared" si="5"/>
        <v>2.02</v>
      </c>
    </row>
    <row r="171" s="26" customFormat="1" ht="11" customHeight="1" spans="1:5">
      <c r="A171" s="40"/>
      <c r="B171" s="38">
        <v>1170</v>
      </c>
      <c r="C171" s="38">
        <v>2080</v>
      </c>
      <c r="D171" s="38">
        <v>1</v>
      </c>
      <c r="E171" s="39">
        <f t="shared" si="5"/>
        <v>2.43</v>
      </c>
    </row>
    <row r="172" s="26" customFormat="1" ht="11" customHeight="1" spans="1:5">
      <c r="A172" s="40"/>
      <c r="B172" s="38">
        <v>1470</v>
      </c>
      <c r="C172" s="38">
        <v>2030</v>
      </c>
      <c r="D172" s="38">
        <f>1</f>
        <v>1</v>
      </c>
      <c r="E172" s="39">
        <f t="shared" si="5"/>
        <v>2.98</v>
      </c>
    </row>
    <row r="173" s="26" customFormat="1" ht="11" customHeight="1" spans="1:5">
      <c r="A173" s="40"/>
      <c r="B173" s="38">
        <v>970</v>
      </c>
      <c r="C173" s="38">
        <v>2080</v>
      </c>
      <c r="D173" s="38">
        <v>1</v>
      </c>
      <c r="E173" s="39">
        <f t="shared" si="5"/>
        <v>2.02</v>
      </c>
    </row>
    <row r="174" s="26" customFormat="1" ht="11" customHeight="1" spans="1:5">
      <c r="A174" s="40"/>
      <c r="B174" s="38">
        <v>970</v>
      </c>
      <c r="C174" s="38">
        <v>2080</v>
      </c>
      <c r="D174" s="38">
        <v>1</v>
      </c>
      <c r="E174" s="39">
        <f t="shared" si="5"/>
        <v>2.02</v>
      </c>
    </row>
    <row r="175" s="26" customFormat="1" ht="11" customHeight="1" spans="1:5">
      <c r="A175" s="40"/>
      <c r="B175" s="38">
        <f>1470*0+970</f>
        <v>970</v>
      </c>
      <c r="C175" s="38">
        <v>2000</v>
      </c>
      <c r="D175" s="38">
        <v>1</v>
      </c>
      <c r="E175" s="39">
        <f t="shared" si="5"/>
        <v>1.94</v>
      </c>
    </row>
    <row r="176" s="26" customFormat="1" ht="11" customHeight="1" spans="1:5">
      <c r="A176" s="40"/>
      <c r="B176" s="38">
        <f>1210*0+1160</f>
        <v>1160</v>
      </c>
      <c r="C176" s="38">
        <v>2000</v>
      </c>
      <c r="D176" s="38">
        <v>1</v>
      </c>
      <c r="E176" s="39">
        <f t="shared" si="5"/>
        <v>2.32</v>
      </c>
    </row>
    <row r="177" s="26" customFormat="1" ht="18" customHeight="1" spans="1:5">
      <c r="A177" s="34" t="s">
        <v>484</v>
      </c>
      <c r="B177" s="34"/>
      <c r="C177" s="34"/>
      <c r="D177" s="35">
        <f>SUM(D3:D176)</f>
        <v>174</v>
      </c>
      <c r="E177" s="36">
        <f>SUM(E3:E176)</f>
        <v>393.9</v>
      </c>
    </row>
    <row r="178" s="26" customFormat="1" customHeight="1" spans="4:5">
      <c r="D178" s="28"/>
      <c r="E178" s="29"/>
    </row>
    <row r="179" s="26" customFormat="1" customHeight="1" spans="4:5">
      <c r="D179" s="28"/>
      <c r="E179" s="29"/>
    </row>
    <row r="180" s="26" customFormat="1" customHeight="1" spans="4:5">
      <c r="D180" s="41"/>
      <c r="E180" s="29"/>
    </row>
    <row r="181" s="26" customFormat="1" customHeight="1" spans="4:5">
      <c r="D181" s="41"/>
      <c r="E181" s="29"/>
    </row>
    <row r="182" s="26" customFormat="1" customHeight="1" spans="4:5">
      <c r="D182" s="41"/>
      <c r="E182" s="29"/>
    </row>
  </sheetData>
  <autoFilter ref="B2:H177">
    <extLst/>
  </autoFilter>
  <mergeCells count="4">
    <mergeCell ref="A1:E1"/>
    <mergeCell ref="B177:C177"/>
    <mergeCell ref="A3:A88"/>
    <mergeCell ref="A89:A176"/>
  </mergeCells>
  <printOptions horizontalCentered="1"/>
  <pageMargins left="0.393055555555556" right="0.472222222222222" top="0.511805555555556" bottom="0.984027777777778" header="0.511805555555556" footer="0.511805555555556"/>
  <pageSetup paperSize="9" scale="91" orientation="portrait" horizontalDpi="6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H32"/>
  <sheetViews>
    <sheetView workbookViewId="0">
      <selection activeCell="M14" sqref="M14"/>
    </sheetView>
  </sheetViews>
  <sheetFormatPr defaultColWidth="12.625" defaultRowHeight="25" customHeight="1" outlineLevelCol="7"/>
  <cols>
    <col min="1" max="1" width="10.75" style="2" customWidth="1"/>
    <col min="2" max="3" width="12.625" style="2" customWidth="1"/>
    <col min="4" max="4" width="17.625" style="2" customWidth="1"/>
    <col min="5" max="5" width="18.125" style="2" customWidth="1"/>
    <col min="6" max="16384" width="12.625" style="2" customWidth="1"/>
  </cols>
  <sheetData>
    <row r="1" s="1" customFormat="1" ht="37" customHeight="1" spans="1:6">
      <c r="A1" s="3" t="s">
        <v>568</v>
      </c>
      <c r="B1" s="3"/>
      <c r="C1" s="3"/>
      <c r="D1" s="3"/>
      <c r="E1" s="3"/>
      <c r="F1" s="3"/>
    </row>
    <row r="2" s="1" customFormat="1" customHeight="1" spans="1:6">
      <c r="A2" s="4" t="s">
        <v>504</v>
      </c>
      <c r="B2" s="5" t="s">
        <v>370</v>
      </c>
      <c r="C2" s="5" t="s">
        <v>505</v>
      </c>
      <c r="D2" s="6" t="s">
        <v>506</v>
      </c>
      <c r="E2" s="6" t="s">
        <v>507</v>
      </c>
      <c r="F2" s="7" t="s">
        <v>374</v>
      </c>
    </row>
    <row r="3" s="1" customFormat="1" ht="136" customHeight="1" spans="1:6">
      <c r="A3" s="8">
        <v>1</v>
      </c>
      <c r="B3" s="9" t="s">
        <v>502</v>
      </c>
      <c r="C3" s="9">
        <v>8</v>
      </c>
      <c r="D3" s="10">
        <f>E7</f>
        <v>1.81</v>
      </c>
      <c r="E3" s="10">
        <f>C3*D3</f>
        <v>14.48</v>
      </c>
      <c r="F3" s="11" t="s">
        <v>569</v>
      </c>
    </row>
    <row r="4" s="1" customFormat="1" customHeight="1" spans="1:6">
      <c r="A4" s="12" t="s">
        <v>484</v>
      </c>
      <c r="B4" s="13"/>
      <c r="C4" s="13">
        <f>SUM(C3:C3)</f>
        <v>8</v>
      </c>
      <c r="D4" s="14"/>
      <c r="E4" s="14">
        <f>SUM(E3:E3)</f>
        <v>14.48</v>
      </c>
      <c r="F4" s="15"/>
    </row>
    <row r="5" s="1" customFormat="1" ht="33" customHeight="1" spans="1:7">
      <c r="A5" s="3" t="s">
        <v>570</v>
      </c>
      <c r="B5" s="3"/>
      <c r="C5" s="3"/>
      <c r="D5" s="3"/>
      <c r="E5" s="3"/>
      <c r="F5" s="3"/>
      <c r="G5" s="16"/>
    </row>
    <row r="6" s="1" customFormat="1" ht="42" customHeight="1" spans="1:6">
      <c r="A6" s="4" t="s">
        <v>504</v>
      </c>
      <c r="B6" s="5" t="s">
        <v>370</v>
      </c>
      <c r="C6" s="5" t="s">
        <v>515</v>
      </c>
      <c r="D6" s="5" t="s">
        <v>516</v>
      </c>
      <c r="E6" s="6" t="s">
        <v>506</v>
      </c>
      <c r="F6" s="7" t="s">
        <v>374</v>
      </c>
    </row>
    <row r="7" s="1" customFormat="1" ht="36" customHeight="1" spans="1:6">
      <c r="A7" s="8" t="s">
        <v>502</v>
      </c>
      <c r="B7" s="9" t="s">
        <v>571</v>
      </c>
      <c r="C7" s="9">
        <v>880</v>
      </c>
      <c r="D7" s="9">
        <v>2080</v>
      </c>
      <c r="E7" s="10">
        <f>(C7*D7+C8*D8)/2/1000000</f>
        <v>1.81</v>
      </c>
      <c r="F7" s="17"/>
    </row>
    <row r="8" s="1" customFormat="1" ht="43" customHeight="1" spans="1:6">
      <c r="A8" s="18"/>
      <c r="B8" s="19" t="s">
        <v>572</v>
      </c>
      <c r="C8" s="19">
        <v>870</v>
      </c>
      <c r="D8" s="19">
        <v>2060</v>
      </c>
      <c r="E8" s="20"/>
      <c r="F8" s="21"/>
    </row>
    <row r="9" s="1" customFormat="1" customHeight="1" spans="1:6">
      <c r="A9" s="22"/>
      <c r="B9" s="22"/>
      <c r="C9" s="22"/>
      <c r="D9" s="22"/>
      <c r="E9" s="23"/>
      <c r="F9" s="22"/>
    </row>
    <row r="10" s="1" customFormat="1" customHeight="1" spans="1:6">
      <c r="A10" s="22"/>
      <c r="B10" s="22"/>
      <c r="C10" s="22"/>
      <c r="D10" s="22"/>
      <c r="E10" s="23"/>
      <c r="F10" s="22"/>
    </row>
    <row r="11" s="1" customFormat="1" customHeight="1" spans="1:8">
      <c r="A11" s="22"/>
      <c r="B11" s="22"/>
      <c r="C11" s="22"/>
      <c r="D11" s="22"/>
      <c r="E11" s="23"/>
      <c r="F11" s="22"/>
      <c r="H11" s="2"/>
    </row>
    <row r="12" s="1" customFormat="1" customHeight="1" spans="1:6">
      <c r="A12" s="22"/>
      <c r="B12" s="22"/>
      <c r="C12" s="22"/>
      <c r="D12" s="22"/>
      <c r="E12" s="23"/>
      <c r="F12" s="22"/>
    </row>
    <row r="13" s="2" customFormat="1" customHeight="1" spans="1:6">
      <c r="A13" s="22"/>
      <c r="B13" s="22"/>
      <c r="C13" s="22"/>
      <c r="D13" s="22"/>
      <c r="E13" s="23"/>
      <c r="F13" s="22"/>
    </row>
    <row r="14" s="2" customFormat="1" customHeight="1" spans="1:6">
      <c r="A14" s="22"/>
      <c r="B14" s="22"/>
      <c r="C14" s="22"/>
      <c r="D14" s="22"/>
      <c r="E14" s="23"/>
      <c r="F14" s="22"/>
    </row>
    <row r="15" s="2" customFormat="1" customHeight="1" spans="1:6">
      <c r="A15" s="22"/>
      <c r="B15" s="22"/>
      <c r="C15" s="22"/>
      <c r="D15" s="22"/>
      <c r="E15" s="23"/>
      <c r="F15" s="22"/>
    </row>
    <row r="16" s="2" customFormat="1" customHeight="1" spans="1:6">
      <c r="A16" s="22"/>
      <c r="B16" s="22"/>
      <c r="C16" s="22"/>
      <c r="D16" s="22"/>
      <c r="E16" s="23"/>
      <c r="F16" s="22"/>
    </row>
    <row r="17" s="2" customFormat="1" customHeight="1" spans="1:6">
      <c r="A17" s="22"/>
      <c r="B17" s="22"/>
      <c r="C17" s="22"/>
      <c r="D17" s="22"/>
      <c r="E17" s="23"/>
      <c r="F17" s="22"/>
    </row>
    <row r="18" s="2" customFormat="1" customHeight="1" spans="1:6">
      <c r="A18" s="22"/>
      <c r="B18" s="22"/>
      <c r="C18" s="22"/>
      <c r="D18" s="22"/>
      <c r="E18" s="23"/>
      <c r="F18" s="22"/>
    </row>
    <row r="19" s="2" customFormat="1" customHeight="1" spans="1:6">
      <c r="A19" s="22"/>
      <c r="B19" s="22"/>
      <c r="C19" s="22"/>
      <c r="D19" s="22"/>
      <c r="E19" s="23"/>
      <c r="F19" s="22"/>
    </row>
    <row r="20" s="2" customFormat="1" customHeight="1" spans="1:6">
      <c r="A20" s="22"/>
      <c r="B20" s="22"/>
      <c r="C20" s="22"/>
      <c r="D20" s="22"/>
      <c r="E20" s="23"/>
      <c r="F20" s="22"/>
    </row>
    <row r="21" s="2" customFormat="1" customHeight="1" spans="1:6">
      <c r="A21" s="22"/>
      <c r="B21" s="22"/>
      <c r="C21" s="22"/>
      <c r="D21" s="22"/>
      <c r="E21" s="23"/>
      <c r="F21" s="22"/>
    </row>
    <row r="22" s="2" customFormat="1" customHeight="1" spans="1:6">
      <c r="A22" s="22"/>
      <c r="B22" s="22"/>
      <c r="C22" s="22"/>
      <c r="D22" s="22"/>
      <c r="E22" s="23"/>
      <c r="F22" s="22"/>
    </row>
    <row r="23" s="2" customFormat="1" customHeight="1" spans="1:6">
      <c r="A23" s="22"/>
      <c r="B23" s="22"/>
      <c r="C23" s="22"/>
      <c r="D23" s="22"/>
      <c r="E23" s="23"/>
      <c r="F23" s="22"/>
    </row>
    <row r="24" s="2" customFormat="1" customHeight="1" spans="1:6">
      <c r="A24" s="22"/>
      <c r="B24" s="22"/>
      <c r="C24" s="22"/>
      <c r="D24" s="22"/>
      <c r="E24" s="23"/>
      <c r="F24" s="22"/>
    </row>
    <row r="25" s="2" customFormat="1" customHeight="1" spans="1:6">
      <c r="A25" s="22"/>
      <c r="B25" s="22"/>
      <c r="C25" s="22"/>
      <c r="D25" s="22"/>
      <c r="E25" s="23"/>
      <c r="F25" s="22"/>
    </row>
    <row r="26" s="2" customFormat="1" customHeight="1" spans="1:6">
      <c r="A26" s="22"/>
      <c r="B26" s="22"/>
      <c r="C26" s="22"/>
      <c r="D26" s="22"/>
      <c r="E26" s="23"/>
      <c r="F26" s="22"/>
    </row>
    <row r="27" s="2" customFormat="1" customHeight="1" spans="1:6">
      <c r="A27" s="22"/>
      <c r="B27" s="22"/>
      <c r="C27" s="22"/>
      <c r="D27" s="22"/>
      <c r="E27" s="23"/>
      <c r="F27" s="22"/>
    </row>
    <row r="28" s="2" customFormat="1" customHeight="1" spans="1:6">
      <c r="A28" s="22"/>
      <c r="B28" s="22"/>
      <c r="C28" s="22"/>
      <c r="D28" s="22"/>
      <c r="E28" s="23"/>
      <c r="F28" s="22"/>
    </row>
    <row r="29" s="2" customFormat="1" customHeight="1" spans="1:6">
      <c r="A29" s="22"/>
      <c r="B29" s="22"/>
      <c r="C29" s="22"/>
      <c r="D29" s="22"/>
      <c r="E29" s="23"/>
      <c r="F29" s="22"/>
    </row>
    <row r="30" s="2" customFormat="1" customHeight="1" spans="1:6">
      <c r="A30" s="22"/>
      <c r="B30" s="22"/>
      <c r="C30" s="22"/>
      <c r="D30" s="22"/>
      <c r="E30" s="23"/>
      <c r="F30" s="22"/>
    </row>
    <row r="31" s="2" customFormat="1" customHeight="1" spans="1:6">
      <c r="A31" s="22"/>
      <c r="B31" s="22"/>
      <c r="C31" s="22"/>
      <c r="D31" s="22"/>
      <c r="E31" s="23"/>
      <c r="F31" s="22"/>
    </row>
    <row r="32" s="2" customFormat="1" customHeight="1" spans="1:6">
      <c r="A32" s="22"/>
      <c r="B32" s="22"/>
      <c r="C32" s="22"/>
      <c r="D32" s="22"/>
      <c r="E32" s="23"/>
      <c r="F32" s="22"/>
    </row>
  </sheetData>
  <mergeCells count="4">
    <mergeCell ref="A1:F1"/>
    <mergeCell ref="A5:F5"/>
    <mergeCell ref="A7:A8"/>
    <mergeCell ref="E7:E8"/>
  </mergeCells>
  <printOptions horizontalCentered="1"/>
  <pageMargins left="0.696527777777778" right="0.696527777777778" top="0.751388888888889" bottom="0.751388888888889" header="0.298611111111111" footer="0.298611111111111"/>
  <pageSetup paperSize="9" scale="86" orientation="portrait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165" t="s">
        <v>270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</row>
    <row r="2" spans="1:29">
      <c r="A2" s="166" t="s">
        <v>1</v>
      </c>
      <c r="B2" s="166" t="s">
        <v>2</v>
      </c>
      <c r="C2" s="166" t="s">
        <v>3</v>
      </c>
      <c r="D2" s="166" t="s">
        <v>4</v>
      </c>
      <c r="E2" s="166" t="s">
        <v>5</v>
      </c>
      <c r="F2" s="166" t="s">
        <v>6</v>
      </c>
      <c r="G2" s="166" t="s">
        <v>7</v>
      </c>
      <c r="H2" s="166" t="s">
        <v>8</v>
      </c>
      <c r="I2" s="166" t="s">
        <v>9</v>
      </c>
      <c r="J2" s="166" t="s">
        <v>10</v>
      </c>
      <c r="K2" s="166" t="s">
        <v>11</v>
      </c>
      <c r="L2" s="166" t="s">
        <v>12</v>
      </c>
      <c r="M2" s="166" t="s">
        <v>13</v>
      </c>
      <c r="N2" s="166" t="s">
        <v>14</v>
      </c>
      <c r="O2" s="166" t="s">
        <v>15</v>
      </c>
      <c r="P2" s="166" t="s">
        <v>16</v>
      </c>
      <c r="Q2" s="166" t="s">
        <v>17</v>
      </c>
      <c r="R2" s="166" t="s">
        <v>18</v>
      </c>
      <c r="S2" s="166" t="s">
        <v>19</v>
      </c>
      <c r="T2" s="166" t="s">
        <v>20</v>
      </c>
      <c r="U2" s="166" t="s">
        <v>21</v>
      </c>
      <c r="V2" s="166" t="s">
        <v>22</v>
      </c>
      <c r="W2" s="166" t="s">
        <v>23</v>
      </c>
      <c r="X2" s="166" t="s">
        <v>24</v>
      </c>
      <c r="Y2" s="166" t="s">
        <v>25</v>
      </c>
      <c r="Z2" s="166" t="s">
        <v>26</v>
      </c>
      <c r="AA2" s="166" t="s">
        <v>27</v>
      </c>
      <c r="AB2" s="166" t="s">
        <v>28</v>
      </c>
      <c r="AC2" s="166" t="s">
        <v>206</v>
      </c>
    </row>
    <row r="3" spans="1:29">
      <c r="A3" s="166" t="s">
        <v>29</v>
      </c>
      <c r="B3" s="166" t="s">
        <v>271</v>
      </c>
      <c r="C3" s="166">
        <v>900</v>
      </c>
      <c r="D3" s="166">
        <v>2200</v>
      </c>
      <c r="E3" s="166">
        <v>1</v>
      </c>
      <c r="F3" s="168">
        <v>1</v>
      </c>
      <c r="G3" s="166"/>
      <c r="H3" s="166">
        <v>1</v>
      </c>
      <c r="I3" s="166">
        <v>1</v>
      </c>
      <c r="J3" s="166">
        <v>1</v>
      </c>
      <c r="K3" s="166">
        <v>1</v>
      </c>
      <c r="L3" s="166">
        <v>1</v>
      </c>
      <c r="M3" s="166">
        <v>1</v>
      </c>
      <c r="N3" s="166">
        <v>1</v>
      </c>
      <c r="O3" s="166">
        <v>1</v>
      </c>
      <c r="P3" s="166">
        <v>1</v>
      </c>
      <c r="Q3" s="166">
        <v>1</v>
      </c>
      <c r="R3" s="166">
        <v>1</v>
      </c>
      <c r="S3" s="166">
        <v>1</v>
      </c>
      <c r="T3" s="166">
        <v>1</v>
      </c>
      <c r="U3" s="166">
        <v>1</v>
      </c>
      <c r="V3" s="166">
        <v>1</v>
      </c>
      <c r="W3" s="166">
        <v>1</v>
      </c>
      <c r="X3" s="166">
        <v>1</v>
      </c>
      <c r="Y3" s="166">
        <v>1</v>
      </c>
      <c r="Z3" s="166">
        <v>1</v>
      </c>
      <c r="AA3" s="166"/>
      <c r="AB3" s="166">
        <f>SUM(E3:AA3)</f>
        <v>21</v>
      </c>
      <c r="AC3" s="166"/>
    </row>
    <row r="4" spans="1:29">
      <c r="A4" s="166" t="s">
        <v>31</v>
      </c>
      <c r="B4" s="166" t="s">
        <v>40</v>
      </c>
      <c r="C4" s="166">
        <v>900</v>
      </c>
      <c r="D4" s="166">
        <v>1200</v>
      </c>
      <c r="E4" s="166">
        <v>2</v>
      </c>
      <c r="F4" s="168">
        <v>2</v>
      </c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>
        <f t="shared" ref="AB4:AB61" si="0">SUM(E4:AA4)</f>
        <v>4</v>
      </c>
      <c r="AC4" s="166"/>
    </row>
    <row r="5" spans="1:29">
      <c r="A5" s="166" t="s">
        <v>33</v>
      </c>
      <c r="B5" s="166" t="s">
        <v>272</v>
      </c>
      <c r="C5" s="166">
        <v>1600</v>
      </c>
      <c r="D5" s="166">
        <v>1500</v>
      </c>
      <c r="E5" s="166">
        <v>1</v>
      </c>
      <c r="F5" s="168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>
        <f t="shared" si="0"/>
        <v>1</v>
      </c>
      <c r="AC5" s="166"/>
    </row>
    <row r="6" spans="1:29">
      <c r="A6" s="166" t="s">
        <v>35</v>
      </c>
      <c r="B6" s="166" t="s">
        <v>273</v>
      </c>
      <c r="C6" s="166">
        <v>1700</v>
      </c>
      <c r="D6" s="166">
        <v>2000</v>
      </c>
      <c r="E6" s="166">
        <v>1</v>
      </c>
      <c r="F6" s="168">
        <v>1</v>
      </c>
      <c r="G6" s="166"/>
      <c r="H6" s="166">
        <v>1</v>
      </c>
      <c r="I6" s="166">
        <v>1</v>
      </c>
      <c r="J6" s="166">
        <v>1</v>
      </c>
      <c r="K6" s="166">
        <v>1</v>
      </c>
      <c r="L6" s="166">
        <v>1</v>
      </c>
      <c r="M6" s="166">
        <v>1</v>
      </c>
      <c r="N6" s="166">
        <v>1</v>
      </c>
      <c r="O6" s="166">
        <v>1</v>
      </c>
      <c r="P6" s="166">
        <v>1</v>
      </c>
      <c r="Q6" s="166">
        <v>1</v>
      </c>
      <c r="R6" s="166">
        <v>1</v>
      </c>
      <c r="S6" s="166">
        <v>1</v>
      </c>
      <c r="T6" s="166">
        <v>1</v>
      </c>
      <c r="U6" s="166">
        <v>1</v>
      </c>
      <c r="V6" s="166">
        <v>1</v>
      </c>
      <c r="W6" s="166">
        <v>1</v>
      </c>
      <c r="X6" s="166">
        <v>1</v>
      </c>
      <c r="Y6" s="166">
        <v>1</v>
      </c>
      <c r="Z6" s="166">
        <v>1</v>
      </c>
      <c r="AA6" s="166"/>
      <c r="AB6" s="166">
        <f t="shared" si="0"/>
        <v>21</v>
      </c>
      <c r="AC6" s="166"/>
    </row>
    <row r="7" spans="1:29">
      <c r="A7" s="166" t="s">
        <v>37</v>
      </c>
      <c r="B7" s="166" t="s">
        <v>274</v>
      </c>
      <c r="C7" s="166">
        <v>3100</v>
      </c>
      <c r="D7" s="166">
        <v>2100</v>
      </c>
      <c r="E7" s="166"/>
      <c r="F7" s="166">
        <v>3</v>
      </c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>
        <f t="shared" si="0"/>
        <v>3</v>
      </c>
      <c r="AC7" s="166"/>
    </row>
    <row r="8" spans="1:29">
      <c r="A8" s="166" t="s">
        <v>39</v>
      </c>
      <c r="B8" s="169" t="s">
        <v>268</v>
      </c>
      <c r="C8" s="166">
        <v>1500</v>
      </c>
      <c r="D8" s="166">
        <v>2400</v>
      </c>
      <c r="E8" s="166"/>
      <c r="F8" s="166">
        <v>4</v>
      </c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>
        <f t="shared" si="0"/>
        <v>4</v>
      </c>
      <c r="AC8" s="166"/>
    </row>
    <row r="9" spans="1:29">
      <c r="A9" s="166" t="s">
        <v>41</v>
      </c>
      <c r="B9" s="166" t="s">
        <v>275</v>
      </c>
      <c r="C9" s="166"/>
      <c r="D9" s="166"/>
      <c r="E9" s="166"/>
      <c r="F9" s="166">
        <v>1</v>
      </c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>
        <f t="shared" si="0"/>
        <v>1</v>
      </c>
      <c r="AC9" s="166"/>
    </row>
    <row r="10" spans="1:29">
      <c r="A10" s="166" t="s">
        <v>43</v>
      </c>
      <c r="B10" s="166" t="s">
        <v>276</v>
      </c>
      <c r="C10" s="166"/>
      <c r="D10" s="166"/>
      <c r="E10" s="166"/>
      <c r="F10" s="166">
        <v>1</v>
      </c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>
        <f t="shared" si="0"/>
        <v>1</v>
      </c>
      <c r="AC10" s="166"/>
    </row>
    <row r="11" spans="1:29">
      <c r="A11" s="166" t="s">
        <v>45</v>
      </c>
      <c r="B11" s="166" t="s">
        <v>70</v>
      </c>
      <c r="C11" s="166"/>
      <c r="D11" s="166"/>
      <c r="E11" s="166"/>
      <c r="F11" s="166">
        <v>5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>
        <f t="shared" si="0"/>
        <v>5</v>
      </c>
      <c r="AC11" s="166"/>
    </row>
    <row r="12" spans="1:29">
      <c r="A12" s="166" t="s">
        <v>47</v>
      </c>
      <c r="B12" s="166" t="s">
        <v>277</v>
      </c>
      <c r="C12" s="166"/>
      <c r="D12" s="166"/>
      <c r="E12" s="166"/>
      <c r="F12" s="166">
        <v>2</v>
      </c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>
        <f t="shared" si="0"/>
        <v>2</v>
      </c>
      <c r="AC12" s="166"/>
    </row>
    <row r="13" spans="1:29">
      <c r="A13" s="166" t="s">
        <v>49</v>
      </c>
      <c r="B13" s="166" t="s">
        <v>278</v>
      </c>
      <c r="C13" s="166"/>
      <c r="D13" s="166"/>
      <c r="E13" s="166"/>
      <c r="F13" s="166">
        <v>1</v>
      </c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>
        <f t="shared" si="0"/>
        <v>1</v>
      </c>
      <c r="AC13" s="166"/>
    </row>
    <row r="14" spans="1:29">
      <c r="A14" s="166" t="s">
        <v>51</v>
      </c>
      <c r="B14" s="166" t="s">
        <v>279</v>
      </c>
      <c r="C14" s="166"/>
      <c r="D14" s="166"/>
      <c r="E14" s="166"/>
      <c r="F14" s="166">
        <v>1</v>
      </c>
      <c r="G14" s="166"/>
      <c r="H14" s="166"/>
      <c r="I14" s="166"/>
      <c r="J14" s="166">
        <v>1</v>
      </c>
      <c r="K14" s="166">
        <v>1</v>
      </c>
      <c r="L14" s="166">
        <v>1</v>
      </c>
      <c r="M14" s="166">
        <v>1</v>
      </c>
      <c r="N14" s="166">
        <v>1</v>
      </c>
      <c r="O14" s="166">
        <v>1</v>
      </c>
      <c r="P14" s="166">
        <v>1</v>
      </c>
      <c r="Q14" s="166">
        <v>1</v>
      </c>
      <c r="R14" s="166">
        <v>1</v>
      </c>
      <c r="S14" s="166">
        <v>1</v>
      </c>
      <c r="T14" s="166">
        <v>1</v>
      </c>
      <c r="U14" s="166">
        <v>1</v>
      </c>
      <c r="V14" s="166">
        <v>1</v>
      </c>
      <c r="W14" s="166">
        <v>1</v>
      </c>
      <c r="X14" s="166">
        <v>1</v>
      </c>
      <c r="Y14" s="166">
        <v>1</v>
      </c>
      <c r="Z14" s="166">
        <v>1</v>
      </c>
      <c r="AA14" s="166"/>
      <c r="AB14" s="166">
        <f t="shared" si="0"/>
        <v>18</v>
      </c>
      <c r="AC14" s="166"/>
    </row>
    <row r="15" spans="1:29">
      <c r="A15" s="166" t="s">
        <v>53</v>
      </c>
      <c r="B15" s="166" t="s">
        <v>280</v>
      </c>
      <c r="C15" s="166"/>
      <c r="D15" s="166"/>
      <c r="E15" s="166"/>
      <c r="F15" s="166"/>
      <c r="G15" s="166">
        <v>3</v>
      </c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>
        <f t="shared" si="0"/>
        <v>3</v>
      </c>
      <c r="AC15" s="166"/>
    </row>
    <row r="16" spans="1:29">
      <c r="A16" s="166" t="s">
        <v>55</v>
      </c>
      <c r="B16" s="166" t="s">
        <v>281</v>
      </c>
      <c r="C16" s="166"/>
      <c r="D16" s="166"/>
      <c r="E16" s="166"/>
      <c r="F16" s="166"/>
      <c r="G16" s="166">
        <v>2</v>
      </c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>
        <f t="shared" si="0"/>
        <v>2</v>
      </c>
      <c r="AC16" s="166"/>
    </row>
    <row r="17" spans="1:29">
      <c r="A17" s="166" t="s">
        <v>57</v>
      </c>
      <c r="B17" s="166" t="s">
        <v>151</v>
      </c>
      <c r="C17" s="166"/>
      <c r="D17" s="166"/>
      <c r="E17" s="166"/>
      <c r="F17" s="166"/>
      <c r="G17" s="166">
        <v>3</v>
      </c>
      <c r="H17" s="166">
        <v>4</v>
      </c>
      <c r="I17" s="166">
        <v>4</v>
      </c>
      <c r="J17" s="166">
        <v>4</v>
      </c>
      <c r="K17" s="166">
        <v>4</v>
      </c>
      <c r="L17" s="166">
        <v>4</v>
      </c>
      <c r="M17" s="166">
        <v>4</v>
      </c>
      <c r="N17" s="166">
        <v>4</v>
      </c>
      <c r="O17" s="166">
        <v>4</v>
      </c>
      <c r="P17" s="166">
        <v>4</v>
      </c>
      <c r="Q17" s="166">
        <v>4</v>
      </c>
      <c r="R17" s="166">
        <v>4</v>
      </c>
      <c r="S17" s="166">
        <v>4</v>
      </c>
      <c r="T17" s="166">
        <v>4</v>
      </c>
      <c r="U17" s="166">
        <v>4</v>
      </c>
      <c r="V17" s="166">
        <v>4</v>
      </c>
      <c r="W17" s="166">
        <v>4</v>
      </c>
      <c r="X17" s="166">
        <v>4</v>
      </c>
      <c r="Y17" s="166">
        <v>4</v>
      </c>
      <c r="Z17" s="166">
        <v>4</v>
      </c>
      <c r="AA17" s="166"/>
      <c r="AB17" s="166">
        <f t="shared" si="0"/>
        <v>79</v>
      </c>
      <c r="AC17" s="166"/>
    </row>
    <row r="18" spans="1:29">
      <c r="A18" s="166" t="s">
        <v>59</v>
      </c>
      <c r="B18" s="166" t="s">
        <v>282</v>
      </c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>
        <f t="shared" si="0"/>
        <v>0</v>
      </c>
      <c r="AC18" s="166"/>
    </row>
    <row r="19" spans="1:29">
      <c r="A19" s="166" t="s">
        <v>61</v>
      </c>
      <c r="B19" s="166" t="s">
        <v>235</v>
      </c>
      <c r="C19" s="166"/>
      <c r="D19" s="166"/>
      <c r="E19" s="166"/>
      <c r="F19" s="166"/>
      <c r="G19" s="166">
        <v>5</v>
      </c>
      <c r="H19" s="166">
        <v>6</v>
      </c>
      <c r="I19" s="166">
        <v>6</v>
      </c>
      <c r="J19" s="166">
        <v>6</v>
      </c>
      <c r="K19" s="166">
        <v>6</v>
      </c>
      <c r="L19" s="166">
        <v>6</v>
      </c>
      <c r="M19" s="166">
        <v>6</v>
      </c>
      <c r="N19" s="166">
        <v>6</v>
      </c>
      <c r="O19" s="166">
        <v>6</v>
      </c>
      <c r="P19" s="166">
        <v>6</v>
      </c>
      <c r="Q19" s="166">
        <v>6</v>
      </c>
      <c r="R19" s="166">
        <v>6</v>
      </c>
      <c r="S19" s="166">
        <v>6</v>
      </c>
      <c r="T19" s="166">
        <v>6</v>
      </c>
      <c r="U19" s="166">
        <v>6</v>
      </c>
      <c r="V19" s="166">
        <v>6</v>
      </c>
      <c r="W19" s="166">
        <v>6</v>
      </c>
      <c r="X19" s="166">
        <v>6</v>
      </c>
      <c r="Y19" s="166">
        <v>6</v>
      </c>
      <c r="Z19" s="166">
        <v>6</v>
      </c>
      <c r="AA19" s="166"/>
      <c r="AB19" s="166">
        <f t="shared" si="0"/>
        <v>119</v>
      </c>
      <c r="AC19" s="166"/>
    </row>
    <row r="20" spans="1:29">
      <c r="A20" s="166" t="s">
        <v>63</v>
      </c>
      <c r="B20" s="166" t="s">
        <v>283</v>
      </c>
      <c r="C20" s="166"/>
      <c r="D20" s="166"/>
      <c r="E20" s="166"/>
      <c r="F20" s="166"/>
      <c r="G20" s="166">
        <v>1</v>
      </c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>
        <f t="shared" si="0"/>
        <v>1</v>
      </c>
      <c r="AC20" s="166"/>
    </row>
    <row r="21" spans="1:29">
      <c r="A21" s="166" t="s">
        <v>65</v>
      </c>
      <c r="B21" s="166" t="s">
        <v>153</v>
      </c>
      <c r="C21" s="166"/>
      <c r="D21" s="166"/>
      <c r="E21" s="166"/>
      <c r="F21" s="166"/>
      <c r="G21" s="166">
        <v>2</v>
      </c>
      <c r="H21" s="166">
        <v>4</v>
      </c>
      <c r="I21" s="166">
        <v>4</v>
      </c>
      <c r="J21" s="166">
        <v>4</v>
      </c>
      <c r="K21" s="166">
        <v>4</v>
      </c>
      <c r="L21" s="166">
        <v>4</v>
      </c>
      <c r="M21" s="166">
        <v>4</v>
      </c>
      <c r="N21" s="166">
        <v>4</v>
      </c>
      <c r="O21" s="166">
        <v>4</v>
      </c>
      <c r="P21" s="166">
        <v>4</v>
      </c>
      <c r="Q21" s="166">
        <v>4</v>
      </c>
      <c r="R21" s="166">
        <v>4</v>
      </c>
      <c r="S21" s="166">
        <v>4</v>
      </c>
      <c r="T21" s="166">
        <v>4</v>
      </c>
      <c r="U21" s="166">
        <v>4</v>
      </c>
      <c r="V21" s="166">
        <v>4</v>
      </c>
      <c r="W21" s="166">
        <v>4</v>
      </c>
      <c r="X21" s="166">
        <v>4</v>
      </c>
      <c r="Y21" s="166">
        <v>4</v>
      </c>
      <c r="Z21" s="166">
        <v>4</v>
      </c>
      <c r="AA21" s="166"/>
      <c r="AB21" s="166">
        <f t="shared" si="0"/>
        <v>78</v>
      </c>
      <c r="AC21" s="166"/>
    </row>
    <row r="22" spans="1:29">
      <c r="A22" s="166" t="s">
        <v>67</v>
      </c>
      <c r="B22" s="166" t="s">
        <v>284</v>
      </c>
      <c r="C22" s="166"/>
      <c r="D22" s="166"/>
      <c r="E22" s="166"/>
      <c r="F22" s="166"/>
      <c r="G22" s="166">
        <v>1</v>
      </c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>
        <f t="shared" si="0"/>
        <v>1</v>
      </c>
      <c r="AC22" s="166"/>
    </row>
    <row r="23" spans="1:29">
      <c r="A23" s="166" t="s">
        <v>69</v>
      </c>
      <c r="B23" s="166" t="s">
        <v>285</v>
      </c>
      <c r="C23" s="166"/>
      <c r="D23" s="166"/>
      <c r="E23" s="166"/>
      <c r="F23" s="166"/>
      <c r="G23" s="166">
        <v>1</v>
      </c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>
        <f t="shared" si="0"/>
        <v>1</v>
      </c>
      <c r="AC23" s="166"/>
    </row>
    <row r="24" spans="1:29">
      <c r="A24" s="166" t="s">
        <v>71</v>
      </c>
      <c r="B24" s="166" t="s">
        <v>286</v>
      </c>
      <c r="C24" s="166"/>
      <c r="D24" s="166"/>
      <c r="E24" s="166"/>
      <c r="F24" s="166"/>
      <c r="G24" s="166">
        <v>2</v>
      </c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>
        <f t="shared" si="0"/>
        <v>2</v>
      </c>
      <c r="AC24" s="166"/>
    </row>
    <row r="25" spans="1:29">
      <c r="A25" s="166" t="s">
        <v>223</v>
      </c>
      <c r="B25" s="166" t="s">
        <v>287</v>
      </c>
      <c r="C25" s="166"/>
      <c r="D25" s="166"/>
      <c r="E25" s="166"/>
      <c r="F25" s="166"/>
      <c r="G25" s="166">
        <v>2</v>
      </c>
      <c r="H25" s="166">
        <v>2</v>
      </c>
      <c r="I25" s="166">
        <v>2</v>
      </c>
      <c r="J25" s="166">
        <v>2</v>
      </c>
      <c r="K25" s="166">
        <v>2</v>
      </c>
      <c r="L25" s="166">
        <v>2</v>
      </c>
      <c r="M25" s="166">
        <v>2</v>
      </c>
      <c r="N25" s="166">
        <v>2</v>
      </c>
      <c r="O25" s="166">
        <v>2</v>
      </c>
      <c r="P25" s="166">
        <v>2</v>
      </c>
      <c r="Q25" s="166">
        <v>2</v>
      </c>
      <c r="R25" s="166">
        <v>2</v>
      </c>
      <c r="S25" s="166">
        <v>2</v>
      </c>
      <c r="T25" s="166">
        <v>2</v>
      </c>
      <c r="U25" s="166">
        <v>2</v>
      </c>
      <c r="V25" s="166">
        <v>2</v>
      </c>
      <c r="W25" s="166">
        <v>2</v>
      </c>
      <c r="X25" s="166">
        <v>2</v>
      </c>
      <c r="Y25" s="166"/>
      <c r="Z25" s="166">
        <v>2</v>
      </c>
      <c r="AA25" s="166"/>
      <c r="AB25" s="166">
        <f t="shared" si="0"/>
        <v>38</v>
      </c>
      <c r="AC25" s="166"/>
    </row>
    <row r="26" spans="1:29">
      <c r="A26" s="166" t="s">
        <v>73</v>
      </c>
      <c r="B26" s="166" t="s">
        <v>288</v>
      </c>
      <c r="C26" s="166"/>
      <c r="D26" s="166"/>
      <c r="E26" s="166"/>
      <c r="F26" s="166"/>
      <c r="G26" s="166">
        <v>2</v>
      </c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>
        <f t="shared" si="0"/>
        <v>2</v>
      </c>
      <c r="AC26" s="166"/>
    </row>
    <row r="27" spans="1:29">
      <c r="A27" s="166" t="s">
        <v>75</v>
      </c>
      <c r="B27" s="166" t="s">
        <v>289</v>
      </c>
      <c r="C27" s="166"/>
      <c r="D27" s="166"/>
      <c r="E27" s="166"/>
      <c r="F27" s="166"/>
      <c r="G27" s="166">
        <v>1</v>
      </c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>
        <f t="shared" si="0"/>
        <v>1</v>
      </c>
      <c r="AC27" s="166"/>
    </row>
    <row r="28" spans="1:29">
      <c r="A28" s="166" t="s">
        <v>77</v>
      </c>
      <c r="B28" s="166" t="s">
        <v>290</v>
      </c>
      <c r="C28" s="166"/>
      <c r="D28" s="166"/>
      <c r="E28" s="166"/>
      <c r="F28" s="166"/>
      <c r="G28" s="166">
        <v>1</v>
      </c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>
        <f t="shared" si="0"/>
        <v>1</v>
      </c>
      <c r="AC28" s="166"/>
    </row>
    <row r="29" spans="1:29">
      <c r="A29" s="166" t="s">
        <v>79</v>
      </c>
      <c r="B29" s="166" t="s">
        <v>252</v>
      </c>
      <c r="C29" s="166"/>
      <c r="D29" s="166"/>
      <c r="E29" s="166"/>
      <c r="F29" s="166"/>
      <c r="G29" s="166">
        <v>1</v>
      </c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>
        <f t="shared" si="0"/>
        <v>1</v>
      </c>
      <c r="AC29" s="166"/>
    </row>
    <row r="30" spans="1:29">
      <c r="A30" s="166" t="s">
        <v>81</v>
      </c>
      <c r="B30" s="166" t="s">
        <v>291</v>
      </c>
      <c r="C30" s="166"/>
      <c r="D30" s="166"/>
      <c r="E30" s="166"/>
      <c r="F30" s="166"/>
      <c r="G30" s="166">
        <v>2</v>
      </c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>
        <f t="shared" si="0"/>
        <v>2</v>
      </c>
      <c r="AC30" s="166"/>
    </row>
    <row r="31" spans="1:29">
      <c r="A31" s="166" t="s">
        <v>83</v>
      </c>
      <c r="B31" s="166" t="s">
        <v>292</v>
      </c>
      <c r="C31" s="166"/>
      <c r="D31" s="166"/>
      <c r="E31" s="166"/>
      <c r="F31" s="166"/>
      <c r="G31" s="166">
        <v>1</v>
      </c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>
        <f t="shared" si="0"/>
        <v>1</v>
      </c>
      <c r="AC31" s="166"/>
    </row>
    <row r="32" spans="1:29">
      <c r="A32" s="166" t="s">
        <v>85</v>
      </c>
      <c r="B32" s="166" t="s">
        <v>293</v>
      </c>
      <c r="C32" s="166"/>
      <c r="D32" s="166"/>
      <c r="E32" s="166"/>
      <c r="F32" s="166"/>
      <c r="G32" s="166">
        <v>1</v>
      </c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>
        <f t="shared" si="0"/>
        <v>1</v>
      </c>
      <c r="AC32" s="166"/>
    </row>
    <row r="33" spans="1:29">
      <c r="A33" s="166" t="s">
        <v>87</v>
      </c>
      <c r="B33" s="166" t="s">
        <v>294</v>
      </c>
      <c r="C33" s="166"/>
      <c r="D33" s="166"/>
      <c r="E33" s="166"/>
      <c r="F33" s="166"/>
      <c r="G33" s="166">
        <v>2</v>
      </c>
      <c r="H33" s="166">
        <v>2</v>
      </c>
      <c r="I33" s="166">
        <v>2</v>
      </c>
      <c r="J33" s="166">
        <v>2</v>
      </c>
      <c r="K33" s="166">
        <v>2</v>
      </c>
      <c r="L33" s="166">
        <v>2</v>
      </c>
      <c r="M33" s="166">
        <v>2</v>
      </c>
      <c r="N33" s="166">
        <v>2</v>
      </c>
      <c r="O33" s="166">
        <v>2</v>
      </c>
      <c r="P33" s="166">
        <v>2</v>
      </c>
      <c r="Q33" s="166">
        <v>2</v>
      </c>
      <c r="R33" s="166">
        <v>2</v>
      </c>
      <c r="S33" s="166">
        <v>2</v>
      </c>
      <c r="T33" s="166">
        <v>2</v>
      </c>
      <c r="U33" s="166">
        <v>2</v>
      </c>
      <c r="V33" s="166">
        <v>2</v>
      </c>
      <c r="W33" s="166">
        <v>2</v>
      </c>
      <c r="X33" s="166">
        <v>2</v>
      </c>
      <c r="Y33" s="166"/>
      <c r="Z33" s="166">
        <v>2</v>
      </c>
      <c r="AA33" s="166"/>
      <c r="AB33" s="166">
        <f t="shared" si="0"/>
        <v>38</v>
      </c>
      <c r="AC33" s="166"/>
    </row>
    <row r="34" spans="1:29">
      <c r="A34" s="166" t="s">
        <v>89</v>
      </c>
      <c r="B34" s="166" t="s">
        <v>161</v>
      </c>
      <c r="C34" s="166"/>
      <c r="D34" s="166"/>
      <c r="E34" s="166"/>
      <c r="F34" s="166"/>
      <c r="G34" s="166">
        <v>2</v>
      </c>
      <c r="H34" s="166">
        <v>2</v>
      </c>
      <c r="I34" s="166">
        <v>2</v>
      </c>
      <c r="J34" s="166">
        <v>2</v>
      </c>
      <c r="K34" s="166">
        <v>2</v>
      </c>
      <c r="L34" s="166">
        <v>2</v>
      </c>
      <c r="M34" s="166">
        <v>2</v>
      </c>
      <c r="N34" s="166">
        <v>2</v>
      </c>
      <c r="O34" s="166">
        <v>2</v>
      </c>
      <c r="P34" s="166">
        <v>2</v>
      </c>
      <c r="Q34" s="166">
        <v>2</v>
      </c>
      <c r="R34" s="166">
        <v>2</v>
      </c>
      <c r="S34" s="166">
        <v>2</v>
      </c>
      <c r="T34" s="166">
        <v>2</v>
      </c>
      <c r="U34" s="166">
        <v>2</v>
      </c>
      <c r="V34" s="166">
        <v>2</v>
      </c>
      <c r="W34" s="166">
        <v>2</v>
      </c>
      <c r="X34" s="166">
        <v>2</v>
      </c>
      <c r="Y34" s="166"/>
      <c r="Z34" s="166">
        <v>2</v>
      </c>
      <c r="AA34" s="166"/>
      <c r="AB34" s="166">
        <f t="shared" si="0"/>
        <v>38</v>
      </c>
      <c r="AC34" s="166"/>
    </row>
    <row r="35" spans="1:29">
      <c r="A35" s="166" t="s">
        <v>91</v>
      </c>
      <c r="B35" s="166" t="s">
        <v>175</v>
      </c>
      <c r="C35" s="166"/>
      <c r="D35" s="166"/>
      <c r="E35" s="166"/>
      <c r="F35" s="166"/>
      <c r="G35" s="166"/>
      <c r="H35" s="166">
        <v>2</v>
      </c>
      <c r="I35" s="166">
        <v>2</v>
      </c>
      <c r="J35" s="166">
        <v>2</v>
      </c>
      <c r="K35" s="166">
        <v>2</v>
      </c>
      <c r="L35" s="166">
        <v>2</v>
      </c>
      <c r="M35" s="166">
        <v>2</v>
      </c>
      <c r="N35" s="166">
        <v>2</v>
      </c>
      <c r="O35" s="166">
        <v>2</v>
      </c>
      <c r="P35" s="166">
        <v>2</v>
      </c>
      <c r="Q35" s="166">
        <v>2</v>
      </c>
      <c r="R35" s="166">
        <v>2</v>
      </c>
      <c r="S35" s="166">
        <v>2</v>
      </c>
      <c r="T35" s="166">
        <v>2</v>
      </c>
      <c r="U35" s="166">
        <v>2</v>
      </c>
      <c r="V35" s="166">
        <v>2</v>
      </c>
      <c r="W35" s="166">
        <v>2</v>
      </c>
      <c r="X35" s="166">
        <v>2</v>
      </c>
      <c r="Y35" s="166">
        <v>2</v>
      </c>
      <c r="Z35" s="166">
        <v>2</v>
      </c>
      <c r="AA35" s="166"/>
      <c r="AB35" s="166">
        <f t="shared" si="0"/>
        <v>38</v>
      </c>
      <c r="AC35" s="166"/>
    </row>
    <row r="36" spans="1:29">
      <c r="A36" s="166" t="s">
        <v>93</v>
      </c>
      <c r="B36" s="166" t="s">
        <v>295</v>
      </c>
      <c r="C36" s="166"/>
      <c r="D36" s="166"/>
      <c r="E36" s="166"/>
      <c r="F36" s="166"/>
      <c r="G36" s="166">
        <v>1</v>
      </c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>
        <f t="shared" si="0"/>
        <v>1</v>
      </c>
      <c r="AC36" s="166"/>
    </row>
    <row r="37" spans="1:29">
      <c r="A37" s="166" t="s">
        <v>95</v>
      </c>
      <c r="B37" s="166" t="s">
        <v>296</v>
      </c>
      <c r="C37" s="166"/>
      <c r="D37" s="166"/>
      <c r="E37" s="166"/>
      <c r="F37" s="166"/>
      <c r="G37" s="166">
        <v>1</v>
      </c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>
        <f t="shared" si="0"/>
        <v>1</v>
      </c>
      <c r="AC37" s="166"/>
    </row>
    <row r="38" spans="1:29">
      <c r="A38" s="166" t="s">
        <v>97</v>
      </c>
      <c r="B38" s="166" t="s">
        <v>297</v>
      </c>
      <c r="C38" s="166"/>
      <c r="D38" s="166"/>
      <c r="E38" s="166"/>
      <c r="F38" s="166"/>
      <c r="G38" s="166">
        <v>1</v>
      </c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>
        <f t="shared" si="0"/>
        <v>1</v>
      </c>
      <c r="AC38" s="166"/>
    </row>
    <row r="39" spans="1:29">
      <c r="A39" s="166" t="s">
        <v>99</v>
      </c>
      <c r="B39" s="166" t="s">
        <v>298</v>
      </c>
      <c r="C39" s="166"/>
      <c r="D39" s="166"/>
      <c r="E39" s="166"/>
      <c r="F39" s="166"/>
      <c r="G39" s="166">
        <v>1</v>
      </c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>
        <f t="shared" si="0"/>
        <v>1</v>
      </c>
      <c r="AC39" s="166"/>
    </row>
    <row r="40" spans="1:29">
      <c r="A40" s="166" t="s">
        <v>101</v>
      </c>
      <c r="B40" s="166" t="s">
        <v>169</v>
      </c>
      <c r="C40" s="166"/>
      <c r="D40" s="166"/>
      <c r="E40" s="166"/>
      <c r="F40" s="166"/>
      <c r="G40" s="166">
        <v>1</v>
      </c>
      <c r="H40" s="166">
        <v>2</v>
      </c>
      <c r="I40" s="166">
        <v>2</v>
      </c>
      <c r="J40" s="166">
        <v>2</v>
      </c>
      <c r="K40" s="166">
        <v>2</v>
      </c>
      <c r="L40" s="166">
        <v>2</v>
      </c>
      <c r="M40" s="166">
        <v>2</v>
      </c>
      <c r="N40" s="166">
        <v>2</v>
      </c>
      <c r="O40" s="166">
        <v>2</v>
      </c>
      <c r="P40" s="166">
        <v>2</v>
      </c>
      <c r="Q40" s="166">
        <v>2</v>
      </c>
      <c r="R40" s="166">
        <v>2</v>
      </c>
      <c r="S40" s="166">
        <v>2</v>
      </c>
      <c r="T40" s="166">
        <v>2</v>
      </c>
      <c r="U40" s="166">
        <v>2</v>
      </c>
      <c r="V40" s="166">
        <v>2</v>
      </c>
      <c r="W40" s="166">
        <v>2</v>
      </c>
      <c r="X40" s="166">
        <v>2</v>
      </c>
      <c r="Y40" s="166">
        <v>2</v>
      </c>
      <c r="Z40" s="166">
        <v>2</v>
      </c>
      <c r="AA40" s="166"/>
      <c r="AB40" s="166">
        <f t="shared" si="0"/>
        <v>39</v>
      </c>
      <c r="AC40" s="166"/>
    </row>
    <row r="41" spans="1:29">
      <c r="A41" s="166" t="s">
        <v>103</v>
      </c>
      <c r="B41" s="166" t="s">
        <v>299</v>
      </c>
      <c r="C41" s="166"/>
      <c r="D41" s="166"/>
      <c r="E41" s="166"/>
      <c r="F41" s="166"/>
      <c r="G41" s="166">
        <v>1</v>
      </c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>
        <f t="shared" si="0"/>
        <v>1</v>
      </c>
      <c r="AC41" s="166"/>
    </row>
    <row r="42" spans="1:29">
      <c r="A42" s="166" t="s">
        <v>105</v>
      </c>
      <c r="B42" s="166" t="s">
        <v>141</v>
      </c>
      <c r="C42" s="166"/>
      <c r="D42" s="166"/>
      <c r="E42" s="166"/>
      <c r="F42" s="166"/>
      <c r="G42" s="166">
        <v>1</v>
      </c>
      <c r="H42" s="166">
        <v>2</v>
      </c>
      <c r="I42" s="166">
        <v>2</v>
      </c>
      <c r="J42" s="166">
        <v>2</v>
      </c>
      <c r="K42" s="166">
        <v>2</v>
      </c>
      <c r="L42" s="166">
        <v>2</v>
      </c>
      <c r="M42" s="166">
        <v>2</v>
      </c>
      <c r="N42" s="166">
        <v>2</v>
      </c>
      <c r="O42" s="166">
        <v>2</v>
      </c>
      <c r="P42" s="166">
        <v>2</v>
      </c>
      <c r="Q42" s="166">
        <v>2</v>
      </c>
      <c r="R42" s="166">
        <v>2</v>
      </c>
      <c r="S42" s="166">
        <v>2</v>
      </c>
      <c r="T42" s="166">
        <v>2</v>
      </c>
      <c r="U42" s="166">
        <v>2</v>
      </c>
      <c r="V42" s="166">
        <v>2</v>
      </c>
      <c r="W42" s="166">
        <v>2</v>
      </c>
      <c r="X42" s="166">
        <v>2</v>
      </c>
      <c r="Y42" s="166">
        <v>2</v>
      </c>
      <c r="Z42" s="166">
        <v>2</v>
      </c>
      <c r="AA42" s="166"/>
      <c r="AB42" s="166">
        <f t="shared" si="0"/>
        <v>39</v>
      </c>
      <c r="AC42" s="166"/>
    </row>
    <row r="43" spans="1:29">
      <c r="A43" s="166" t="s">
        <v>107</v>
      </c>
      <c r="B43" s="166" t="s">
        <v>143</v>
      </c>
      <c r="C43" s="166"/>
      <c r="D43" s="166"/>
      <c r="E43" s="166"/>
      <c r="F43" s="166"/>
      <c r="G43" s="166">
        <v>1</v>
      </c>
      <c r="H43" s="166">
        <v>2</v>
      </c>
      <c r="I43" s="166">
        <v>2</v>
      </c>
      <c r="J43" s="166">
        <v>2</v>
      </c>
      <c r="K43" s="166">
        <v>2</v>
      </c>
      <c r="L43" s="166">
        <v>2</v>
      </c>
      <c r="M43" s="166">
        <v>2</v>
      </c>
      <c r="N43" s="166">
        <v>2</v>
      </c>
      <c r="O43" s="166">
        <v>2</v>
      </c>
      <c r="P43" s="166">
        <v>2</v>
      </c>
      <c r="Q43" s="166">
        <v>2</v>
      </c>
      <c r="R43" s="166">
        <v>2</v>
      </c>
      <c r="S43" s="166">
        <v>2</v>
      </c>
      <c r="T43" s="166">
        <v>2</v>
      </c>
      <c r="U43" s="166">
        <v>2</v>
      </c>
      <c r="V43" s="166">
        <v>2</v>
      </c>
      <c r="W43" s="166">
        <v>2</v>
      </c>
      <c r="X43" s="166">
        <v>2</v>
      </c>
      <c r="Y43" s="166">
        <v>2</v>
      </c>
      <c r="Z43" s="166">
        <v>2</v>
      </c>
      <c r="AA43" s="166"/>
      <c r="AB43" s="166">
        <f t="shared" si="0"/>
        <v>39</v>
      </c>
      <c r="AC43" s="166"/>
    </row>
    <row r="44" spans="1:29">
      <c r="A44" s="166" t="s">
        <v>109</v>
      </c>
      <c r="B44" s="166" t="s">
        <v>147</v>
      </c>
      <c r="C44" s="166"/>
      <c r="D44" s="166"/>
      <c r="E44" s="166"/>
      <c r="F44" s="166"/>
      <c r="G44" s="166"/>
      <c r="H44" s="166">
        <v>3</v>
      </c>
      <c r="I44" s="166">
        <v>3</v>
      </c>
      <c r="J44" s="166">
        <v>3</v>
      </c>
      <c r="K44" s="166">
        <v>3</v>
      </c>
      <c r="L44" s="166">
        <v>3</v>
      </c>
      <c r="M44" s="166">
        <v>3</v>
      </c>
      <c r="N44" s="166">
        <v>3</v>
      </c>
      <c r="O44" s="166">
        <v>3</v>
      </c>
      <c r="P44" s="166">
        <v>3</v>
      </c>
      <c r="Q44" s="166">
        <v>3</v>
      </c>
      <c r="R44" s="166">
        <v>3</v>
      </c>
      <c r="S44" s="166">
        <v>3</v>
      </c>
      <c r="T44" s="166">
        <v>3</v>
      </c>
      <c r="U44" s="166">
        <v>3</v>
      </c>
      <c r="V44" s="166">
        <v>3</v>
      </c>
      <c r="W44" s="166">
        <v>3</v>
      </c>
      <c r="X44" s="166">
        <v>3</v>
      </c>
      <c r="Y44" s="166">
        <v>3</v>
      </c>
      <c r="Z44" s="166">
        <v>3</v>
      </c>
      <c r="AA44" s="166"/>
      <c r="AB44" s="166">
        <f t="shared" si="0"/>
        <v>57</v>
      </c>
      <c r="AC44" s="166"/>
    </row>
    <row r="45" spans="1:29">
      <c r="A45" s="166" t="s">
        <v>111</v>
      </c>
      <c r="B45" s="166" t="s">
        <v>157</v>
      </c>
      <c r="C45" s="166"/>
      <c r="D45" s="166"/>
      <c r="E45" s="166"/>
      <c r="F45" s="166"/>
      <c r="G45" s="166">
        <v>1</v>
      </c>
      <c r="H45" s="166">
        <v>2</v>
      </c>
      <c r="I45" s="166">
        <v>2</v>
      </c>
      <c r="J45" s="166">
        <v>2</v>
      </c>
      <c r="K45" s="166">
        <v>2</v>
      </c>
      <c r="L45" s="166">
        <v>2</v>
      </c>
      <c r="M45" s="166">
        <v>2</v>
      </c>
      <c r="N45" s="166">
        <v>2</v>
      </c>
      <c r="O45" s="166">
        <v>2</v>
      </c>
      <c r="P45" s="166">
        <v>2</v>
      </c>
      <c r="Q45" s="166">
        <v>2</v>
      </c>
      <c r="R45" s="166">
        <v>2</v>
      </c>
      <c r="S45" s="166">
        <v>2</v>
      </c>
      <c r="T45" s="166">
        <v>2</v>
      </c>
      <c r="U45" s="166">
        <v>2</v>
      </c>
      <c r="V45" s="166">
        <v>2</v>
      </c>
      <c r="W45" s="166">
        <v>2</v>
      </c>
      <c r="X45" s="166">
        <v>2</v>
      </c>
      <c r="Y45" s="166">
        <v>2</v>
      </c>
      <c r="Z45" s="166">
        <v>2</v>
      </c>
      <c r="AA45" s="166"/>
      <c r="AB45" s="166">
        <f t="shared" si="0"/>
        <v>39</v>
      </c>
      <c r="AC45" s="166"/>
    </row>
    <row r="46" spans="1:29">
      <c r="A46" s="166" t="s">
        <v>113</v>
      </c>
      <c r="B46" s="166" t="s">
        <v>159</v>
      </c>
      <c r="C46" s="166"/>
      <c r="D46" s="166"/>
      <c r="E46" s="166"/>
      <c r="F46" s="166"/>
      <c r="G46" s="166"/>
      <c r="H46" s="166">
        <v>1</v>
      </c>
      <c r="I46" s="166">
        <v>1</v>
      </c>
      <c r="J46" s="166">
        <v>1</v>
      </c>
      <c r="K46" s="166">
        <v>1</v>
      </c>
      <c r="L46" s="166">
        <v>1</v>
      </c>
      <c r="M46" s="166">
        <v>1</v>
      </c>
      <c r="N46" s="166">
        <v>1</v>
      </c>
      <c r="O46" s="166">
        <v>1</v>
      </c>
      <c r="P46" s="166">
        <v>1</v>
      </c>
      <c r="Q46" s="166">
        <v>1</v>
      </c>
      <c r="R46" s="166">
        <v>1</v>
      </c>
      <c r="S46" s="166">
        <v>1</v>
      </c>
      <c r="T46" s="166">
        <v>1</v>
      </c>
      <c r="U46" s="166">
        <v>1</v>
      </c>
      <c r="V46" s="166">
        <v>1</v>
      </c>
      <c r="W46" s="166">
        <v>1</v>
      </c>
      <c r="X46" s="166">
        <v>1</v>
      </c>
      <c r="Y46" s="166">
        <v>1</v>
      </c>
      <c r="Z46" s="166">
        <v>1</v>
      </c>
      <c r="AA46" s="166"/>
      <c r="AB46" s="166">
        <f t="shared" si="0"/>
        <v>19</v>
      </c>
      <c r="AC46" s="166"/>
    </row>
    <row r="47" spans="1:29">
      <c r="A47" s="166" t="s">
        <v>115</v>
      </c>
      <c r="B47" s="166" t="s">
        <v>300</v>
      </c>
      <c r="C47" s="166"/>
      <c r="D47" s="166"/>
      <c r="E47" s="166"/>
      <c r="F47" s="166"/>
      <c r="G47" s="166"/>
      <c r="H47" s="166">
        <v>2</v>
      </c>
      <c r="I47" s="166">
        <v>2</v>
      </c>
      <c r="J47" s="166">
        <v>2</v>
      </c>
      <c r="K47" s="166">
        <v>2</v>
      </c>
      <c r="L47" s="166">
        <v>2</v>
      </c>
      <c r="M47" s="166">
        <v>2</v>
      </c>
      <c r="N47" s="166">
        <v>2</v>
      </c>
      <c r="O47" s="166">
        <v>2</v>
      </c>
      <c r="P47" s="166">
        <v>2</v>
      </c>
      <c r="Q47" s="166">
        <v>2</v>
      </c>
      <c r="R47" s="166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>
        <v>2</v>
      </c>
      <c r="AA47" s="166"/>
      <c r="AB47" s="166">
        <f t="shared" si="0"/>
        <v>38</v>
      </c>
      <c r="AC47" s="166"/>
    </row>
    <row r="48" spans="1:29">
      <c r="A48" s="166" t="s">
        <v>117</v>
      </c>
      <c r="B48" s="166" t="s">
        <v>163</v>
      </c>
      <c r="C48" s="166"/>
      <c r="D48" s="166"/>
      <c r="E48" s="166"/>
      <c r="F48" s="166"/>
      <c r="G48" s="166"/>
      <c r="H48" s="166">
        <v>2</v>
      </c>
      <c r="I48" s="166">
        <v>2</v>
      </c>
      <c r="J48" s="166">
        <v>2</v>
      </c>
      <c r="K48" s="166">
        <v>2</v>
      </c>
      <c r="L48" s="166">
        <v>2</v>
      </c>
      <c r="M48" s="166">
        <v>2</v>
      </c>
      <c r="N48" s="166">
        <v>2</v>
      </c>
      <c r="O48" s="166">
        <v>2</v>
      </c>
      <c r="P48" s="166">
        <v>2</v>
      </c>
      <c r="Q48" s="166">
        <v>2</v>
      </c>
      <c r="R48" s="166">
        <v>2</v>
      </c>
      <c r="S48" s="166">
        <v>2</v>
      </c>
      <c r="T48" s="166">
        <v>2</v>
      </c>
      <c r="U48" s="166">
        <v>2</v>
      </c>
      <c r="V48" s="166">
        <v>2</v>
      </c>
      <c r="W48" s="166">
        <v>2</v>
      </c>
      <c r="X48" s="166">
        <v>2</v>
      </c>
      <c r="Y48" s="166">
        <v>2</v>
      </c>
      <c r="Z48" s="166">
        <v>2</v>
      </c>
      <c r="AA48" s="166"/>
      <c r="AB48" s="166">
        <f t="shared" si="0"/>
        <v>38</v>
      </c>
      <c r="AC48" s="166"/>
    </row>
    <row r="49" spans="1:29">
      <c r="A49" s="166" t="s">
        <v>119</v>
      </c>
      <c r="B49" s="166" t="s">
        <v>179</v>
      </c>
      <c r="C49" s="166"/>
      <c r="D49" s="166"/>
      <c r="E49" s="166"/>
      <c r="F49" s="166"/>
      <c r="G49" s="166"/>
      <c r="H49" s="166">
        <v>2</v>
      </c>
      <c r="I49" s="166">
        <v>1</v>
      </c>
      <c r="J49" s="166">
        <v>2</v>
      </c>
      <c r="K49" s="166">
        <v>2</v>
      </c>
      <c r="L49" s="166">
        <v>2</v>
      </c>
      <c r="M49" s="166">
        <v>1</v>
      </c>
      <c r="N49" s="166">
        <v>2</v>
      </c>
      <c r="O49" s="166">
        <v>2</v>
      </c>
      <c r="P49" s="166">
        <v>2</v>
      </c>
      <c r="Q49" s="166">
        <v>2</v>
      </c>
      <c r="R49" s="166">
        <v>2</v>
      </c>
      <c r="S49" s="166">
        <v>2</v>
      </c>
      <c r="T49" s="166">
        <v>2</v>
      </c>
      <c r="U49" s="166">
        <v>2</v>
      </c>
      <c r="V49" s="166">
        <v>2</v>
      </c>
      <c r="W49" s="166">
        <v>2</v>
      </c>
      <c r="X49" s="166">
        <v>2</v>
      </c>
      <c r="Y49" s="166">
        <v>2</v>
      </c>
      <c r="Z49" s="166">
        <v>2</v>
      </c>
      <c r="AA49" s="166"/>
      <c r="AB49" s="166">
        <f t="shared" si="0"/>
        <v>36</v>
      </c>
      <c r="AC49" s="166"/>
    </row>
    <row r="50" spans="1:29">
      <c r="A50" s="166" t="s">
        <v>121</v>
      </c>
      <c r="B50" s="166" t="s">
        <v>301</v>
      </c>
      <c r="C50" s="166"/>
      <c r="D50" s="166"/>
      <c r="E50" s="166"/>
      <c r="F50" s="166"/>
      <c r="G50" s="166"/>
      <c r="H50" s="166">
        <v>1</v>
      </c>
      <c r="I50" s="166">
        <v>1</v>
      </c>
      <c r="J50" s="166">
        <v>1</v>
      </c>
      <c r="K50" s="166">
        <v>1</v>
      </c>
      <c r="L50" s="166">
        <v>1</v>
      </c>
      <c r="M50" s="166">
        <v>1</v>
      </c>
      <c r="N50" s="166">
        <v>1</v>
      </c>
      <c r="O50" s="166">
        <v>1</v>
      </c>
      <c r="P50" s="166">
        <v>1</v>
      </c>
      <c r="Q50" s="166">
        <v>1</v>
      </c>
      <c r="R50" s="166">
        <v>1</v>
      </c>
      <c r="S50" s="166">
        <v>1</v>
      </c>
      <c r="T50" s="166">
        <v>1</v>
      </c>
      <c r="U50" s="166">
        <v>1</v>
      </c>
      <c r="V50" s="166">
        <v>1</v>
      </c>
      <c r="W50" s="166">
        <v>1</v>
      </c>
      <c r="X50" s="166">
        <v>1</v>
      </c>
      <c r="Y50" s="166">
        <v>1</v>
      </c>
      <c r="Z50" s="166">
        <v>1</v>
      </c>
      <c r="AA50" s="166">
        <v>2</v>
      </c>
      <c r="AB50" s="166">
        <f t="shared" si="0"/>
        <v>21</v>
      </c>
      <c r="AC50" s="166"/>
    </row>
    <row r="51" spans="1:29">
      <c r="A51" s="166" t="s">
        <v>123</v>
      </c>
      <c r="B51" s="166" t="s">
        <v>145</v>
      </c>
      <c r="C51" s="166"/>
      <c r="D51" s="166"/>
      <c r="E51" s="166"/>
      <c r="F51" s="166"/>
      <c r="G51" s="166"/>
      <c r="H51" s="166">
        <v>4</v>
      </c>
      <c r="I51" s="166">
        <v>4</v>
      </c>
      <c r="J51" s="166">
        <v>4</v>
      </c>
      <c r="K51" s="166">
        <v>4</v>
      </c>
      <c r="L51" s="166">
        <v>4</v>
      </c>
      <c r="M51" s="166">
        <v>4</v>
      </c>
      <c r="N51" s="166">
        <v>4</v>
      </c>
      <c r="O51" s="166">
        <v>4</v>
      </c>
      <c r="P51" s="166">
        <v>4</v>
      </c>
      <c r="Q51" s="166">
        <v>4</v>
      </c>
      <c r="R51" s="166">
        <v>4</v>
      </c>
      <c r="S51" s="166">
        <v>4</v>
      </c>
      <c r="T51" s="166">
        <v>4</v>
      </c>
      <c r="U51" s="166">
        <v>4</v>
      </c>
      <c r="V51" s="166">
        <v>4</v>
      </c>
      <c r="W51" s="166">
        <v>4</v>
      </c>
      <c r="X51" s="166">
        <v>4</v>
      </c>
      <c r="Y51" s="166">
        <v>4</v>
      </c>
      <c r="Z51" s="166">
        <v>4</v>
      </c>
      <c r="AA51" s="166"/>
      <c r="AB51" s="166">
        <f t="shared" si="0"/>
        <v>76</v>
      </c>
      <c r="AC51" s="166"/>
    </row>
    <row r="52" spans="1:29">
      <c r="A52" s="166" t="s">
        <v>125</v>
      </c>
      <c r="B52" s="166" t="s">
        <v>302</v>
      </c>
      <c r="C52" s="166"/>
      <c r="D52" s="166"/>
      <c r="E52" s="166"/>
      <c r="F52" s="166"/>
      <c r="G52" s="166"/>
      <c r="H52" s="166"/>
      <c r="I52" s="166">
        <v>1</v>
      </c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>
        <v>1</v>
      </c>
      <c r="Z52" s="166"/>
      <c r="AA52" s="166"/>
      <c r="AB52" s="166">
        <f t="shared" si="0"/>
        <v>2</v>
      </c>
      <c r="AC52" s="166"/>
    </row>
    <row r="53" spans="1:29">
      <c r="A53" s="166" t="s">
        <v>127</v>
      </c>
      <c r="B53" s="166" t="s">
        <v>303</v>
      </c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>
        <v>2</v>
      </c>
      <c r="Z53" s="166"/>
      <c r="AA53" s="166"/>
      <c r="AB53" s="166">
        <f t="shared" si="0"/>
        <v>2</v>
      </c>
      <c r="AC53" s="166"/>
    </row>
    <row r="54" spans="1:29">
      <c r="A54" s="166" t="s">
        <v>129</v>
      </c>
      <c r="B54" s="166" t="s">
        <v>304</v>
      </c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>
        <v>2</v>
      </c>
      <c r="Z54" s="166"/>
      <c r="AA54" s="166"/>
      <c r="AB54" s="166">
        <f t="shared" si="0"/>
        <v>2</v>
      </c>
      <c r="AC54" s="166"/>
    </row>
    <row r="55" spans="1:29">
      <c r="A55" s="166" t="s">
        <v>131</v>
      </c>
      <c r="B55" s="166" t="s">
        <v>305</v>
      </c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>
        <v>2</v>
      </c>
      <c r="Z55" s="166"/>
      <c r="AA55" s="166"/>
      <c r="AB55" s="166">
        <f t="shared" si="0"/>
        <v>2</v>
      </c>
      <c r="AC55" s="166"/>
    </row>
    <row r="56" spans="1:29">
      <c r="A56" s="166" t="s">
        <v>133</v>
      </c>
      <c r="B56" s="166" t="s">
        <v>191</v>
      </c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>
        <v>3</v>
      </c>
      <c r="AB56" s="166">
        <f t="shared" si="0"/>
        <v>3</v>
      </c>
      <c r="AC56" s="166"/>
    </row>
    <row r="57" spans="1:28">
      <c r="A57" s="166" t="s">
        <v>135</v>
      </c>
      <c r="B57" s="166" t="s">
        <v>306</v>
      </c>
      <c r="F57">
        <v>1</v>
      </c>
      <c r="AB57" s="166">
        <f t="shared" si="0"/>
        <v>1</v>
      </c>
    </row>
    <row r="58" spans="1:28">
      <c r="A58" s="166" t="s">
        <v>137</v>
      </c>
      <c r="B58" s="166" t="s">
        <v>307</v>
      </c>
      <c r="G58">
        <v>2</v>
      </c>
      <c r="AB58" s="166">
        <f t="shared" si="0"/>
        <v>2</v>
      </c>
    </row>
    <row r="59" spans="28:28">
      <c r="AB59" s="166">
        <f t="shared" si="0"/>
        <v>0</v>
      </c>
    </row>
    <row r="60" spans="28:28">
      <c r="AB60" s="166">
        <f t="shared" si="0"/>
        <v>0</v>
      </c>
    </row>
    <row r="61" spans="28:28">
      <c r="AB61" s="166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170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165" t="s">
        <v>308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</row>
    <row r="2" spans="1:29">
      <c r="A2" s="166" t="s">
        <v>1</v>
      </c>
      <c r="B2" s="166" t="s">
        <v>2</v>
      </c>
      <c r="C2" s="166" t="s">
        <v>3</v>
      </c>
      <c r="D2" s="166" t="s">
        <v>4</v>
      </c>
      <c r="E2" s="166" t="s">
        <v>5</v>
      </c>
      <c r="F2" s="166" t="s">
        <v>6</v>
      </c>
      <c r="G2" s="166" t="s">
        <v>7</v>
      </c>
      <c r="H2" s="166" t="s">
        <v>8</v>
      </c>
      <c r="I2" s="166" t="s">
        <v>9</v>
      </c>
      <c r="J2" s="166" t="s">
        <v>10</v>
      </c>
      <c r="K2" s="166" t="s">
        <v>11</v>
      </c>
      <c r="L2" s="166" t="s">
        <v>12</v>
      </c>
      <c r="M2" s="166" t="s">
        <v>13</v>
      </c>
      <c r="N2" s="166" t="s">
        <v>14</v>
      </c>
      <c r="O2" s="166" t="s">
        <v>15</v>
      </c>
      <c r="P2" s="166" t="s">
        <v>16</v>
      </c>
      <c r="Q2" s="166" t="s">
        <v>17</v>
      </c>
      <c r="R2" s="166" t="s">
        <v>18</v>
      </c>
      <c r="S2" s="166" t="s">
        <v>19</v>
      </c>
      <c r="T2" s="166" t="s">
        <v>20</v>
      </c>
      <c r="U2" s="166" t="s">
        <v>21</v>
      </c>
      <c r="V2" s="166" t="s">
        <v>22</v>
      </c>
      <c r="W2" s="166" t="s">
        <v>23</v>
      </c>
      <c r="X2" s="166" t="s">
        <v>24</v>
      </c>
      <c r="Y2" s="166" t="s">
        <v>25</v>
      </c>
      <c r="Z2" s="166" t="s">
        <v>26</v>
      </c>
      <c r="AA2" s="166" t="s">
        <v>27</v>
      </c>
      <c r="AB2" s="166" t="s">
        <v>28</v>
      </c>
      <c r="AC2" s="166" t="s">
        <v>206</v>
      </c>
    </row>
    <row r="3" spans="1:29">
      <c r="A3" s="166" t="s">
        <v>29</v>
      </c>
      <c r="B3" s="166" t="s">
        <v>309</v>
      </c>
      <c r="C3" s="166"/>
      <c r="D3" s="166"/>
      <c r="E3" s="166">
        <v>2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>
        <f t="shared" ref="AB3:AB30" si="0">SUM(E3:AA3)</f>
        <v>2</v>
      </c>
      <c r="AC3" s="166">
        <f>C3*D3*AB3/1000000</f>
        <v>0</v>
      </c>
    </row>
    <row r="4" spans="1:29">
      <c r="A4" s="166" t="s">
        <v>31</v>
      </c>
      <c r="B4" s="166" t="s">
        <v>310</v>
      </c>
      <c r="C4" s="166"/>
      <c r="D4" s="166"/>
      <c r="E4" s="166"/>
      <c r="F4" s="166">
        <v>1</v>
      </c>
      <c r="G4" s="166">
        <v>1</v>
      </c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>
        <f t="shared" si="0"/>
        <v>2</v>
      </c>
      <c r="AC4" s="166">
        <f t="shared" ref="AC4:AC52" si="1">C4*D4*AB4/1000000</f>
        <v>0</v>
      </c>
    </row>
    <row r="5" spans="1:29">
      <c r="A5" s="166" t="s">
        <v>33</v>
      </c>
      <c r="B5" s="166" t="s">
        <v>311</v>
      </c>
      <c r="C5" s="166"/>
      <c r="D5" s="166"/>
      <c r="E5" s="166"/>
      <c r="F5" s="166">
        <v>1</v>
      </c>
      <c r="G5" s="166">
        <v>1</v>
      </c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>
        <f t="shared" si="0"/>
        <v>2</v>
      </c>
      <c r="AC5" s="166">
        <f t="shared" si="1"/>
        <v>0</v>
      </c>
    </row>
    <row r="6" spans="1:29">
      <c r="A6" s="166" t="s">
        <v>35</v>
      </c>
      <c r="B6" s="166" t="s">
        <v>312</v>
      </c>
      <c r="C6" s="166"/>
      <c r="D6" s="166"/>
      <c r="E6" s="166"/>
      <c r="F6" s="166">
        <v>1</v>
      </c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>
        <f t="shared" si="0"/>
        <v>1</v>
      </c>
      <c r="AC6" s="166">
        <f t="shared" si="1"/>
        <v>0</v>
      </c>
    </row>
    <row r="7" spans="1:29">
      <c r="A7" s="166" t="s">
        <v>37</v>
      </c>
      <c r="B7" s="166" t="s">
        <v>313</v>
      </c>
      <c r="C7" s="166"/>
      <c r="D7" s="166"/>
      <c r="E7" s="166"/>
      <c r="F7" s="166">
        <v>2</v>
      </c>
      <c r="G7" s="166">
        <v>2</v>
      </c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>
        <f t="shared" si="0"/>
        <v>4</v>
      </c>
      <c r="AC7" s="166">
        <f t="shared" si="1"/>
        <v>0</v>
      </c>
    </row>
    <row r="8" spans="1:29">
      <c r="A8" s="166" t="s">
        <v>39</v>
      </c>
      <c r="B8" s="166" t="s">
        <v>314</v>
      </c>
      <c r="C8" s="166"/>
      <c r="D8" s="166"/>
      <c r="E8" s="166"/>
      <c r="F8" s="166">
        <v>1</v>
      </c>
      <c r="G8" s="166">
        <v>1</v>
      </c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>
        <f t="shared" si="0"/>
        <v>2</v>
      </c>
      <c r="AC8" s="166">
        <f t="shared" si="1"/>
        <v>0</v>
      </c>
    </row>
    <row r="9" spans="1:29">
      <c r="A9" s="166" t="s">
        <v>41</v>
      </c>
      <c r="B9" s="166" t="s">
        <v>315</v>
      </c>
      <c r="C9" s="166"/>
      <c r="D9" s="166"/>
      <c r="E9" s="166"/>
      <c r="F9" s="166">
        <v>1</v>
      </c>
      <c r="G9" s="166">
        <v>1</v>
      </c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>
        <f t="shared" si="0"/>
        <v>2</v>
      </c>
      <c r="AC9" s="166">
        <f t="shared" si="1"/>
        <v>0</v>
      </c>
    </row>
    <row r="10" spans="1:29">
      <c r="A10" s="166" t="s">
        <v>43</v>
      </c>
      <c r="B10" s="166" t="s">
        <v>316</v>
      </c>
      <c r="C10" s="166"/>
      <c r="D10" s="166"/>
      <c r="E10" s="166"/>
      <c r="F10" s="166">
        <v>1</v>
      </c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>
        <f t="shared" si="0"/>
        <v>1</v>
      </c>
      <c r="AC10" s="166">
        <f t="shared" si="1"/>
        <v>0</v>
      </c>
    </row>
    <row r="11" spans="1:29">
      <c r="A11" s="166" t="s">
        <v>45</v>
      </c>
      <c r="B11" s="166" t="s">
        <v>40</v>
      </c>
      <c r="C11" s="166"/>
      <c r="D11" s="166"/>
      <c r="E11" s="166"/>
      <c r="F11" s="166">
        <v>2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>
        <f t="shared" si="0"/>
        <v>2</v>
      </c>
      <c r="AC11" s="166">
        <f t="shared" si="1"/>
        <v>0</v>
      </c>
    </row>
    <row r="12" spans="1:29">
      <c r="A12" s="166" t="s">
        <v>47</v>
      </c>
      <c r="B12" s="166" t="s">
        <v>317</v>
      </c>
      <c r="C12" s="166"/>
      <c r="D12" s="166"/>
      <c r="E12" s="166"/>
      <c r="F12" s="166">
        <v>1</v>
      </c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>
        <f t="shared" si="0"/>
        <v>1</v>
      </c>
      <c r="AC12" s="166">
        <f t="shared" si="1"/>
        <v>0</v>
      </c>
    </row>
    <row r="13" spans="1:29">
      <c r="A13" s="166" t="s">
        <v>49</v>
      </c>
      <c r="B13" s="166" t="s">
        <v>70</v>
      </c>
      <c r="C13" s="166"/>
      <c r="D13" s="166"/>
      <c r="E13" s="166"/>
      <c r="F13" s="166">
        <v>6</v>
      </c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>
        <f t="shared" si="0"/>
        <v>6</v>
      </c>
      <c r="AC13" s="166">
        <f t="shared" si="1"/>
        <v>0</v>
      </c>
    </row>
    <row r="14" spans="1:29">
      <c r="A14" s="166" t="s">
        <v>51</v>
      </c>
      <c r="B14" s="166" t="s">
        <v>318</v>
      </c>
      <c r="C14" s="166"/>
      <c r="D14" s="166"/>
      <c r="E14" s="166"/>
      <c r="F14" s="166">
        <v>4</v>
      </c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>
        <f t="shared" si="0"/>
        <v>4</v>
      </c>
      <c r="AC14" s="166">
        <f t="shared" si="1"/>
        <v>0</v>
      </c>
    </row>
    <row r="15" spans="1:29">
      <c r="A15" s="166" t="s">
        <v>53</v>
      </c>
      <c r="B15" s="166" t="s">
        <v>319</v>
      </c>
      <c r="C15" s="166"/>
      <c r="D15" s="166"/>
      <c r="E15" s="166"/>
      <c r="F15" s="166">
        <v>5</v>
      </c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>
        <f t="shared" si="0"/>
        <v>5</v>
      </c>
      <c r="AC15" s="166">
        <f t="shared" si="1"/>
        <v>0</v>
      </c>
    </row>
    <row r="16" spans="1:29">
      <c r="A16" s="166" t="s">
        <v>55</v>
      </c>
      <c r="B16" s="166" t="s">
        <v>320</v>
      </c>
      <c r="C16" s="166"/>
      <c r="D16" s="166"/>
      <c r="E16" s="166"/>
      <c r="F16" s="166">
        <v>5</v>
      </c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>
        <f t="shared" si="0"/>
        <v>5</v>
      </c>
      <c r="AC16" s="166">
        <f t="shared" si="1"/>
        <v>0</v>
      </c>
    </row>
    <row r="17" spans="1:29">
      <c r="A17" s="166" t="s">
        <v>57</v>
      </c>
      <c r="B17" s="166" t="s">
        <v>321</v>
      </c>
      <c r="C17" s="166"/>
      <c r="D17" s="166"/>
      <c r="E17" s="166"/>
      <c r="F17" s="166">
        <v>1</v>
      </c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>
        <f t="shared" si="0"/>
        <v>1</v>
      </c>
      <c r="AC17" s="166">
        <f t="shared" si="1"/>
        <v>0</v>
      </c>
    </row>
    <row r="18" spans="1:29">
      <c r="A18" s="166" t="s">
        <v>59</v>
      </c>
      <c r="B18" s="166" t="s">
        <v>322</v>
      </c>
      <c r="C18" s="166"/>
      <c r="D18" s="166"/>
      <c r="E18" s="166"/>
      <c r="F18" s="166">
        <v>2</v>
      </c>
      <c r="G18" s="166">
        <v>2</v>
      </c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>
        <f t="shared" si="0"/>
        <v>4</v>
      </c>
      <c r="AC18" s="166">
        <f t="shared" si="1"/>
        <v>0</v>
      </c>
    </row>
    <row r="19" spans="1:29">
      <c r="A19" s="166" t="s">
        <v>61</v>
      </c>
      <c r="B19" s="166" t="s">
        <v>323</v>
      </c>
      <c r="C19" s="166"/>
      <c r="D19" s="166"/>
      <c r="E19" s="166"/>
      <c r="F19" s="166">
        <v>6</v>
      </c>
      <c r="G19" s="166">
        <v>6</v>
      </c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>
        <f t="shared" si="0"/>
        <v>12</v>
      </c>
      <c r="AC19" s="166">
        <f t="shared" si="1"/>
        <v>0</v>
      </c>
    </row>
    <row r="20" spans="1:29">
      <c r="A20" s="166" t="s">
        <v>63</v>
      </c>
      <c r="B20" s="166" t="s">
        <v>324</v>
      </c>
      <c r="C20" s="166"/>
      <c r="D20" s="166"/>
      <c r="E20" s="166"/>
      <c r="F20" s="166">
        <v>1</v>
      </c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>
        <f t="shared" si="0"/>
        <v>1</v>
      </c>
      <c r="AC20" s="166">
        <f t="shared" si="1"/>
        <v>0</v>
      </c>
    </row>
    <row r="21" spans="1:29">
      <c r="A21" s="166" t="s">
        <v>65</v>
      </c>
      <c r="B21" s="166" t="s">
        <v>325</v>
      </c>
      <c r="C21" s="166"/>
      <c r="D21" s="166"/>
      <c r="E21" s="166"/>
      <c r="F21" s="166">
        <v>8</v>
      </c>
      <c r="G21" s="166">
        <v>9</v>
      </c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>
        <f t="shared" si="0"/>
        <v>17</v>
      </c>
      <c r="AC21" s="166">
        <f t="shared" si="1"/>
        <v>0</v>
      </c>
    </row>
    <row r="22" spans="1:29">
      <c r="A22" s="166" t="s">
        <v>67</v>
      </c>
      <c r="B22" s="166" t="s">
        <v>326</v>
      </c>
      <c r="C22" s="166"/>
      <c r="D22" s="166"/>
      <c r="E22" s="166"/>
      <c r="F22" s="166">
        <v>1</v>
      </c>
      <c r="G22" s="166">
        <v>2</v>
      </c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>
        <f t="shared" si="0"/>
        <v>3</v>
      </c>
      <c r="AC22" s="166">
        <f t="shared" si="1"/>
        <v>0</v>
      </c>
    </row>
    <row r="23" spans="1:29">
      <c r="A23" s="166" t="s">
        <v>69</v>
      </c>
      <c r="B23" s="166" t="s">
        <v>327</v>
      </c>
      <c r="C23" s="166"/>
      <c r="D23" s="166"/>
      <c r="E23" s="166"/>
      <c r="F23" s="166">
        <v>3</v>
      </c>
      <c r="G23" s="166">
        <v>4</v>
      </c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>
        <f t="shared" si="0"/>
        <v>7</v>
      </c>
      <c r="AC23" s="166">
        <f t="shared" si="1"/>
        <v>0</v>
      </c>
    </row>
    <row r="24" spans="1:29">
      <c r="A24" s="166" t="s">
        <v>71</v>
      </c>
      <c r="B24" s="166" t="s">
        <v>328</v>
      </c>
      <c r="C24" s="166"/>
      <c r="D24" s="166"/>
      <c r="E24" s="166"/>
      <c r="F24" s="166">
        <v>3</v>
      </c>
      <c r="G24" s="166">
        <v>3</v>
      </c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>
        <f t="shared" si="0"/>
        <v>6</v>
      </c>
      <c r="AC24" s="166">
        <f t="shared" si="1"/>
        <v>0</v>
      </c>
    </row>
    <row r="25" spans="1:29">
      <c r="A25" s="166" t="s">
        <v>223</v>
      </c>
      <c r="B25" s="166" t="s">
        <v>329</v>
      </c>
      <c r="C25" s="166"/>
      <c r="D25" s="166"/>
      <c r="E25" s="166"/>
      <c r="F25" s="166">
        <v>1</v>
      </c>
      <c r="G25" s="166">
        <v>1</v>
      </c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>
        <f t="shared" si="0"/>
        <v>2</v>
      </c>
      <c r="AC25" s="166">
        <f t="shared" si="1"/>
        <v>0</v>
      </c>
    </row>
    <row r="26" spans="1:29">
      <c r="A26" s="166" t="s">
        <v>73</v>
      </c>
      <c r="B26" s="166" t="s">
        <v>330</v>
      </c>
      <c r="C26" s="166"/>
      <c r="D26" s="166"/>
      <c r="E26" s="166"/>
      <c r="F26" s="166">
        <v>1</v>
      </c>
      <c r="G26" s="166">
        <v>1</v>
      </c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>
        <f t="shared" si="0"/>
        <v>2</v>
      </c>
      <c r="AC26" s="166">
        <f t="shared" si="1"/>
        <v>0</v>
      </c>
    </row>
    <row r="27" spans="1:29">
      <c r="A27" s="166" t="s">
        <v>75</v>
      </c>
      <c r="B27" s="166" t="s">
        <v>331</v>
      </c>
      <c r="C27" s="166"/>
      <c r="D27" s="166"/>
      <c r="E27" s="166"/>
      <c r="F27" s="166">
        <v>1</v>
      </c>
      <c r="G27" s="166">
        <v>1</v>
      </c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>
        <f t="shared" si="0"/>
        <v>2</v>
      </c>
      <c r="AC27" s="166">
        <f t="shared" si="1"/>
        <v>0</v>
      </c>
    </row>
    <row r="28" spans="1:29">
      <c r="A28" s="166" t="s">
        <v>77</v>
      </c>
      <c r="B28" s="166" t="s">
        <v>332</v>
      </c>
      <c r="C28" s="166"/>
      <c r="D28" s="166"/>
      <c r="E28" s="166"/>
      <c r="F28" s="166"/>
      <c r="G28" s="166">
        <v>1</v>
      </c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>
        <f t="shared" si="0"/>
        <v>1</v>
      </c>
      <c r="AC28" s="166">
        <f t="shared" si="1"/>
        <v>0</v>
      </c>
    </row>
    <row r="29" spans="1:29">
      <c r="A29" s="166" t="s">
        <v>79</v>
      </c>
      <c r="B29" s="166" t="s">
        <v>157</v>
      </c>
      <c r="C29" s="166"/>
      <c r="D29" s="166"/>
      <c r="E29" s="166"/>
      <c r="F29" s="166"/>
      <c r="G29" s="166">
        <v>1</v>
      </c>
      <c r="H29" s="166">
        <v>2</v>
      </c>
      <c r="I29" s="166">
        <v>2</v>
      </c>
      <c r="J29" s="166">
        <v>2</v>
      </c>
      <c r="K29" s="166">
        <v>2</v>
      </c>
      <c r="L29" s="166">
        <v>2</v>
      </c>
      <c r="M29" s="166">
        <v>2</v>
      </c>
      <c r="N29" s="166">
        <v>2</v>
      </c>
      <c r="O29" s="166">
        <v>2</v>
      </c>
      <c r="P29" s="166">
        <v>2</v>
      </c>
      <c r="Q29" s="166">
        <v>2</v>
      </c>
      <c r="R29" s="166">
        <v>2</v>
      </c>
      <c r="S29" s="166">
        <v>2</v>
      </c>
      <c r="T29" s="166">
        <v>2</v>
      </c>
      <c r="U29" s="166">
        <v>2</v>
      </c>
      <c r="V29" s="166">
        <v>2</v>
      </c>
      <c r="W29" s="166">
        <v>2</v>
      </c>
      <c r="X29" s="166"/>
      <c r="Y29" s="166">
        <v>2</v>
      </c>
      <c r="Z29" s="166">
        <v>2</v>
      </c>
      <c r="AA29" s="166"/>
      <c r="AB29" s="166">
        <f t="shared" si="0"/>
        <v>37</v>
      </c>
      <c r="AC29" s="166">
        <f t="shared" si="1"/>
        <v>0</v>
      </c>
    </row>
    <row r="30" spans="1:29">
      <c r="A30" s="166" t="s">
        <v>81</v>
      </c>
      <c r="B30" s="166" t="s">
        <v>291</v>
      </c>
      <c r="C30" s="166"/>
      <c r="D30" s="166"/>
      <c r="E30" s="166"/>
      <c r="F30" s="166"/>
      <c r="G30" s="166">
        <v>2</v>
      </c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>
        <f t="shared" si="0"/>
        <v>2</v>
      </c>
      <c r="AC30" s="166">
        <f t="shared" si="1"/>
        <v>0</v>
      </c>
    </row>
    <row r="31" spans="1:29">
      <c r="A31" s="166" t="s">
        <v>83</v>
      </c>
      <c r="B31" s="166" t="s">
        <v>280</v>
      </c>
      <c r="C31" s="166"/>
      <c r="D31" s="166"/>
      <c r="E31" s="166"/>
      <c r="F31" s="166"/>
      <c r="G31" s="166">
        <v>2</v>
      </c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>
        <f t="shared" ref="AB31:AB52" si="2">SUM(E31:AA31)</f>
        <v>2</v>
      </c>
      <c r="AC31" s="166">
        <f t="shared" si="1"/>
        <v>0</v>
      </c>
    </row>
    <row r="32" spans="1:29">
      <c r="A32" s="166" t="s">
        <v>85</v>
      </c>
      <c r="B32" s="166" t="s">
        <v>333</v>
      </c>
      <c r="C32" s="166"/>
      <c r="D32" s="166"/>
      <c r="E32" s="166"/>
      <c r="F32" s="166"/>
      <c r="G32" s="166">
        <v>1</v>
      </c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>
        <f t="shared" si="2"/>
        <v>1</v>
      </c>
      <c r="AC32" s="166">
        <f t="shared" si="1"/>
        <v>0</v>
      </c>
    </row>
    <row r="33" spans="1:29">
      <c r="A33" s="166" t="s">
        <v>87</v>
      </c>
      <c r="B33" s="166" t="s">
        <v>235</v>
      </c>
      <c r="C33" s="166"/>
      <c r="D33" s="166"/>
      <c r="E33" s="166"/>
      <c r="F33" s="166"/>
      <c r="G33" s="166">
        <v>3</v>
      </c>
      <c r="H33" s="166">
        <v>6</v>
      </c>
      <c r="I33" s="166">
        <v>6</v>
      </c>
      <c r="J33" s="166">
        <v>6</v>
      </c>
      <c r="K33" s="166">
        <v>6</v>
      </c>
      <c r="L33" s="166">
        <v>6</v>
      </c>
      <c r="M33" s="166">
        <v>6</v>
      </c>
      <c r="N33" s="166">
        <v>6</v>
      </c>
      <c r="O33" s="166">
        <v>6</v>
      </c>
      <c r="P33" s="166">
        <v>6</v>
      </c>
      <c r="Q33" s="166">
        <v>6</v>
      </c>
      <c r="R33" s="166">
        <v>6</v>
      </c>
      <c r="S33" s="166">
        <v>6</v>
      </c>
      <c r="T33" s="166">
        <v>6</v>
      </c>
      <c r="U33" s="166">
        <v>6</v>
      </c>
      <c r="V33" s="166">
        <v>6</v>
      </c>
      <c r="W33" s="166">
        <v>6</v>
      </c>
      <c r="X33" s="166">
        <v>6</v>
      </c>
      <c r="Y33" s="166">
        <v>6</v>
      </c>
      <c r="Z33" s="166">
        <v>6</v>
      </c>
      <c r="AA33" s="166"/>
      <c r="AB33" s="166">
        <f t="shared" si="2"/>
        <v>117</v>
      </c>
      <c r="AC33" s="166">
        <f t="shared" si="1"/>
        <v>0</v>
      </c>
    </row>
    <row r="34" spans="1:29">
      <c r="A34" s="166" t="s">
        <v>89</v>
      </c>
      <c r="B34" s="166" t="s">
        <v>151</v>
      </c>
      <c r="C34" s="166"/>
      <c r="D34" s="166"/>
      <c r="E34" s="166"/>
      <c r="F34" s="166"/>
      <c r="G34" s="166">
        <v>2</v>
      </c>
      <c r="H34" s="166">
        <v>4</v>
      </c>
      <c r="I34" s="166">
        <v>4</v>
      </c>
      <c r="J34" s="166">
        <v>4</v>
      </c>
      <c r="K34" s="166">
        <v>4</v>
      </c>
      <c r="L34" s="166">
        <v>4</v>
      </c>
      <c r="M34" s="166">
        <v>4</v>
      </c>
      <c r="N34" s="166">
        <v>4</v>
      </c>
      <c r="O34" s="166">
        <v>4</v>
      </c>
      <c r="P34" s="166">
        <v>4</v>
      </c>
      <c r="Q34" s="166">
        <v>4</v>
      </c>
      <c r="R34" s="166">
        <v>4</v>
      </c>
      <c r="S34" s="166">
        <v>4</v>
      </c>
      <c r="T34" s="166">
        <v>4</v>
      </c>
      <c r="U34" s="166">
        <v>4</v>
      </c>
      <c r="V34" s="166">
        <v>4</v>
      </c>
      <c r="W34" s="166">
        <v>4</v>
      </c>
      <c r="X34" s="166">
        <v>4</v>
      </c>
      <c r="Y34" s="166">
        <v>4</v>
      </c>
      <c r="Z34" s="166">
        <v>4</v>
      </c>
      <c r="AA34" s="166"/>
      <c r="AB34" s="166">
        <f t="shared" si="2"/>
        <v>78</v>
      </c>
      <c r="AC34" s="166">
        <f t="shared" si="1"/>
        <v>0</v>
      </c>
    </row>
    <row r="35" spans="1:29">
      <c r="A35" s="166" t="s">
        <v>91</v>
      </c>
      <c r="B35" s="166" t="s">
        <v>334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>
        <f t="shared" si="2"/>
        <v>0</v>
      </c>
      <c r="AC35" s="166">
        <f t="shared" si="1"/>
        <v>0</v>
      </c>
    </row>
    <row r="36" spans="1:29">
      <c r="A36" s="166" t="s">
        <v>93</v>
      </c>
      <c r="B36" s="166" t="s">
        <v>283</v>
      </c>
      <c r="C36" s="166"/>
      <c r="D36" s="166"/>
      <c r="E36" s="166"/>
      <c r="F36" s="166"/>
      <c r="G36" s="166">
        <v>1</v>
      </c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>
        <f t="shared" si="2"/>
        <v>1</v>
      </c>
      <c r="AC36" s="166">
        <f t="shared" si="1"/>
        <v>0</v>
      </c>
    </row>
    <row r="37" spans="1:29">
      <c r="A37" s="166" t="s">
        <v>95</v>
      </c>
      <c r="B37" s="166" t="s">
        <v>284</v>
      </c>
      <c r="C37" s="166"/>
      <c r="D37" s="166"/>
      <c r="E37" s="166"/>
      <c r="F37" s="166"/>
      <c r="G37" s="166">
        <v>1</v>
      </c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>
        <f t="shared" si="2"/>
        <v>1</v>
      </c>
      <c r="AC37" s="166">
        <f t="shared" si="1"/>
        <v>0</v>
      </c>
    </row>
    <row r="38" spans="1:29">
      <c r="A38" s="166" t="s">
        <v>97</v>
      </c>
      <c r="B38" s="166" t="s">
        <v>285</v>
      </c>
      <c r="C38" s="166"/>
      <c r="D38" s="166"/>
      <c r="E38" s="166"/>
      <c r="F38" s="166"/>
      <c r="G38" s="166">
        <v>1</v>
      </c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>
        <f t="shared" si="2"/>
        <v>1</v>
      </c>
      <c r="AC38" s="166">
        <f t="shared" si="1"/>
        <v>0</v>
      </c>
    </row>
    <row r="39" spans="1:29">
      <c r="A39" s="166" t="s">
        <v>99</v>
      </c>
      <c r="B39" s="166" t="s">
        <v>286</v>
      </c>
      <c r="C39" s="166"/>
      <c r="D39" s="166"/>
      <c r="E39" s="166"/>
      <c r="F39" s="166"/>
      <c r="G39" s="166">
        <v>1</v>
      </c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>
        <f t="shared" si="2"/>
        <v>1</v>
      </c>
      <c r="AC39" s="166">
        <f t="shared" si="1"/>
        <v>0</v>
      </c>
    </row>
    <row r="40" spans="1:29">
      <c r="A40" s="166" t="s">
        <v>101</v>
      </c>
      <c r="B40" s="166" t="s">
        <v>181</v>
      </c>
      <c r="C40" s="166"/>
      <c r="D40" s="166"/>
      <c r="E40" s="166"/>
      <c r="F40" s="166"/>
      <c r="G40" s="166">
        <v>1</v>
      </c>
      <c r="H40" s="166">
        <v>1</v>
      </c>
      <c r="I40" s="166">
        <v>2</v>
      </c>
      <c r="J40" s="166">
        <v>2</v>
      </c>
      <c r="K40" s="166">
        <v>2</v>
      </c>
      <c r="L40" s="166">
        <v>2</v>
      </c>
      <c r="M40" s="166">
        <v>2</v>
      </c>
      <c r="N40" s="166">
        <v>2</v>
      </c>
      <c r="O40" s="166">
        <v>2</v>
      </c>
      <c r="P40" s="166">
        <v>2</v>
      </c>
      <c r="Q40" s="166">
        <v>2</v>
      </c>
      <c r="R40" s="166">
        <v>2</v>
      </c>
      <c r="S40" s="166">
        <v>2</v>
      </c>
      <c r="T40" s="166">
        <v>2</v>
      </c>
      <c r="U40" s="166">
        <v>2</v>
      </c>
      <c r="V40" s="166">
        <v>2</v>
      </c>
      <c r="W40" s="166">
        <v>2</v>
      </c>
      <c r="X40" s="166">
        <v>2</v>
      </c>
      <c r="Y40" s="166">
        <v>2</v>
      </c>
      <c r="Z40" s="166">
        <v>0</v>
      </c>
      <c r="AA40" s="166"/>
      <c r="AB40" s="166">
        <f t="shared" si="2"/>
        <v>36</v>
      </c>
      <c r="AC40" s="166">
        <f t="shared" si="1"/>
        <v>0</v>
      </c>
    </row>
    <row r="41" spans="1:29">
      <c r="A41" s="166" t="s">
        <v>103</v>
      </c>
      <c r="B41" s="166" t="s">
        <v>163</v>
      </c>
      <c r="C41" s="166"/>
      <c r="D41" s="166"/>
      <c r="E41" s="166"/>
      <c r="F41" s="166"/>
      <c r="G41" s="166">
        <v>1</v>
      </c>
      <c r="H41" s="166">
        <v>2</v>
      </c>
      <c r="I41" s="166">
        <v>2</v>
      </c>
      <c r="J41" s="166">
        <v>2</v>
      </c>
      <c r="K41" s="166">
        <v>2</v>
      </c>
      <c r="L41" s="166">
        <v>2</v>
      </c>
      <c r="M41" s="166">
        <v>2</v>
      </c>
      <c r="N41" s="166">
        <v>2</v>
      </c>
      <c r="O41" s="166">
        <v>2</v>
      </c>
      <c r="P41" s="166">
        <v>2</v>
      </c>
      <c r="Q41" s="166">
        <v>2</v>
      </c>
      <c r="R41" s="166">
        <v>2</v>
      </c>
      <c r="S41" s="166">
        <v>2</v>
      </c>
      <c r="T41" s="166">
        <v>2</v>
      </c>
      <c r="U41" s="166">
        <v>2</v>
      </c>
      <c r="V41" s="166">
        <v>2</v>
      </c>
      <c r="W41" s="166">
        <v>2</v>
      </c>
      <c r="X41" s="166">
        <v>2</v>
      </c>
      <c r="Y41" s="166">
        <v>2</v>
      </c>
      <c r="Z41" s="166">
        <v>2</v>
      </c>
      <c r="AA41" s="166"/>
      <c r="AB41" s="166">
        <f t="shared" si="2"/>
        <v>39</v>
      </c>
      <c r="AC41" s="166">
        <f t="shared" si="1"/>
        <v>0</v>
      </c>
    </row>
    <row r="42" spans="1:29">
      <c r="A42" s="166" t="s">
        <v>105</v>
      </c>
      <c r="B42" s="166" t="s">
        <v>289</v>
      </c>
      <c r="C42" s="166"/>
      <c r="D42" s="166"/>
      <c r="E42" s="166"/>
      <c r="F42" s="166"/>
      <c r="G42" s="166">
        <v>1</v>
      </c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>
        <f t="shared" si="2"/>
        <v>1</v>
      </c>
      <c r="AC42" s="166">
        <f t="shared" si="1"/>
        <v>0</v>
      </c>
    </row>
    <row r="43" spans="1:29">
      <c r="A43" s="166" t="s">
        <v>107</v>
      </c>
      <c r="B43" s="166" t="s">
        <v>290</v>
      </c>
      <c r="C43" s="166"/>
      <c r="D43" s="166"/>
      <c r="E43" s="166"/>
      <c r="F43" s="166"/>
      <c r="G43" s="166">
        <v>1</v>
      </c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>
        <f t="shared" si="2"/>
        <v>1</v>
      </c>
      <c r="AC43" s="166">
        <f t="shared" si="1"/>
        <v>0</v>
      </c>
    </row>
    <row r="44" spans="1:29">
      <c r="A44" s="166" t="s">
        <v>109</v>
      </c>
      <c r="B44" s="166" t="s">
        <v>252</v>
      </c>
      <c r="C44" s="166"/>
      <c r="D44" s="166"/>
      <c r="E44" s="166"/>
      <c r="F44" s="166"/>
      <c r="G44" s="166">
        <v>1</v>
      </c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>
        <f t="shared" si="2"/>
        <v>1</v>
      </c>
      <c r="AC44" s="166">
        <f t="shared" si="1"/>
        <v>0</v>
      </c>
    </row>
    <row r="45" spans="1:29">
      <c r="A45" s="166" t="s">
        <v>111</v>
      </c>
      <c r="B45" s="166" t="s">
        <v>292</v>
      </c>
      <c r="C45" s="166"/>
      <c r="D45" s="166"/>
      <c r="E45" s="166"/>
      <c r="F45" s="166"/>
      <c r="G45" s="166">
        <v>1</v>
      </c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>
        <f t="shared" si="2"/>
        <v>1</v>
      </c>
      <c r="AC45" s="166">
        <f t="shared" si="1"/>
        <v>0</v>
      </c>
    </row>
    <row r="46" spans="1:29">
      <c r="A46" s="166" t="s">
        <v>113</v>
      </c>
      <c r="B46" s="166" t="s">
        <v>293</v>
      </c>
      <c r="C46" s="166"/>
      <c r="D46" s="166"/>
      <c r="E46" s="166"/>
      <c r="F46" s="166"/>
      <c r="G46" s="166">
        <v>1</v>
      </c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>
        <f t="shared" si="2"/>
        <v>1</v>
      </c>
      <c r="AC46" s="166">
        <f t="shared" si="1"/>
        <v>0</v>
      </c>
    </row>
    <row r="47" spans="1:29">
      <c r="A47" s="166" t="s">
        <v>115</v>
      </c>
      <c r="B47" s="166" t="s">
        <v>177</v>
      </c>
      <c r="C47" s="166"/>
      <c r="D47" s="166"/>
      <c r="E47" s="166"/>
      <c r="F47" s="166"/>
      <c r="G47" s="166">
        <v>1</v>
      </c>
      <c r="H47" s="166">
        <v>1</v>
      </c>
      <c r="I47" s="166">
        <v>2</v>
      </c>
      <c r="J47" s="166">
        <v>2</v>
      </c>
      <c r="K47" s="166">
        <v>2</v>
      </c>
      <c r="L47" s="166">
        <v>2</v>
      </c>
      <c r="M47" s="166">
        <v>2</v>
      </c>
      <c r="N47" s="166">
        <v>2</v>
      </c>
      <c r="O47" s="166">
        <v>2</v>
      </c>
      <c r="P47" s="166">
        <v>2</v>
      </c>
      <c r="Q47" s="166">
        <v>2</v>
      </c>
      <c r="R47" s="166">
        <v>2</v>
      </c>
      <c r="S47" s="166">
        <v>2</v>
      </c>
      <c r="T47" s="166">
        <v>2</v>
      </c>
      <c r="U47" s="166">
        <v>2</v>
      </c>
      <c r="V47" s="166">
        <v>2</v>
      </c>
      <c r="W47" s="166">
        <v>2</v>
      </c>
      <c r="X47" s="166">
        <v>2</v>
      </c>
      <c r="Y47" s="166">
        <v>2</v>
      </c>
      <c r="Z47" s="166"/>
      <c r="AA47" s="166"/>
      <c r="AB47" s="166">
        <f t="shared" si="2"/>
        <v>36</v>
      </c>
      <c r="AC47" s="166">
        <f t="shared" si="1"/>
        <v>0</v>
      </c>
    </row>
    <row r="48" spans="1:29">
      <c r="A48" s="166" t="s">
        <v>117</v>
      </c>
      <c r="B48" s="166" t="s">
        <v>335</v>
      </c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>
        <f t="shared" si="2"/>
        <v>0</v>
      </c>
      <c r="AC48" s="166">
        <f t="shared" si="1"/>
        <v>0</v>
      </c>
    </row>
    <row r="49" spans="1:29">
      <c r="A49" s="166" t="s">
        <v>119</v>
      </c>
      <c r="B49" s="166" t="s">
        <v>295</v>
      </c>
      <c r="C49" s="166"/>
      <c r="D49" s="166"/>
      <c r="E49" s="166"/>
      <c r="F49" s="166"/>
      <c r="G49" s="166">
        <v>1</v>
      </c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>
        <f t="shared" si="2"/>
        <v>1</v>
      </c>
      <c r="AC49" s="166">
        <f t="shared" si="1"/>
        <v>0</v>
      </c>
    </row>
    <row r="50" spans="1:29">
      <c r="A50" s="166" t="s">
        <v>121</v>
      </c>
      <c r="B50" s="166" t="s">
        <v>271</v>
      </c>
      <c r="C50" s="166"/>
      <c r="D50" s="166"/>
      <c r="E50" s="166"/>
      <c r="F50" s="166"/>
      <c r="G50" s="166">
        <v>1</v>
      </c>
      <c r="H50" s="166">
        <v>1</v>
      </c>
      <c r="I50" s="166">
        <v>1</v>
      </c>
      <c r="J50" s="166">
        <v>1</v>
      </c>
      <c r="K50" s="166">
        <v>1</v>
      </c>
      <c r="L50" s="166">
        <v>1</v>
      </c>
      <c r="M50" s="166">
        <v>1</v>
      </c>
      <c r="N50" s="166">
        <v>1</v>
      </c>
      <c r="O50" s="166">
        <v>1</v>
      </c>
      <c r="P50" s="166">
        <v>1</v>
      </c>
      <c r="Q50" s="166">
        <v>1</v>
      </c>
      <c r="R50" s="166">
        <v>1</v>
      </c>
      <c r="S50" s="166">
        <v>1</v>
      </c>
      <c r="T50" s="166">
        <v>1</v>
      </c>
      <c r="U50" s="166">
        <v>1</v>
      </c>
      <c r="V50" s="166">
        <v>1</v>
      </c>
      <c r="W50" s="166">
        <v>1</v>
      </c>
      <c r="X50" s="166">
        <v>1</v>
      </c>
      <c r="Y50" s="166">
        <v>1</v>
      </c>
      <c r="Z50" s="166">
        <v>1</v>
      </c>
      <c r="AA50" s="166"/>
      <c r="AB50" s="166">
        <f t="shared" si="2"/>
        <v>20</v>
      </c>
      <c r="AC50" s="166">
        <f t="shared" si="1"/>
        <v>0</v>
      </c>
    </row>
    <row r="51" spans="1:29">
      <c r="A51" s="166" t="s">
        <v>123</v>
      </c>
      <c r="B51" s="167" t="s">
        <v>336</v>
      </c>
      <c r="C51" s="167"/>
      <c r="D51" s="167"/>
      <c r="E51" s="167"/>
      <c r="F51" s="167"/>
      <c r="G51" s="167">
        <v>1</v>
      </c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>
        <f t="shared" si="2"/>
        <v>1</v>
      </c>
      <c r="AC51" s="167">
        <f t="shared" si="1"/>
        <v>0</v>
      </c>
    </row>
    <row r="52" spans="1:30">
      <c r="A52" s="166" t="s">
        <v>125</v>
      </c>
      <c r="B52" s="166" t="s">
        <v>337</v>
      </c>
      <c r="C52" s="166"/>
      <c r="D52" s="166"/>
      <c r="E52" s="166"/>
      <c r="F52" s="166"/>
      <c r="G52" s="166">
        <v>1</v>
      </c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>
        <f t="shared" si="2"/>
        <v>1</v>
      </c>
      <c r="AC52" s="166">
        <f t="shared" si="1"/>
        <v>0</v>
      </c>
      <c r="AD52" s="166"/>
    </row>
    <row r="53" spans="1:30">
      <c r="A53" s="166" t="s">
        <v>127</v>
      </c>
      <c r="B53" s="166" t="s">
        <v>145</v>
      </c>
      <c r="C53" s="166"/>
      <c r="D53" s="166"/>
      <c r="E53" s="166"/>
      <c r="F53" s="166"/>
      <c r="G53" s="166"/>
      <c r="H53" s="166">
        <v>4</v>
      </c>
      <c r="I53" s="166">
        <v>4</v>
      </c>
      <c r="J53" s="166">
        <v>4</v>
      </c>
      <c r="K53" s="166">
        <v>4</v>
      </c>
      <c r="L53" s="166">
        <v>4</v>
      </c>
      <c r="M53" s="166">
        <v>4</v>
      </c>
      <c r="N53" s="166">
        <v>4</v>
      </c>
      <c r="O53" s="166">
        <v>4</v>
      </c>
      <c r="P53" s="166">
        <v>4</v>
      </c>
      <c r="Q53" s="166">
        <v>4</v>
      </c>
      <c r="R53" s="166">
        <v>4</v>
      </c>
      <c r="S53" s="166">
        <v>4</v>
      </c>
      <c r="T53" s="166">
        <v>4</v>
      </c>
      <c r="U53" s="166">
        <v>4</v>
      </c>
      <c r="V53" s="166">
        <v>4</v>
      </c>
      <c r="W53" s="166">
        <v>4</v>
      </c>
      <c r="X53" s="166">
        <v>4</v>
      </c>
      <c r="Y53" s="166">
        <v>4</v>
      </c>
      <c r="Z53" s="166">
        <v>4</v>
      </c>
      <c r="AA53" s="166"/>
      <c r="AB53" s="166">
        <f t="shared" ref="AB53:AB72" si="3">SUM(E53:AA53)</f>
        <v>76</v>
      </c>
      <c r="AC53" s="166">
        <f t="shared" ref="AC53:AC73" si="4">C53*D53*AB53/1000000</f>
        <v>0</v>
      </c>
      <c r="AD53" s="166"/>
    </row>
    <row r="54" spans="1:30">
      <c r="A54" s="166" t="s">
        <v>129</v>
      </c>
      <c r="B54" s="166" t="s">
        <v>147</v>
      </c>
      <c r="C54" s="166"/>
      <c r="D54" s="166"/>
      <c r="E54" s="166"/>
      <c r="F54" s="166"/>
      <c r="G54" s="166"/>
      <c r="H54" s="166">
        <v>3</v>
      </c>
      <c r="I54" s="166">
        <v>3</v>
      </c>
      <c r="J54" s="166">
        <v>3</v>
      </c>
      <c r="K54" s="166">
        <v>3</v>
      </c>
      <c r="L54" s="166">
        <v>3</v>
      </c>
      <c r="M54" s="166">
        <v>3</v>
      </c>
      <c r="N54" s="166">
        <v>3</v>
      </c>
      <c r="O54" s="166">
        <v>3</v>
      </c>
      <c r="P54" s="166">
        <v>3</v>
      </c>
      <c r="Q54" s="166">
        <v>3</v>
      </c>
      <c r="R54" s="166">
        <v>3</v>
      </c>
      <c r="S54" s="166">
        <v>3</v>
      </c>
      <c r="T54" s="166">
        <v>3</v>
      </c>
      <c r="U54" s="166">
        <v>3</v>
      </c>
      <c r="V54" s="166">
        <v>3</v>
      </c>
      <c r="W54" s="166">
        <v>3</v>
      </c>
      <c r="X54" s="166">
        <v>3</v>
      </c>
      <c r="Y54" s="166">
        <v>3</v>
      </c>
      <c r="Z54" s="166">
        <v>3</v>
      </c>
      <c r="AA54" s="166"/>
      <c r="AB54" s="166">
        <f t="shared" si="3"/>
        <v>57</v>
      </c>
      <c r="AC54" s="166">
        <f t="shared" si="4"/>
        <v>0</v>
      </c>
      <c r="AD54" s="166"/>
    </row>
    <row r="55" spans="1:30">
      <c r="A55" s="166" t="s">
        <v>131</v>
      </c>
      <c r="B55" s="166" t="s">
        <v>153</v>
      </c>
      <c r="C55" s="166"/>
      <c r="D55" s="166"/>
      <c r="E55" s="166"/>
      <c r="F55" s="166"/>
      <c r="G55" s="166">
        <v>1</v>
      </c>
      <c r="H55" s="166">
        <v>4</v>
      </c>
      <c r="I55" s="166">
        <v>4</v>
      </c>
      <c r="J55" s="166">
        <v>4</v>
      </c>
      <c r="K55" s="166">
        <v>4</v>
      </c>
      <c r="L55" s="166">
        <v>4</v>
      </c>
      <c r="M55" s="166">
        <v>4</v>
      </c>
      <c r="N55" s="166">
        <v>4</v>
      </c>
      <c r="O55" s="166">
        <v>4</v>
      </c>
      <c r="P55" s="166">
        <v>4</v>
      </c>
      <c r="Q55" s="166">
        <v>4</v>
      </c>
      <c r="R55" s="166">
        <v>4</v>
      </c>
      <c r="S55" s="166">
        <v>4</v>
      </c>
      <c r="T55" s="166">
        <v>4</v>
      </c>
      <c r="U55" s="166">
        <v>4</v>
      </c>
      <c r="V55" s="166">
        <v>4</v>
      </c>
      <c r="W55" s="166">
        <v>4</v>
      </c>
      <c r="X55" s="166">
        <v>4</v>
      </c>
      <c r="Y55" s="166">
        <v>4</v>
      </c>
      <c r="Z55" s="166">
        <v>4</v>
      </c>
      <c r="AA55" s="166"/>
      <c r="AB55" s="166">
        <f t="shared" si="3"/>
        <v>77</v>
      </c>
      <c r="AC55" s="166">
        <f t="shared" si="4"/>
        <v>0</v>
      </c>
      <c r="AD55" s="166"/>
    </row>
    <row r="56" spans="1:30">
      <c r="A56" s="166" t="s">
        <v>133</v>
      </c>
      <c r="B56" s="166" t="s">
        <v>159</v>
      </c>
      <c r="C56" s="166"/>
      <c r="D56" s="166"/>
      <c r="E56" s="166"/>
      <c r="F56" s="166"/>
      <c r="G56" s="166"/>
      <c r="H56" s="166">
        <v>1</v>
      </c>
      <c r="I56" s="166">
        <v>1</v>
      </c>
      <c r="J56" s="166">
        <v>1</v>
      </c>
      <c r="K56" s="166">
        <v>1</v>
      </c>
      <c r="L56" s="166">
        <v>1</v>
      </c>
      <c r="M56" s="166">
        <v>1</v>
      </c>
      <c r="N56" s="166">
        <v>1</v>
      </c>
      <c r="O56" s="166">
        <v>1</v>
      </c>
      <c r="P56" s="166">
        <v>1</v>
      </c>
      <c r="Q56" s="166">
        <v>1</v>
      </c>
      <c r="R56" s="166">
        <v>1</v>
      </c>
      <c r="S56" s="166">
        <v>1</v>
      </c>
      <c r="T56" s="166">
        <v>1</v>
      </c>
      <c r="U56" s="166">
        <v>1</v>
      </c>
      <c r="V56" s="166">
        <v>1</v>
      </c>
      <c r="W56" s="166">
        <v>1</v>
      </c>
      <c r="X56" s="166">
        <v>1</v>
      </c>
      <c r="Y56" s="166">
        <v>1</v>
      </c>
      <c r="Z56" s="166">
        <v>1</v>
      </c>
      <c r="AA56" s="166"/>
      <c r="AB56" s="166">
        <f t="shared" si="3"/>
        <v>19</v>
      </c>
      <c r="AC56" s="166">
        <f t="shared" si="4"/>
        <v>0</v>
      </c>
      <c r="AD56" s="166"/>
    </row>
    <row r="57" spans="1:30">
      <c r="A57" s="166" t="s">
        <v>135</v>
      </c>
      <c r="B57" s="166" t="s">
        <v>300</v>
      </c>
      <c r="C57" s="166"/>
      <c r="D57" s="166"/>
      <c r="E57" s="166"/>
      <c r="F57" s="166"/>
      <c r="G57" s="166"/>
      <c r="H57" s="166">
        <v>2</v>
      </c>
      <c r="I57" s="166">
        <v>2</v>
      </c>
      <c r="J57" s="166">
        <v>2</v>
      </c>
      <c r="K57" s="166">
        <v>2</v>
      </c>
      <c r="L57" s="166">
        <v>2</v>
      </c>
      <c r="M57" s="166">
        <v>2</v>
      </c>
      <c r="N57" s="166">
        <v>2</v>
      </c>
      <c r="O57" s="166">
        <v>2</v>
      </c>
      <c r="P57" s="166">
        <v>2</v>
      </c>
      <c r="Q57" s="166">
        <v>2</v>
      </c>
      <c r="R57" s="166">
        <v>2</v>
      </c>
      <c r="S57" s="166">
        <v>2</v>
      </c>
      <c r="T57" s="166">
        <v>2</v>
      </c>
      <c r="U57" s="166">
        <v>2</v>
      </c>
      <c r="V57" s="166">
        <v>2</v>
      </c>
      <c r="W57" s="166">
        <v>2</v>
      </c>
      <c r="X57" s="166">
        <v>2</v>
      </c>
      <c r="Y57" s="166">
        <v>2</v>
      </c>
      <c r="Z57" s="166">
        <v>2</v>
      </c>
      <c r="AA57" s="166"/>
      <c r="AB57" s="166">
        <f t="shared" si="3"/>
        <v>38</v>
      </c>
      <c r="AC57" s="166">
        <f t="shared" si="4"/>
        <v>0</v>
      </c>
      <c r="AD57" s="166"/>
    </row>
    <row r="58" spans="1:30">
      <c r="A58" s="166" t="s">
        <v>137</v>
      </c>
      <c r="B58" s="166" t="s">
        <v>302</v>
      </c>
      <c r="C58" s="166"/>
      <c r="D58" s="166"/>
      <c r="E58" s="166"/>
      <c r="F58" s="166"/>
      <c r="G58" s="166"/>
      <c r="H58" s="166"/>
      <c r="I58" s="166">
        <v>1</v>
      </c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>
        <v>2</v>
      </c>
      <c r="Z58" s="166"/>
      <c r="AA58" s="166"/>
      <c r="AB58" s="166">
        <f t="shared" si="3"/>
        <v>3</v>
      </c>
      <c r="AC58" s="166">
        <f t="shared" si="4"/>
        <v>0</v>
      </c>
      <c r="AD58" s="166"/>
    </row>
    <row r="59" spans="1:30">
      <c r="A59" s="166" t="s">
        <v>138</v>
      </c>
      <c r="B59" s="166" t="s">
        <v>143</v>
      </c>
      <c r="C59" s="166"/>
      <c r="D59" s="166"/>
      <c r="E59" s="166"/>
      <c r="F59" s="166"/>
      <c r="G59" s="166"/>
      <c r="H59" s="166">
        <v>2</v>
      </c>
      <c r="I59" s="166">
        <v>2</v>
      </c>
      <c r="J59" s="166">
        <v>2</v>
      </c>
      <c r="K59" s="166">
        <v>2</v>
      </c>
      <c r="L59" s="166">
        <v>2</v>
      </c>
      <c r="M59" s="166">
        <v>2</v>
      </c>
      <c r="N59" s="166">
        <v>2</v>
      </c>
      <c r="O59" s="166">
        <v>2</v>
      </c>
      <c r="P59" s="166">
        <v>2</v>
      </c>
      <c r="Q59" s="166">
        <v>2</v>
      </c>
      <c r="R59" s="166">
        <v>2</v>
      </c>
      <c r="S59" s="166">
        <v>2</v>
      </c>
      <c r="T59" s="166">
        <v>2</v>
      </c>
      <c r="U59" s="166">
        <v>2</v>
      </c>
      <c r="V59" s="166">
        <v>2</v>
      </c>
      <c r="W59" s="166">
        <v>2</v>
      </c>
      <c r="X59" s="166">
        <v>2</v>
      </c>
      <c r="Y59" s="166">
        <v>2</v>
      </c>
      <c r="Z59" s="166">
        <v>2</v>
      </c>
      <c r="AA59" s="166"/>
      <c r="AB59" s="166">
        <f t="shared" si="3"/>
        <v>38</v>
      </c>
      <c r="AC59" s="166">
        <f t="shared" si="4"/>
        <v>0</v>
      </c>
      <c r="AD59" s="166"/>
    </row>
    <row r="60" spans="1:30">
      <c r="A60" s="166" t="s">
        <v>140</v>
      </c>
      <c r="B60" s="166" t="s">
        <v>141</v>
      </c>
      <c r="C60" s="166"/>
      <c r="D60" s="166"/>
      <c r="E60" s="166"/>
      <c r="F60" s="166"/>
      <c r="G60" s="166"/>
      <c r="H60" s="166">
        <v>2</v>
      </c>
      <c r="I60" s="166">
        <v>2</v>
      </c>
      <c r="J60" s="166">
        <v>2</v>
      </c>
      <c r="K60" s="166">
        <v>2</v>
      </c>
      <c r="L60" s="166">
        <v>2</v>
      </c>
      <c r="M60" s="166">
        <v>2</v>
      </c>
      <c r="N60" s="166">
        <v>2</v>
      </c>
      <c r="O60" s="166">
        <v>2</v>
      </c>
      <c r="P60" s="166">
        <v>2</v>
      </c>
      <c r="Q60" s="166">
        <v>2</v>
      </c>
      <c r="R60" s="166">
        <v>2</v>
      </c>
      <c r="S60" s="166">
        <v>2</v>
      </c>
      <c r="T60" s="166">
        <v>2</v>
      </c>
      <c r="U60" s="166">
        <v>2</v>
      </c>
      <c r="V60" s="166">
        <v>2</v>
      </c>
      <c r="W60" s="166">
        <v>2</v>
      </c>
      <c r="X60" s="166">
        <v>2</v>
      </c>
      <c r="Y60" s="166">
        <v>2</v>
      </c>
      <c r="Z60" s="166">
        <v>2</v>
      </c>
      <c r="AA60" s="166"/>
      <c r="AB60" s="166">
        <f t="shared" si="3"/>
        <v>38</v>
      </c>
      <c r="AC60" s="166">
        <f t="shared" si="4"/>
        <v>0</v>
      </c>
      <c r="AD60" s="166"/>
    </row>
    <row r="61" spans="1:30">
      <c r="A61" s="166" t="s">
        <v>142</v>
      </c>
      <c r="B61" s="166" t="s">
        <v>179</v>
      </c>
      <c r="C61" s="166"/>
      <c r="D61" s="166"/>
      <c r="E61" s="166"/>
      <c r="F61" s="166"/>
      <c r="G61" s="166"/>
      <c r="H61" s="166">
        <v>1</v>
      </c>
      <c r="I61" s="166">
        <v>1</v>
      </c>
      <c r="J61" s="166">
        <v>2</v>
      </c>
      <c r="K61" s="166">
        <v>2</v>
      </c>
      <c r="L61" s="166">
        <v>2</v>
      </c>
      <c r="M61" s="166">
        <v>2</v>
      </c>
      <c r="N61" s="166">
        <v>2</v>
      </c>
      <c r="O61" s="166">
        <v>2</v>
      </c>
      <c r="P61" s="166">
        <v>2</v>
      </c>
      <c r="Q61" s="166">
        <v>2</v>
      </c>
      <c r="R61" s="166">
        <v>2</v>
      </c>
      <c r="S61" s="166">
        <v>2</v>
      </c>
      <c r="T61" s="166">
        <v>2</v>
      </c>
      <c r="U61" s="166">
        <v>2</v>
      </c>
      <c r="V61" s="166">
        <v>2</v>
      </c>
      <c r="W61" s="166">
        <v>2</v>
      </c>
      <c r="X61" s="166">
        <v>2</v>
      </c>
      <c r="Y61" s="166">
        <v>2</v>
      </c>
      <c r="Z61" s="166"/>
      <c r="AA61" s="166"/>
      <c r="AB61" s="166">
        <f t="shared" si="3"/>
        <v>34</v>
      </c>
      <c r="AC61" s="166">
        <f t="shared" si="4"/>
        <v>0</v>
      </c>
      <c r="AD61" s="166"/>
    </row>
    <row r="62" spans="1:30">
      <c r="A62" s="166" t="s">
        <v>144</v>
      </c>
      <c r="B62" s="166" t="s">
        <v>169</v>
      </c>
      <c r="C62" s="166"/>
      <c r="D62" s="166"/>
      <c r="E62" s="166"/>
      <c r="F62" s="166"/>
      <c r="G62" s="166"/>
      <c r="H62" s="166">
        <v>2</v>
      </c>
      <c r="I62" s="166">
        <v>2</v>
      </c>
      <c r="J62" s="166">
        <v>2</v>
      </c>
      <c r="K62" s="166">
        <v>2</v>
      </c>
      <c r="L62" s="166">
        <v>2</v>
      </c>
      <c r="M62" s="166">
        <v>2</v>
      </c>
      <c r="N62" s="166">
        <v>2</v>
      </c>
      <c r="O62" s="166">
        <v>2</v>
      </c>
      <c r="P62" s="166">
        <v>2</v>
      </c>
      <c r="Q62" s="166">
        <v>2</v>
      </c>
      <c r="R62" s="166">
        <v>2</v>
      </c>
      <c r="S62" s="166">
        <v>2</v>
      </c>
      <c r="T62" s="166">
        <v>2</v>
      </c>
      <c r="U62" s="166">
        <v>2</v>
      </c>
      <c r="V62" s="166">
        <v>2</v>
      </c>
      <c r="W62" s="166">
        <v>2</v>
      </c>
      <c r="X62" s="166">
        <v>2</v>
      </c>
      <c r="Y62" s="166">
        <v>2</v>
      </c>
      <c r="Z62" s="166">
        <v>2</v>
      </c>
      <c r="AA62" s="166"/>
      <c r="AB62" s="166">
        <f t="shared" si="3"/>
        <v>38</v>
      </c>
      <c r="AC62" s="166">
        <f t="shared" si="4"/>
        <v>0</v>
      </c>
      <c r="AD62" s="166"/>
    </row>
    <row r="63" spans="1:30">
      <c r="A63" s="166" t="s">
        <v>146</v>
      </c>
      <c r="B63" s="166" t="s">
        <v>161</v>
      </c>
      <c r="C63" s="166"/>
      <c r="D63" s="166"/>
      <c r="E63" s="166"/>
      <c r="F63" s="166"/>
      <c r="G63" s="166"/>
      <c r="H63" s="166">
        <v>2</v>
      </c>
      <c r="I63" s="166">
        <v>2</v>
      </c>
      <c r="J63" s="166">
        <v>2</v>
      </c>
      <c r="K63" s="166">
        <v>2</v>
      </c>
      <c r="L63" s="166">
        <v>2</v>
      </c>
      <c r="M63" s="166">
        <v>2</v>
      </c>
      <c r="N63" s="166">
        <v>2</v>
      </c>
      <c r="O63" s="166">
        <v>2</v>
      </c>
      <c r="P63" s="166">
        <v>2</v>
      </c>
      <c r="Q63" s="166">
        <v>2</v>
      </c>
      <c r="R63" s="166">
        <v>2</v>
      </c>
      <c r="S63" s="166">
        <v>2</v>
      </c>
      <c r="T63" s="166">
        <v>2</v>
      </c>
      <c r="U63" s="166">
        <v>2</v>
      </c>
      <c r="V63" s="166">
        <v>2</v>
      </c>
      <c r="W63" s="166">
        <v>2</v>
      </c>
      <c r="X63" s="166">
        <v>2</v>
      </c>
      <c r="Y63" s="166">
        <v>2</v>
      </c>
      <c r="Z63" s="166"/>
      <c r="AA63" s="166"/>
      <c r="AB63" s="166">
        <f t="shared" si="3"/>
        <v>36</v>
      </c>
      <c r="AC63" s="166">
        <f t="shared" si="4"/>
        <v>0</v>
      </c>
      <c r="AD63" s="166"/>
    </row>
    <row r="64" spans="1:30">
      <c r="A64" s="166" t="s">
        <v>148</v>
      </c>
      <c r="B64" s="166" t="s">
        <v>338</v>
      </c>
      <c r="C64" s="166"/>
      <c r="D64" s="166"/>
      <c r="E64" s="166"/>
      <c r="F64" s="166"/>
      <c r="G64" s="166"/>
      <c r="H64" s="166">
        <v>1</v>
      </c>
      <c r="I64" s="166">
        <v>1</v>
      </c>
      <c r="J64" s="166">
        <v>1</v>
      </c>
      <c r="K64" s="166">
        <v>1</v>
      </c>
      <c r="L64" s="166">
        <v>1</v>
      </c>
      <c r="M64" s="166">
        <v>1</v>
      </c>
      <c r="N64" s="166">
        <v>1</v>
      </c>
      <c r="O64" s="166">
        <v>1</v>
      </c>
      <c r="P64" s="166">
        <v>1</v>
      </c>
      <c r="Q64" s="166">
        <v>1</v>
      </c>
      <c r="R64" s="166">
        <v>1</v>
      </c>
      <c r="S64" s="166">
        <v>1</v>
      </c>
      <c r="T64" s="166">
        <v>1</v>
      </c>
      <c r="U64" s="166">
        <v>1</v>
      </c>
      <c r="V64" s="166">
        <v>1</v>
      </c>
      <c r="W64" s="166">
        <v>1</v>
      </c>
      <c r="X64" s="166">
        <v>1</v>
      </c>
      <c r="Y64" s="166">
        <v>1</v>
      </c>
      <c r="Z64" s="166">
        <v>1</v>
      </c>
      <c r="AA64" s="166">
        <v>1</v>
      </c>
      <c r="AB64" s="166">
        <f t="shared" si="3"/>
        <v>20</v>
      </c>
      <c r="AC64" s="166">
        <f t="shared" si="4"/>
        <v>0</v>
      </c>
      <c r="AD64" s="166"/>
    </row>
    <row r="65" spans="1:30">
      <c r="A65" s="166" t="s">
        <v>150</v>
      </c>
      <c r="B65" s="166" t="s">
        <v>301</v>
      </c>
      <c r="C65" s="166"/>
      <c r="D65" s="166"/>
      <c r="E65" s="166"/>
      <c r="F65" s="166"/>
      <c r="G65" s="166"/>
      <c r="H65" s="166">
        <v>1</v>
      </c>
      <c r="I65" s="166">
        <v>1</v>
      </c>
      <c r="J65" s="166">
        <v>1</v>
      </c>
      <c r="K65" s="166">
        <v>1</v>
      </c>
      <c r="L65" s="166">
        <v>1</v>
      </c>
      <c r="M65" s="166">
        <v>1</v>
      </c>
      <c r="N65" s="166">
        <v>1</v>
      </c>
      <c r="O65" s="166">
        <v>1</v>
      </c>
      <c r="P65" s="166">
        <v>1</v>
      </c>
      <c r="Q65" s="166">
        <v>1</v>
      </c>
      <c r="R65" s="166">
        <v>1</v>
      </c>
      <c r="S65" s="166">
        <v>1</v>
      </c>
      <c r="T65" s="166">
        <v>1</v>
      </c>
      <c r="U65" s="166">
        <v>1</v>
      </c>
      <c r="V65" s="166">
        <v>1</v>
      </c>
      <c r="W65" s="166">
        <v>1</v>
      </c>
      <c r="X65" s="166">
        <v>1</v>
      </c>
      <c r="Y65" s="166">
        <v>1</v>
      </c>
      <c r="Z65" s="166">
        <v>1</v>
      </c>
      <c r="AA65" s="166">
        <v>1</v>
      </c>
      <c r="AB65" s="166">
        <f t="shared" si="3"/>
        <v>20</v>
      </c>
      <c r="AC65" s="166">
        <f t="shared" si="4"/>
        <v>0</v>
      </c>
      <c r="AD65" s="166"/>
    </row>
    <row r="66" spans="1:30">
      <c r="A66" s="166" t="s">
        <v>152</v>
      </c>
      <c r="B66" s="166" t="s">
        <v>339</v>
      </c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>
        <v>2</v>
      </c>
      <c r="Y66" s="166"/>
      <c r="Z66" s="166"/>
      <c r="AA66" s="166"/>
      <c r="AB66" s="166">
        <f t="shared" si="3"/>
        <v>2</v>
      </c>
      <c r="AC66" s="166">
        <f t="shared" si="4"/>
        <v>0</v>
      </c>
      <c r="AD66" s="166"/>
    </row>
    <row r="67" spans="1:30">
      <c r="A67" s="166" t="s">
        <v>154</v>
      </c>
      <c r="B67" s="166" t="s">
        <v>175</v>
      </c>
      <c r="C67" s="166"/>
      <c r="D67" s="166"/>
      <c r="E67" s="166"/>
      <c r="F67" s="166"/>
      <c r="G67" s="166"/>
      <c r="H67" s="166">
        <v>1</v>
      </c>
      <c r="I67" s="166">
        <v>1</v>
      </c>
      <c r="J67" s="166">
        <v>1</v>
      </c>
      <c r="K67" s="166">
        <v>1</v>
      </c>
      <c r="L67" s="166">
        <v>1</v>
      </c>
      <c r="M67" s="166">
        <v>1</v>
      </c>
      <c r="N67" s="166">
        <v>1</v>
      </c>
      <c r="O67" s="166">
        <v>1</v>
      </c>
      <c r="P67" s="166">
        <v>1</v>
      </c>
      <c r="Q67" s="166">
        <v>1</v>
      </c>
      <c r="R67" s="166">
        <v>1</v>
      </c>
      <c r="S67" s="166">
        <v>1</v>
      </c>
      <c r="T67" s="166">
        <v>1</v>
      </c>
      <c r="U67" s="166">
        <v>1</v>
      </c>
      <c r="V67" s="166">
        <v>1</v>
      </c>
      <c r="W67" s="166">
        <v>1</v>
      </c>
      <c r="X67" s="166">
        <v>1</v>
      </c>
      <c r="Y67" s="166">
        <v>1</v>
      </c>
      <c r="Z67" s="166">
        <v>1</v>
      </c>
      <c r="AA67" s="166"/>
      <c r="AB67" s="166">
        <f t="shared" si="3"/>
        <v>19</v>
      </c>
      <c r="AC67" s="166">
        <f t="shared" si="4"/>
        <v>0</v>
      </c>
      <c r="AD67" s="166"/>
    </row>
    <row r="68" spans="1:30">
      <c r="A68" s="166" t="s">
        <v>156</v>
      </c>
      <c r="B68" s="166" t="s">
        <v>340</v>
      </c>
      <c r="C68" s="166"/>
      <c r="D68" s="166"/>
      <c r="E68" s="166"/>
      <c r="F68" s="166"/>
      <c r="G68" s="166"/>
      <c r="H68" s="166">
        <v>1</v>
      </c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>
        <v>2</v>
      </c>
      <c r="AA68" s="166"/>
      <c r="AB68" s="166">
        <f t="shared" si="3"/>
        <v>3</v>
      </c>
      <c r="AC68" s="166">
        <f t="shared" si="4"/>
        <v>0</v>
      </c>
      <c r="AD68" s="166"/>
    </row>
    <row r="69" spans="1:30">
      <c r="A69" s="166" t="s">
        <v>158</v>
      </c>
      <c r="B69" s="166" t="s">
        <v>299</v>
      </c>
      <c r="C69" s="166"/>
      <c r="D69" s="166"/>
      <c r="E69" s="166"/>
      <c r="F69" s="166"/>
      <c r="G69" s="166"/>
      <c r="H69" s="166">
        <v>1</v>
      </c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>
        <f t="shared" si="3"/>
        <v>1</v>
      </c>
      <c r="AC69" s="166">
        <f t="shared" si="4"/>
        <v>0</v>
      </c>
      <c r="AD69" s="166"/>
    </row>
    <row r="70" spans="1:30">
      <c r="A70" s="166" t="s">
        <v>160</v>
      </c>
      <c r="B70" s="166" t="s">
        <v>341</v>
      </c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>
        <v>2</v>
      </c>
      <c r="Z70" s="166"/>
      <c r="AA70" s="166"/>
      <c r="AB70" s="166">
        <f t="shared" si="3"/>
        <v>2</v>
      </c>
      <c r="AC70" s="166">
        <f t="shared" si="4"/>
        <v>0</v>
      </c>
      <c r="AD70" s="166"/>
    </row>
    <row r="71" spans="1:30">
      <c r="A71" s="166" t="s">
        <v>162</v>
      </c>
      <c r="B71" s="166" t="s">
        <v>305</v>
      </c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>
        <v>2</v>
      </c>
      <c r="Z71" s="166"/>
      <c r="AA71" s="166"/>
      <c r="AB71" s="166">
        <f t="shared" si="3"/>
        <v>2</v>
      </c>
      <c r="AC71" s="166">
        <f t="shared" si="4"/>
        <v>0</v>
      </c>
      <c r="AD71" s="166"/>
    </row>
    <row r="72" spans="1:30">
      <c r="A72" s="166" t="s">
        <v>164</v>
      </c>
      <c r="B72" s="166" t="s">
        <v>191</v>
      </c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>
        <v>3</v>
      </c>
      <c r="AB72" s="166">
        <f t="shared" si="3"/>
        <v>3</v>
      </c>
      <c r="AC72" s="166">
        <f t="shared" si="4"/>
        <v>0</v>
      </c>
      <c r="AD72" s="166"/>
    </row>
    <row r="73" spans="1:29">
      <c r="A73" s="166"/>
      <c r="AB73" s="166"/>
      <c r="AC73" s="166">
        <f t="shared" si="4"/>
        <v>0</v>
      </c>
    </row>
    <row r="74" spans="1:1">
      <c r="A74" s="166"/>
    </row>
    <row r="75" spans="1:28">
      <c r="A75" s="166"/>
      <c r="AB75">
        <f>SUM(AB3:AB74)</f>
        <v>1003</v>
      </c>
    </row>
    <row r="76" spans="1:1">
      <c r="A76" s="166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topLeftCell="A7" workbookViewId="0">
      <selection activeCell="D5" sqref="D5"/>
    </sheetView>
  </sheetViews>
  <sheetFormatPr defaultColWidth="9" defaultRowHeight="14.25" outlineLevelCol="6"/>
  <cols>
    <col min="1" max="1" width="21" style="2" customWidth="1"/>
    <col min="2" max="2" width="28.125" style="2" customWidth="1"/>
    <col min="3" max="3" width="13.625" style="2" customWidth="1"/>
    <col min="4" max="4" width="26.5" style="2" customWidth="1"/>
    <col min="5" max="5" width="17.125" style="2" hidden="1" customWidth="1"/>
    <col min="6" max="6" width="10.5" style="2" hidden="1" customWidth="1"/>
    <col min="7" max="7" width="24.375" style="2" customWidth="1"/>
    <col min="8" max="8" width="9" style="2"/>
    <col min="9" max="9" width="10.375" style="2"/>
    <col min="10" max="16384" width="9" style="2"/>
  </cols>
  <sheetData>
    <row r="1" ht="67" customHeight="1" spans="1:4">
      <c r="A1" s="147" t="s">
        <v>342</v>
      </c>
      <c r="B1" s="110"/>
      <c r="C1" s="110"/>
      <c r="D1" s="110"/>
    </row>
    <row r="2" ht="45" customHeight="1" spans="1:4">
      <c r="A2" s="148" t="s">
        <v>343</v>
      </c>
      <c r="B2" s="149" t="s">
        <v>344</v>
      </c>
      <c r="C2" s="150" t="s">
        <v>345</v>
      </c>
      <c r="D2" s="151" t="s">
        <v>346</v>
      </c>
    </row>
    <row r="3" ht="43" customHeight="1" spans="1:6">
      <c r="A3" s="152" t="s">
        <v>347</v>
      </c>
      <c r="B3" s="114" t="s">
        <v>348</v>
      </c>
      <c r="C3" s="113" t="s">
        <v>349</v>
      </c>
      <c r="D3" s="153" t="s">
        <v>350</v>
      </c>
      <c r="E3" s="25">
        <f>1471675.7+305937.46</f>
        <v>1777613.16</v>
      </c>
      <c r="F3" s="2">
        <f>E7-E3</f>
        <v>548710.06</v>
      </c>
    </row>
    <row r="4" ht="43" customHeight="1" spans="1:4">
      <c r="A4" s="152" t="s">
        <v>351</v>
      </c>
      <c r="B4" s="154" t="s">
        <v>352</v>
      </c>
      <c r="C4" s="154"/>
      <c r="D4" s="155"/>
    </row>
    <row r="5" ht="36" customHeight="1" spans="1:7">
      <c r="A5" s="152" t="s">
        <v>353</v>
      </c>
      <c r="B5" s="156" t="s">
        <v>354</v>
      </c>
      <c r="C5" s="114" t="s">
        <v>355</v>
      </c>
      <c r="D5" s="157">
        <f>'3工程结算汇总表'!E14</f>
        <v>1873000</v>
      </c>
      <c r="E5" s="25">
        <f>604470.32+598480.54</f>
        <v>1202950.86</v>
      </c>
      <c r="G5"/>
    </row>
    <row r="6" ht="33" customHeight="1" spans="1:5">
      <c r="A6" s="152" t="s">
        <v>356</v>
      </c>
      <c r="B6" s="158" t="s">
        <v>357</v>
      </c>
      <c r="C6" s="158"/>
      <c r="D6" s="159"/>
      <c r="E6" s="25">
        <v>1123372.36</v>
      </c>
    </row>
    <row r="7" ht="37" customHeight="1" spans="1:5">
      <c r="A7" s="152" t="s">
        <v>358</v>
      </c>
      <c r="B7" s="158" t="s">
        <v>359</v>
      </c>
      <c r="C7" s="158"/>
      <c r="D7" s="159"/>
      <c r="E7" s="25">
        <f>SUM(E5:E6)</f>
        <v>2326323.22</v>
      </c>
    </row>
    <row r="8" ht="37" customHeight="1" spans="1:4">
      <c r="A8" s="152" t="s">
        <v>360</v>
      </c>
      <c r="B8" s="160" t="s">
        <v>361</v>
      </c>
      <c r="C8" s="158"/>
      <c r="D8" s="159"/>
    </row>
    <row r="9" ht="37" customHeight="1" spans="1:4">
      <c r="A9" s="152" t="s">
        <v>362</v>
      </c>
      <c r="B9" s="158" t="s">
        <v>357</v>
      </c>
      <c r="C9" s="158"/>
      <c r="D9" s="159"/>
    </row>
    <row r="10" ht="37" customHeight="1" spans="1:4">
      <c r="A10" s="152" t="s">
        <v>363</v>
      </c>
      <c r="B10" s="158" t="s">
        <v>357</v>
      </c>
      <c r="C10" s="158"/>
      <c r="D10" s="159"/>
    </row>
    <row r="11" ht="37" customHeight="1" spans="1:4">
      <c r="A11" s="152" t="s">
        <v>364</v>
      </c>
      <c r="B11" s="158" t="s">
        <v>357</v>
      </c>
      <c r="C11" s="158"/>
      <c r="D11" s="159"/>
    </row>
    <row r="12" ht="37" customHeight="1" spans="1:4">
      <c r="A12" s="152" t="s">
        <v>365</v>
      </c>
      <c r="B12" s="158" t="s">
        <v>357</v>
      </c>
      <c r="C12" s="158"/>
      <c r="D12" s="159"/>
    </row>
    <row r="13" ht="37" customHeight="1" spans="1:4">
      <c r="A13" s="152" t="s">
        <v>366</v>
      </c>
      <c r="B13" s="158" t="s">
        <v>357</v>
      </c>
      <c r="C13" s="158"/>
      <c r="D13" s="159"/>
    </row>
    <row r="14" ht="37" customHeight="1" spans="1:4">
      <c r="A14" s="161" t="s">
        <v>367</v>
      </c>
      <c r="B14" s="162" t="s">
        <v>357</v>
      </c>
      <c r="C14" s="162"/>
      <c r="D14" s="163"/>
    </row>
    <row r="15" ht="30" customHeight="1" spans="1:1">
      <c r="A15" s="164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opLeftCell="A6" workbookViewId="0">
      <selection activeCell="K20" sqref="K20"/>
    </sheetView>
  </sheetViews>
  <sheetFormatPr defaultColWidth="9" defaultRowHeight="14.25"/>
  <cols>
    <col min="1" max="1" width="6.5" style="24" customWidth="1"/>
    <col min="2" max="2" width="43.2" style="1" customWidth="1"/>
    <col min="3" max="3" width="9" style="24" customWidth="1"/>
    <col min="4" max="4" width="12.125" style="24" customWidth="1"/>
    <col min="5" max="5" width="8.125" style="24" customWidth="1"/>
    <col min="6" max="6" width="8.625" style="123" customWidth="1"/>
    <col min="7" max="7" width="9" style="1" customWidth="1"/>
    <col min="8" max="8" width="8.875" style="1" customWidth="1"/>
    <col min="9" max="12" width="9" style="1" customWidth="1"/>
    <col min="13" max="16384" width="9" style="2"/>
  </cols>
  <sheetData>
    <row r="1" ht="45" customHeight="1" spans="1:9">
      <c r="A1" s="124" t="s">
        <v>369</v>
      </c>
      <c r="B1" s="124"/>
      <c r="C1" s="124"/>
      <c r="D1" s="124"/>
      <c r="E1" s="124"/>
      <c r="F1" s="124"/>
      <c r="G1" s="125"/>
      <c r="H1" s="125"/>
      <c r="I1" s="125"/>
    </row>
    <row r="2" ht="31" customHeight="1" spans="1:6">
      <c r="A2" s="126" t="s">
        <v>1</v>
      </c>
      <c r="B2" s="127" t="s">
        <v>370</v>
      </c>
      <c r="C2" s="127" t="s">
        <v>371</v>
      </c>
      <c r="D2" s="127" t="s">
        <v>372</v>
      </c>
      <c r="E2" s="127" t="s">
        <v>373</v>
      </c>
      <c r="F2" s="128" t="s">
        <v>374</v>
      </c>
    </row>
    <row r="3" s="121" customFormat="1" ht="27" customHeight="1" spans="1:12">
      <c r="A3" s="129">
        <v>1</v>
      </c>
      <c r="B3" s="130" t="s">
        <v>375</v>
      </c>
      <c r="C3" s="131" t="s">
        <v>376</v>
      </c>
      <c r="D3" s="131" t="s">
        <v>377</v>
      </c>
      <c r="E3" s="132" t="s">
        <v>378</v>
      </c>
      <c r="F3" s="133"/>
      <c r="G3" s="134"/>
      <c r="H3" s="134" t="s">
        <v>379</v>
      </c>
      <c r="I3" s="134"/>
      <c r="J3" s="134"/>
      <c r="K3" s="134"/>
      <c r="L3" s="134"/>
    </row>
    <row r="4" s="121" customFormat="1" ht="27" customHeight="1" spans="1:12">
      <c r="A4" s="129">
        <v>2</v>
      </c>
      <c r="B4" s="130" t="s">
        <v>380</v>
      </c>
      <c r="C4" s="131" t="s">
        <v>376</v>
      </c>
      <c r="D4" s="131" t="s">
        <v>381</v>
      </c>
      <c r="E4" s="132" t="s">
        <v>378</v>
      </c>
      <c r="F4" s="133"/>
      <c r="G4" s="134"/>
      <c r="H4" s="134"/>
      <c r="I4" s="134"/>
      <c r="J4" s="134"/>
      <c r="K4" s="134"/>
      <c r="L4" s="134"/>
    </row>
    <row r="5" s="121" customFormat="1" ht="27" customHeight="1" spans="1:12">
      <c r="A5" s="129">
        <v>3</v>
      </c>
      <c r="B5" s="130" t="s">
        <v>382</v>
      </c>
      <c r="C5" s="131" t="s">
        <v>376</v>
      </c>
      <c r="D5" s="131" t="s">
        <v>383</v>
      </c>
      <c r="E5" s="132" t="s">
        <v>378</v>
      </c>
      <c r="F5" s="133"/>
      <c r="G5" s="134"/>
      <c r="H5" s="134" t="s">
        <v>384</v>
      </c>
      <c r="I5" s="134"/>
      <c r="J5" s="134"/>
      <c r="K5" s="134"/>
      <c r="L5" s="134"/>
    </row>
    <row r="6" ht="27" customHeight="1" spans="1:6">
      <c r="A6" s="129">
        <v>4</v>
      </c>
      <c r="B6" s="130" t="s">
        <v>385</v>
      </c>
      <c r="C6" s="131" t="s">
        <v>376</v>
      </c>
      <c r="D6" s="131" t="s">
        <v>386</v>
      </c>
      <c r="E6" s="131" t="s">
        <v>378</v>
      </c>
      <c r="F6" s="135"/>
    </row>
    <row r="7" ht="27" customHeight="1" spans="1:6">
      <c r="A7" s="129">
        <v>5</v>
      </c>
      <c r="B7" s="130" t="s">
        <v>387</v>
      </c>
      <c r="C7" s="131" t="s">
        <v>376</v>
      </c>
      <c r="D7" s="131" t="s">
        <v>388</v>
      </c>
      <c r="E7" s="132" t="s">
        <v>378</v>
      </c>
      <c r="F7" s="135"/>
    </row>
    <row r="8" ht="27" customHeight="1" spans="1:6">
      <c r="A8" s="129">
        <v>6</v>
      </c>
      <c r="B8" s="130" t="s">
        <v>389</v>
      </c>
      <c r="C8" s="131" t="s">
        <v>376</v>
      </c>
      <c r="D8" s="131" t="s">
        <v>390</v>
      </c>
      <c r="E8" s="132" t="s">
        <v>378</v>
      </c>
      <c r="F8" s="136"/>
    </row>
    <row r="9" ht="27" customHeight="1" spans="1:6">
      <c r="A9" s="129">
        <v>7</v>
      </c>
      <c r="B9" s="130" t="s">
        <v>391</v>
      </c>
      <c r="C9" s="131" t="s">
        <v>376</v>
      </c>
      <c r="D9" s="131" t="s">
        <v>392</v>
      </c>
      <c r="E9" s="132" t="s">
        <v>378</v>
      </c>
      <c r="F9" s="136"/>
    </row>
    <row r="10" ht="27" customHeight="1" spans="1:6">
      <c r="A10" s="129">
        <v>8</v>
      </c>
      <c r="B10" s="130" t="s">
        <v>393</v>
      </c>
      <c r="C10" s="131" t="s">
        <v>376</v>
      </c>
      <c r="D10" s="131" t="s">
        <v>394</v>
      </c>
      <c r="E10" s="132" t="s">
        <v>378</v>
      </c>
      <c r="F10" s="136"/>
    </row>
    <row r="11" ht="27" customHeight="1" spans="1:6">
      <c r="A11" s="129">
        <v>9</v>
      </c>
      <c r="B11" s="130" t="s">
        <v>395</v>
      </c>
      <c r="C11" s="131" t="s">
        <v>396</v>
      </c>
      <c r="D11" s="131" t="s">
        <v>397</v>
      </c>
      <c r="E11" s="131" t="s">
        <v>378</v>
      </c>
      <c r="F11" s="136"/>
    </row>
    <row r="12" ht="27" customHeight="1" spans="1:6">
      <c r="A12" s="129">
        <v>10</v>
      </c>
      <c r="B12" s="130" t="s">
        <v>398</v>
      </c>
      <c r="C12" s="131" t="s">
        <v>376</v>
      </c>
      <c r="D12" s="131" t="s">
        <v>399</v>
      </c>
      <c r="E12" s="132" t="s">
        <v>378</v>
      </c>
      <c r="F12" s="136"/>
    </row>
    <row r="13" ht="27" customHeight="1" spans="1:6">
      <c r="A13" s="129">
        <v>11</v>
      </c>
      <c r="B13" s="130" t="s">
        <v>400</v>
      </c>
      <c r="C13" s="131" t="s">
        <v>376</v>
      </c>
      <c r="D13" s="131" t="s">
        <v>401</v>
      </c>
      <c r="E13" s="132" t="s">
        <v>378</v>
      </c>
      <c r="F13" s="136"/>
    </row>
    <row r="14" ht="27" customHeight="1" spans="1:6">
      <c r="A14" s="129">
        <v>12</v>
      </c>
      <c r="B14" s="130" t="s">
        <v>402</v>
      </c>
      <c r="C14" s="131" t="s">
        <v>403</v>
      </c>
      <c r="D14" s="131" t="s">
        <v>404</v>
      </c>
      <c r="E14" s="132" t="s">
        <v>378</v>
      </c>
      <c r="F14" s="136"/>
    </row>
    <row r="15" ht="27" customHeight="1" spans="1:6">
      <c r="A15" s="129">
        <v>13</v>
      </c>
      <c r="B15" s="130" t="s">
        <v>405</v>
      </c>
      <c r="C15" s="131" t="s">
        <v>406</v>
      </c>
      <c r="D15" s="131" t="s">
        <v>407</v>
      </c>
      <c r="E15" s="132" t="s">
        <v>408</v>
      </c>
      <c r="F15" s="136"/>
    </row>
    <row r="16" ht="27" customHeight="1" spans="1:6">
      <c r="A16" s="129">
        <v>14</v>
      </c>
      <c r="B16" s="130" t="s">
        <v>409</v>
      </c>
      <c r="C16" s="131" t="s">
        <v>410</v>
      </c>
      <c r="D16" s="131" t="s">
        <v>411</v>
      </c>
      <c r="E16" s="132" t="s">
        <v>412</v>
      </c>
      <c r="F16" s="133"/>
    </row>
    <row r="17" ht="66" customHeight="1" spans="1:6">
      <c r="A17" s="129">
        <v>15</v>
      </c>
      <c r="B17" s="130" t="s">
        <v>413</v>
      </c>
      <c r="C17" s="131" t="s">
        <v>414</v>
      </c>
      <c r="D17" s="131" t="s">
        <v>415</v>
      </c>
      <c r="E17" s="131" t="s">
        <v>412</v>
      </c>
      <c r="F17" s="137"/>
    </row>
    <row r="18" s="109" customFormat="1" ht="27" customHeight="1" spans="1:12">
      <c r="A18" s="129">
        <v>16</v>
      </c>
      <c r="B18" s="130" t="s">
        <v>416</v>
      </c>
      <c r="C18" s="131" t="s">
        <v>417</v>
      </c>
      <c r="D18" s="131" t="s">
        <v>418</v>
      </c>
      <c r="E18" s="131" t="s">
        <v>378</v>
      </c>
      <c r="F18" s="137"/>
      <c r="G18" s="16"/>
      <c r="H18" s="16"/>
      <c r="I18" s="16"/>
      <c r="J18" s="16"/>
      <c r="K18" s="16"/>
      <c r="L18" s="16"/>
    </row>
    <row r="19" s="122" customFormat="1" ht="27" customHeight="1" spans="1:12">
      <c r="A19" s="129">
        <v>17</v>
      </c>
      <c r="B19" s="130" t="s">
        <v>419</v>
      </c>
      <c r="C19" s="131" t="s">
        <v>376</v>
      </c>
      <c r="D19" s="131" t="s">
        <v>420</v>
      </c>
      <c r="E19" s="131" t="s">
        <v>378</v>
      </c>
      <c r="F19" s="137"/>
      <c r="G19" s="16"/>
      <c r="H19" s="16"/>
      <c r="I19" s="16"/>
      <c r="J19" s="16"/>
      <c r="K19" s="16"/>
      <c r="L19" s="16"/>
    </row>
    <row r="20" s="122" customFormat="1" ht="27" customHeight="1" spans="1:12">
      <c r="A20" s="129">
        <v>18</v>
      </c>
      <c r="B20" s="130" t="s">
        <v>421</v>
      </c>
      <c r="C20" s="138" t="s">
        <v>422</v>
      </c>
      <c r="D20" s="139" t="s">
        <v>423</v>
      </c>
      <c r="E20" s="140" t="s">
        <v>378</v>
      </c>
      <c r="F20" s="137"/>
      <c r="G20" s="16"/>
      <c r="H20" s="16"/>
      <c r="I20" s="16"/>
      <c r="J20" s="16"/>
      <c r="K20" s="16"/>
      <c r="L20" s="16"/>
    </row>
    <row r="21" s="122" customFormat="1" ht="27" customHeight="1" spans="1:12">
      <c r="A21" s="129">
        <v>19</v>
      </c>
      <c r="B21" s="130" t="s">
        <v>424</v>
      </c>
      <c r="C21" s="131" t="s">
        <v>417</v>
      </c>
      <c r="D21" s="139" t="s">
        <v>425</v>
      </c>
      <c r="E21" s="140" t="s">
        <v>378</v>
      </c>
      <c r="F21" s="137"/>
      <c r="G21" s="16"/>
      <c r="H21" s="16"/>
      <c r="I21" s="16"/>
      <c r="J21" s="16"/>
      <c r="K21" s="16"/>
      <c r="L21" s="16"/>
    </row>
    <row r="22" ht="27" customHeight="1" spans="1:7">
      <c r="A22" s="129">
        <v>20</v>
      </c>
      <c r="B22" s="130" t="s">
        <v>426</v>
      </c>
      <c r="C22" s="139" t="s">
        <v>427</v>
      </c>
      <c r="D22" s="139" t="s">
        <v>428</v>
      </c>
      <c r="E22" s="140" t="s">
        <v>378</v>
      </c>
      <c r="F22" s="137"/>
      <c r="G22" s="134"/>
    </row>
    <row r="23" spans="1:6">
      <c r="A23" s="141" t="s">
        <v>429</v>
      </c>
      <c r="B23" s="142"/>
      <c r="C23" s="142" t="s">
        <v>430</v>
      </c>
      <c r="D23" s="142"/>
      <c r="E23" s="142"/>
      <c r="F23" s="143"/>
    </row>
    <row r="24" spans="1:6">
      <c r="A24" s="141"/>
      <c r="B24" s="142"/>
      <c r="C24" s="142"/>
      <c r="D24" s="142"/>
      <c r="E24" s="142"/>
      <c r="F24" s="143"/>
    </row>
    <row r="25" spans="1:6">
      <c r="A25" s="141"/>
      <c r="B25" s="142"/>
      <c r="C25" s="142"/>
      <c r="D25" s="142"/>
      <c r="E25" s="142"/>
      <c r="F25" s="143"/>
    </row>
    <row r="26" spans="1:6">
      <c r="A26" s="141"/>
      <c r="B26" s="142"/>
      <c r="C26" s="142"/>
      <c r="D26" s="142"/>
      <c r="E26" s="142"/>
      <c r="F26" s="143"/>
    </row>
    <row r="27" ht="6" customHeight="1" spans="1:6">
      <c r="A27" s="141"/>
      <c r="B27" s="142"/>
      <c r="C27" s="142"/>
      <c r="D27" s="142"/>
      <c r="E27" s="142"/>
      <c r="F27" s="143"/>
    </row>
    <row r="28" ht="15" spans="1:6">
      <c r="A28" s="144"/>
      <c r="B28" s="145"/>
      <c r="C28" s="145"/>
      <c r="D28" s="145"/>
      <c r="E28" s="145"/>
      <c r="F28" s="146"/>
    </row>
  </sheetData>
  <mergeCells count="3">
    <mergeCell ref="A1:F1"/>
    <mergeCell ref="A23:B28"/>
    <mergeCell ref="C23:F28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A4" sqref="A4:G4"/>
    </sheetView>
  </sheetViews>
  <sheetFormatPr defaultColWidth="9" defaultRowHeight="14.25" outlineLevelCol="6"/>
  <cols>
    <col min="1" max="4" width="9" style="2"/>
    <col min="5" max="5" width="10.625" style="2" customWidth="1"/>
    <col min="6" max="6" width="10.5" style="2" customWidth="1"/>
    <col min="7" max="7" width="14" style="2" customWidth="1"/>
    <col min="8" max="16384" width="9" style="2"/>
  </cols>
  <sheetData>
    <row r="1" ht="44.25" customHeight="1" spans="1:7">
      <c r="A1" s="110" t="s">
        <v>431</v>
      </c>
      <c r="B1" s="110"/>
      <c r="C1" s="110"/>
      <c r="D1" s="110"/>
      <c r="E1" s="110"/>
      <c r="F1" s="110"/>
      <c r="G1" s="110"/>
    </row>
    <row r="2" s="109" customFormat="1" ht="25.5" customHeight="1" spans="1:1">
      <c r="A2" s="109" t="s">
        <v>432</v>
      </c>
    </row>
    <row r="3" s="109" customFormat="1" ht="33" customHeight="1" spans="1:7">
      <c r="A3" s="111" t="s">
        <v>433</v>
      </c>
      <c r="B3" s="112"/>
      <c r="C3" s="112"/>
      <c r="D3" s="112"/>
      <c r="E3" s="112"/>
      <c r="F3" s="112"/>
      <c r="G3" s="112"/>
    </row>
    <row r="4" s="109" customFormat="1" ht="24" customHeight="1" spans="1:7">
      <c r="A4" s="112" t="s">
        <v>434</v>
      </c>
      <c r="B4" s="112"/>
      <c r="C4" s="112"/>
      <c r="D4" s="112"/>
      <c r="E4" s="112"/>
      <c r="F4" s="112"/>
      <c r="G4" s="112"/>
    </row>
    <row r="5" s="109" customFormat="1" ht="21" customHeight="1" spans="1:7">
      <c r="A5" s="112" t="s">
        <v>435</v>
      </c>
      <c r="B5" s="112"/>
      <c r="C5" s="112"/>
      <c r="D5" s="112"/>
      <c r="E5" s="112"/>
      <c r="F5" s="112"/>
      <c r="G5" s="112"/>
    </row>
    <row r="6" s="109" customFormat="1" ht="30" customHeight="1" spans="1:7">
      <c r="A6" s="113" t="s">
        <v>1</v>
      </c>
      <c r="B6" s="114" t="s">
        <v>343</v>
      </c>
      <c r="C6" s="114"/>
      <c r="D6" s="114"/>
      <c r="E6" s="113" t="s">
        <v>436</v>
      </c>
      <c r="F6" s="113" t="s">
        <v>437</v>
      </c>
      <c r="G6" s="113" t="s">
        <v>438</v>
      </c>
    </row>
    <row r="7" s="109" customFormat="1" ht="21" customHeight="1" spans="1:7">
      <c r="A7" s="113" t="s">
        <v>439</v>
      </c>
      <c r="B7" s="114" t="s">
        <v>440</v>
      </c>
      <c r="C7" s="114"/>
      <c r="D7" s="114"/>
      <c r="E7" s="114"/>
      <c r="F7" s="114"/>
      <c r="G7" s="115">
        <f>SUM(G8:G10)</f>
        <v>1873800.4</v>
      </c>
    </row>
    <row r="8" s="109" customFormat="1" ht="21" customHeight="1" spans="1:7">
      <c r="A8" s="113">
        <v>1.1</v>
      </c>
      <c r="B8" s="114" t="s">
        <v>441</v>
      </c>
      <c r="C8" s="114"/>
      <c r="D8" s="114"/>
      <c r="E8" s="114"/>
      <c r="F8" s="114"/>
      <c r="G8" s="115">
        <f>'4结算明细汇总表'!C3</f>
        <v>1967246</v>
      </c>
    </row>
    <row r="9" s="109" customFormat="1" ht="21" customHeight="1" spans="1:7">
      <c r="A9" s="113">
        <v>1.2</v>
      </c>
      <c r="B9" s="114" t="s">
        <v>442</v>
      </c>
      <c r="C9" s="114"/>
      <c r="D9" s="114"/>
      <c r="E9" s="114"/>
      <c r="F9" s="114"/>
      <c r="G9" s="115">
        <f>'4结算明细汇总表'!C5</f>
        <v>2000</v>
      </c>
    </row>
    <row r="10" s="109" customFormat="1" ht="21" customHeight="1" spans="1:7">
      <c r="A10" s="113">
        <v>1.3</v>
      </c>
      <c r="B10" s="114" t="s">
        <v>443</v>
      </c>
      <c r="C10" s="114"/>
      <c r="D10" s="114"/>
      <c r="E10" s="114"/>
      <c r="F10" s="114"/>
      <c r="G10" s="115">
        <f>'4结算明细汇总表'!C7</f>
        <v>-95445.6</v>
      </c>
    </row>
    <row r="11" s="109" customFormat="1" ht="21" customHeight="1" spans="1:7">
      <c r="A11" s="113" t="s">
        <v>444</v>
      </c>
      <c r="B11" s="114" t="s">
        <v>445</v>
      </c>
      <c r="C11" s="114"/>
      <c r="D11" s="114"/>
      <c r="E11" s="114"/>
      <c r="F11" s="114"/>
      <c r="G11" s="115">
        <f>G12</f>
        <v>-800.4</v>
      </c>
    </row>
    <row r="12" s="109" customFormat="1" ht="21" customHeight="1" spans="1:7">
      <c r="A12" s="113">
        <v>2.1</v>
      </c>
      <c r="B12" s="114" t="s">
        <v>446</v>
      </c>
      <c r="C12" s="114"/>
      <c r="D12" s="114"/>
      <c r="E12" s="114"/>
      <c r="F12" s="114"/>
      <c r="G12" s="115">
        <f>'4结算明细汇总表'!C15-'4结算明细汇总表'!C14</f>
        <v>-800.4</v>
      </c>
    </row>
    <row r="13" s="109" customFormat="1" ht="21" customHeight="1" spans="1:7">
      <c r="A13" s="113">
        <v>2.2</v>
      </c>
      <c r="B13" s="114" t="s">
        <v>447</v>
      </c>
      <c r="C13" s="114"/>
      <c r="D13" s="114"/>
      <c r="E13" s="114"/>
      <c r="F13" s="114"/>
      <c r="G13" s="116">
        <f t="shared" ref="G11:G13" si="0">E13</f>
        <v>0</v>
      </c>
    </row>
    <row r="14" s="109" customFormat="1" ht="19" customHeight="1" spans="1:7">
      <c r="A14" s="113" t="s">
        <v>448</v>
      </c>
      <c r="B14" s="114" t="s">
        <v>449</v>
      </c>
      <c r="C14" s="114"/>
      <c r="D14" s="114" t="s">
        <v>450</v>
      </c>
      <c r="E14" s="117">
        <f>G7+G11</f>
        <v>1873000</v>
      </c>
      <c r="F14" s="117"/>
      <c r="G14" s="117"/>
    </row>
    <row r="15" s="109" customFormat="1" ht="19" customHeight="1" spans="1:7">
      <c r="A15" s="113"/>
      <c r="B15" s="114"/>
      <c r="C15" s="114"/>
      <c r="D15" s="114" t="s">
        <v>451</v>
      </c>
      <c r="E15" s="118">
        <f>E14</f>
        <v>1873000</v>
      </c>
      <c r="F15" s="118"/>
      <c r="G15" s="118"/>
    </row>
    <row r="16" s="109" customFormat="1" ht="20" customHeight="1" spans="1:7">
      <c r="A16" s="113" t="s">
        <v>452</v>
      </c>
      <c r="B16" s="114" t="s">
        <v>453</v>
      </c>
      <c r="C16" s="114"/>
      <c r="D16" s="114"/>
      <c r="E16" s="116">
        <v>0</v>
      </c>
      <c r="F16" s="116"/>
      <c r="G16" s="116"/>
    </row>
    <row r="17" s="109" customFormat="1" ht="20" customHeight="1" spans="1:7">
      <c r="A17" s="113">
        <v>4.1</v>
      </c>
      <c r="B17" s="114" t="s">
        <v>454</v>
      </c>
      <c r="C17" s="114"/>
      <c r="D17" s="114"/>
      <c r="E17" s="116">
        <v>0</v>
      </c>
      <c r="F17" s="116"/>
      <c r="G17" s="116"/>
    </row>
    <row r="18" s="109" customFormat="1" ht="20" customHeight="1" spans="1:7">
      <c r="A18" s="113">
        <v>4.2</v>
      </c>
      <c r="B18" s="114" t="s">
        <v>455</v>
      </c>
      <c r="C18" s="114"/>
      <c r="D18" s="114"/>
      <c r="E18" s="116">
        <v>0</v>
      </c>
      <c r="F18" s="116"/>
      <c r="G18" s="116"/>
    </row>
    <row r="19" s="109" customFormat="1" ht="17" customHeight="1" spans="1:7">
      <c r="A19" s="113" t="s">
        <v>456</v>
      </c>
      <c r="B19" s="114" t="s">
        <v>447</v>
      </c>
      <c r="C19" s="114"/>
      <c r="D19" s="114"/>
      <c r="E19" s="116"/>
      <c r="F19" s="116"/>
      <c r="G19" s="116"/>
    </row>
    <row r="20" s="109" customFormat="1" ht="20" customHeight="1" spans="1:7">
      <c r="A20" s="113" t="s">
        <v>457</v>
      </c>
      <c r="B20" s="114" t="s">
        <v>458</v>
      </c>
      <c r="C20" s="114"/>
      <c r="D20" s="114"/>
      <c r="E20" s="116">
        <v>0</v>
      </c>
      <c r="F20" s="116"/>
      <c r="G20" s="116"/>
    </row>
    <row r="21" s="109" customFormat="1" ht="20" customHeight="1" spans="1:7">
      <c r="A21" s="113">
        <v>5.1</v>
      </c>
      <c r="B21" s="114" t="s">
        <v>459</v>
      </c>
      <c r="C21" s="114"/>
      <c r="D21" s="114"/>
      <c r="E21" s="116">
        <v>0</v>
      </c>
      <c r="F21" s="116"/>
      <c r="G21" s="116"/>
    </row>
    <row r="22" s="109" customFormat="1" ht="20" customHeight="1" spans="1:7">
      <c r="A22" s="113">
        <v>5.2</v>
      </c>
      <c r="B22" s="114" t="s">
        <v>460</v>
      </c>
      <c r="C22" s="114"/>
      <c r="D22" s="114"/>
      <c r="E22" s="116">
        <v>0</v>
      </c>
      <c r="F22" s="116"/>
      <c r="G22" s="116"/>
    </row>
    <row r="23" s="109" customFormat="1" ht="18" customHeight="1" spans="1:7">
      <c r="A23" s="113" t="s">
        <v>461</v>
      </c>
      <c r="B23" s="114" t="s">
        <v>462</v>
      </c>
      <c r="C23" s="114" t="s">
        <v>450</v>
      </c>
      <c r="D23" s="114"/>
      <c r="E23" s="117">
        <f>E14</f>
        <v>1873000</v>
      </c>
      <c r="F23" s="117"/>
      <c r="G23" s="117"/>
    </row>
    <row r="24" s="109" customFormat="1" ht="18" customHeight="1" spans="1:7">
      <c r="A24" s="113"/>
      <c r="B24" s="114"/>
      <c r="C24" s="114" t="s">
        <v>451</v>
      </c>
      <c r="D24" s="114"/>
      <c r="E24" s="118">
        <f>E15</f>
        <v>1873000</v>
      </c>
      <c r="F24" s="118"/>
      <c r="G24" s="118"/>
    </row>
    <row r="25" s="109" customFormat="1" ht="18" customHeight="1" spans="1:7">
      <c r="A25" s="113" t="s">
        <v>463</v>
      </c>
      <c r="B25" s="114" t="s">
        <v>464</v>
      </c>
      <c r="C25" s="114" t="s">
        <v>450</v>
      </c>
      <c r="D25" s="114"/>
      <c r="E25" s="117">
        <f>E14</f>
        <v>1873000</v>
      </c>
      <c r="F25" s="117"/>
      <c r="G25" s="117"/>
    </row>
    <row r="26" s="109" customFormat="1" ht="18" customHeight="1" spans="1:7">
      <c r="A26" s="113"/>
      <c r="B26" s="114"/>
      <c r="C26" s="114" t="s">
        <v>451</v>
      </c>
      <c r="D26" s="114"/>
      <c r="E26" s="118">
        <f>E15</f>
        <v>1873000</v>
      </c>
      <c r="F26" s="118"/>
      <c r="G26" s="118"/>
    </row>
    <row r="27" spans="1:7">
      <c r="A27" s="119"/>
      <c r="B27" s="119"/>
      <c r="C27" s="119"/>
      <c r="D27" s="119"/>
      <c r="E27" s="119"/>
      <c r="F27" s="119"/>
      <c r="G27" s="119"/>
    </row>
    <row r="28" spans="1:7">
      <c r="A28" s="106" t="s">
        <v>465</v>
      </c>
      <c r="B28" s="106"/>
      <c r="C28" s="106"/>
      <c r="D28" s="106"/>
      <c r="E28" s="106"/>
      <c r="F28" s="106"/>
      <c r="G28" s="106"/>
    </row>
    <row r="29" spans="1:1">
      <c r="A29" s="107"/>
    </row>
    <row r="30" spans="1:1">
      <c r="A30" s="107"/>
    </row>
    <row r="31" spans="1:7">
      <c r="A31" s="106" t="s">
        <v>466</v>
      </c>
      <c r="B31" s="106"/>
      <c r="C31" s="106"/>
      <c r="D31" s="106"/>
      <c r="E31" s="106"/>
      <c r="F31" s="106"/>
      <c r="G31" s="106"/>
    </row>
    <row r="32" spans="1:1">
      <c r="A32" s="107"/>
    </row>
    <row r="33" ht="27" customHeight="1" spans="1:7">
      <c r="A33" s="120" t="s">
        <v>467</v>
      </c>
      <c r="B33" s="120"/>
      <c r="C33" s="120"/>
      <c r="D33" s="120"/>
      <c r="E33" s="120"/>
      <c r="F33" s="120"/>
      <c r="G33" s="120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F8" sqref="F8"/>
    </sheetView>
  </sheetViews>
  <sheetFormatPr defaultColWidth="9" defaultRowHeight="13.5" outlineLevelCol="3"/>
  <cols>
    <col min="1" max="1" width="8.25" style="22" customWidth="1"/>
    <col min="2" max="2" width="33.375" style="22" customWidth="1"/>
    <col min="3" max="3" width="20.2166666666667" style="22" customWidth="1"/>
    <col min="4" max="4" width="17.75" style="22" customWidth="1"/>
    <col min="5" max="5" width="20.125" style="22" customWidth="1"/>
    <col min="6" max="16384" width="9" style="22"/>
  </cols>
  <sheetData>
    <row r="1" ht="40" customHeight="1" spans="1:4">
      <c r="A1" s="90" t="s">
        <v>468</v>
      </c>
      <c r="B1" s="91"/>
      <c r="C1" s="91"/>
      <c r="D1" s="91"/>
    </row>
    <row r="2" ht="43" customHeight="1" spans="1:4">
      <c r="A2" s="92" t="s">
        <v>1</v>
      </c>
      <c r="B2" s="92" t="s">
        <v>343</v>
      </c>
      <c r="C2" s="92" t="s">
        <v>469</v>
      </c>
      <c r="D2" s="92" t="s">
        <v>374</v>
      </c>
    </row>
    <row r="3" ht="30" customHeight="1" spans="1:4">
      <c r="A3" s="93">
        <v>1</v>
      </c>
      <c r="B3" s="94" t="s">
        <v>470</v>
      </c>
      <c r="C3" s="95">
        <f>C4</f>
        <v>1967246</v>
      </c>
      <c r="D3" s="9" t="s">
        <v>471</v>
      </c>
    </row>
    <row r="4" s="89" customFormat="1" ht="30" customHeight="1" spans="1:4">
      <c r="A4" s="96">
        <v>1.1</v>
      </c>
      <c r="B4" s="97" t="s">
        <v>472</v>
      </c>
      <c r="C4" s="98">
        <f>'34-37#楼汇总表（表1）'!E14</f>
        <v>1967246</v>
      </c>
      <c r="D4" s="99"/>
    </row>
    <row r="5" s="22" customFormat="1" ht="39" customHeight="1" spans="1:4">
      <c r="A5" s="93">
        <v>2</v>
      </c>
      <c r="B5" s="93" t="s">
        <v>442</v>
      </c>
      <c r="C5" s="100">
        <f>SUM(C6)</f>
        <v>2000</v>
      </c>
      <c r="D5" s="92" t="s">
        <v>473</v>
      </c>
    </row>
    <row r="6" s="89" customFormat="1" ht="33" customHeight="1" spans="1:4">
      <c r="A6" s="101">
        <v>2.1</v>
      </c>
      <c r="B6" s="97" t="s">
        <v>474</v>
      </c>
      <c r="C6" s="98">
        <v>2000</v>
      </c>
      <c r="D6" s="102" t="s">
        <v>475</v>
      </c>
    </row>
    <row r="7" ht="38" customHeight="1" spans="1:4">
      <c r="A7" s="93">
        <v>3</v>
      </c>
      <c r="B7" s="93" t="s">
        <v>476</v>
      </c>
      <c r="C7" s="100">
        <f>SUM(C8:C13)</f>
        <v>-95445.6</v>
      </c>
      <c r="D7" s="92" t="s">
        <v>477</v>
      </c>
    </row>
    <row r="8" s="89" customFormat="1" ht="33" customHeight="1" spans="1:4">
      <c r="A8" s="101">
        <v>3.1</v>
      </c>
      <c r="B8" s="97" t="s">
        <v>478</v>
      </c>
      <c r="C8" s="98">
        <v>-1873.6</v>
      </c>
      <c r="D8" s="101"/>
    </row>
    <row r="9" s="89" customFormat="1" ht="33" customHeight="1" spans="1:4">
      <c r="A9" s="101">
        <v>3.2</v>
      </c>
      <c r="B9" s="97" t="s">
        <v>479</v>
      </c>
      <c r="C9" s="98">
        <v>-240</v>
      </c>
      <c r="D9" s="101"/>
    </row>
    <row r="10" s="89" customFormat="1" ht="33" customHeight="1" spans="1:4">
      <c r="A10" s="101">
        <v>3.3</v>
      </c>
      <c r="B10" s="97" t="s">
        <v>480</v>
      </c>
      <c r="C10" s="98">
        <v>-410</v>
      </c>
      <c r="D10" s="101"/>
    </row>
    <row r="11" s="89" customFormat="1" ht="33" customHeight="1" spans="1:4">
      <c r="A11" s="101">
        <v>3.4</v>
      </c>
      <c r="B11" s="97" t="s">
        <v>481</v>
      </c>
      <c r="C11" s="98">
        <v>-620</v>
      </c>
      <c r="D11" s="101"/>
    </row>
    <row r="12" s="89" customFormat="1" ht="33" customHeight="1" spans="1:4">
      <c r="A12" s="101">
        <v>3.5</v>
      </c>
      <c r="B12" s="97" t="s">
        <v>482</v>
      </c>
      <c r="C12" s="98">
        <v>-202</v>
      </c>
      <c r="D12" s="101"/>
    </row>
    <row r="13" s="89" customFormat="1" ht="60" customHeight="1" spans="1:4">
      <c r="A13" s="101">
        <v>3.6</v>
      </c>
      <c r="B13" s="103" t="s">
        <v>483</v>
      </c>
      <c r="C13" s="98">
        <f>-9.21*10000</f>
        <v>-92100</v>
      </c>
      <c r="D13" s="102" t="s">
        <v>419</v>
      </c>
    </row>
    <row r="14" ht="34" customHeight="1" spans="1:4">
      <c r="A14" s="93">
        <v>4</v>
      </c>
      <c r="B14" s="93" t="s">
        <v>484</v>
      </c>
      <c r="C14" s="100">
        <f>C3+C5+C7</f>
        <v>1873800.4</v>
      </c>
      <c r="D14" s="104"/>
    </row>
    <row r="15" s="22" customFormat="1" ht="34" customHeight="1" spans="1:4">
      <c r="A15" s="93">
        <v>5</v>
      </c>
      <c r="B15" s="93" t="s">
        <v>485</v>
      </c>
      <c r="C15" s="105">
        <v>1873000</v>
      </c>
      <c r="D15" s="102" t="s">
        <v>486</v>
      </c>
    </row>
    <row r="16" s="2" customFormat="1" ht="14.25" spans="1:4">
      <c r="A16" s="106" t="s">
        <v>465</v>
      </c>
      <c r="B16" s="106"/>
      <c r="C16" s="106"/>
      <c r="D16" s="106"/>
    </row>
    <row r="17" s="2" customFormat="1" ht="14.25" spans="1:1">
      <c r="A17" s="107"/>
    </row>
    <row r="18" s="2" customFormat="1" ht="14.25" spans="1:1">
      <c r="A18" s="107"/>
    </row>
    <row r="19" s="2" customFormat="1" ht="14.25" spans="1:4">
      <c r="A19" s="106" t="s">
        <v>466</v>
      </c>
      <c r="B19" s="106"/>
      <c r="C19" s="106"/>
      <c r="D19" s="106"/>
    </row>
    <row r="20" s="2" customFormat="1" ht="14.25" spans="1:1">
      <c r="A20" s="107"/>
    </row>
    <row r="21" ht="14.25" spans="1:4">
      <c r="A21" s="108"/>
      <c r="B21" s="108"/>
      <c r="C21" s="108"/>
      <c r="D21" s="108"/>
    </row>
  </sheetData>
  <mergeCells count="3">
    <mergeCell ref="A1:D1"/>
    <mergeCell ref="A16:D16"/>
    <mergeCell ref="A19:D19"/>
  </mergeCells>
  <pageMargins left="0.7" right="0.7" top="0.75" bottom="0.75" header="0.3" footer="0.3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zoomScale="85" zoomScaleNormal="85" workbookViewId="0">
      <selection activeCell="A2" sqref="A2"/>
    </sheetView>
  </sheetViews>
  <sheetFormatPr defaultColWidth="9" defaultRowHeight="14.25" outlineLevelCol="5"/>
  <cols>
    <col min="1" max="1" width="8.5" style="64" customWidth="1"/>
    <col min="2" max="2" width="15.875" style="67" customWidth="1"/>
    <col min="3" max="3" width="15.625" style="27" customWidth="1"/>
    <col min="4" max="4" width="12.625" style="27" customWidth="1"/>
    <col min="5" max="5" width="16.375" style="27" customWidth="1"/>
    <col min="6" max="6" width="9.7" style="64" customWidth="1"/>
    <col min="7" max="7" width="13.3" style="64" customWidth="1"/>
    <col min="8" max="16384" width="9" style="64"/>
  </cols>
  <sheetData>
    <row r="1" ht="42.6" customHeight="1" spans="1:6">
      <c r="A1" s="68" t="s">
        <v>487</v>
      </c>
      <c r="B1" s="69"/>
      <c r="C1" s="68"/>
      <c r="D1" s="68"/>
      <c r="E1" s="68"/>
      <c r="F1" s="68"/>
    </row>
    <row r="2" ht="28.5" spans="1:6">
      <c r="A2" s="70" t="s">
        <v>1</v>
      </c>
      <c r="B2" s="71" t="s">
        <v>488</v>
      </c>
      <c r="C2" s="72" t="s">
        <v>489</v>
      </c>
      <c r="D2" s="72" t="s">
        <v>490</v>
      </c>
      <c r="E2" s="73" t="s">
        <v>491</v>
      </c>
      <c r="F2" s="74" t="s">
        <v>374</v>
      </c>
    </row>
    <row r="3" ht="49" customHeight="1" spans="1:6">
      <c r="A3" s="75">
        <v>1</v>
      </c>
      <c r="B3" s="10" t="s">
        <v>492</v>
      </c>
      <c r="C3" s="76">
        <f>'34#楼汇总表（表2）'!E10</f>
        <v>845.44</v>
      </c>
      <c r="D3" s="76">
        <v>293.99</v>
      </c>
      <c r="E3" s="77">
        <f>C3*D3</f>
        <v>248550.91</v>
      </c>
      <c r="F3" s="78"/>
    </row>
    <row r="4" ht="49" customHeight="1" spans="1:6">
      <c r="A4" s="75">
        <v>2</v>
      </c>
      <c r="B4" s="10" t="s">
        <v>493</v>
      </c>
      <c r="C4" s="76">
        <f>'35#楼汇总表（表2）'!E10</f>
        <v>938.6</v>
      </c>
      <c r="D4" s="76">
        <v>293.99</v>
      </c>
      <c r="E4" s="77">
        <f t="shared" ref="E4:E14" si="0">C4*D4</f>
        <v>275939.01</v>
      </c>
      <c r="F4" s="79"/>
    </row>
    <row r="5" ht="49" customHeight="1" spans="1:6">
      <c r="A5" s="75">
        <v>3</v>
      </c>
      <c r="B5" s="10" t="s">
        <v>494</v>
      </c>
      <c r="C5" s="76">
        <f>'36#楼汇总表（表2）'!E10</f>
        <v>936.38</v>
      </c>
      <c r="D5" s="76">
        <v>293.99</v>
      </c>
      <c r="E5" s="77">
        <f t="shared" si="0"/>
        <v>275286.36</v>
      </c>
      <c r="F5" s="79"/>
    </row>
    <row r="6" ht="49" customHeight="1" spans="1:6">
      <c r="A6" s="75">
        <v>4</v>
      </c>
      <c r="B6" s="10" t="s">
        <v>495</v>
      </c>
      <c r="C6" s="76">
        <f>'37#楼汇总表（表2）'!E11</f>
        <v>819.92</v>
      </c>
      <c r="D6" s="76">
        <v>293.99</v>
      </c>
      <c r="E6" s="77">
        <f t="shared" si="0"/>
        <v>241048.28</v>
      </c>
      <c r="F6" s="80"/>
    </row>
    <row r="7" ht="49" customHeight="1" spans="1:6">
      <c r="A7" s="75">
        <v>5</v>
      </c>
      <c r="B7" s="10" t="s">
        <v>496</v>
      </c>
      <c r="C7" s="76">
        <f>'38#楼汇总表（表2）'!E11</f>
        <v>885.72</v>
      </c>
      <c r="D7" s="76">
        <v>293.99</v>
      </c>
      <c r="E7" s="77">
        <f t="shared" si="0"/>
        <v>260392.82</v>
      </c>
      <c r="F7" s="79"/>
    </row>
    <row r="8" ht="49" customHeight="1" spans="1:6">
      <c r="A8" s="75">
        <v>6</v>
      </c>
      <c r="B8" s="10" t="s">
        <v>497</v>
      </c>
      <c r="C8" s="76">
        <f>'39#楼汇总表（表2）'!E12</f>
        <v>435.72</v>
      </c>
      <c r="D8" s="76">
        <v>293.99</v>
      </c>
      <c r="E8" s="77">
        <f t="shared" si="0"/>
        <v>128097.32</v>
      </c>
      <c r="F8" s="81"/>
    </row>
    <row r="9" ht="49" customHeight="1" spans="1:6">
      <c r="A9" s="75">
        <v>7</v>
      </c>
      <c r="B9" s="10" t="s">
        <v>498</v>
      </c>
      <c r="C9" s="76">
        <f>'40#楼汇总表（表2）'!E9</f>
        <v>946.9</v>
      </c>
      <c r="D9" s="76">
        <v>293.99</v>
      </c>
      <c r="E9" s="77">
        <f t="shared" si="0"/>
        <v>278379.13</v>
      </c>
      <c r="F9" s="82"/>
    </row>
    <row r="10" ht="49" customHeight="1" spans="1:6">
      <c r="A10" s="75">
        <v>8</v>
      </c>
      <c r="B10" s="10" t="s">
        <v>499</v>
      </c>
      <c r="C10" s="76">
        <f>'41#楼汇总表（表2） '!E11</f>
        <v>444.23</v>
      </c>
      <c r="D10" s="76">
        <v>293.99</v>
      </c>
      <c r="E10" s="77">
        <f t="shared" si="0"/>
        <v>130599.18</v>
      </c>
      <c r="F10" s="80"/>
    </row>
    <row r="11" ht="49" customHeight="1" spans="1:6">
      <c r="A11" s="75">
        <v>9</v>
      </c>
      <c r="B11" s="10" t="s">
        <v>500</v>
      </c>
      <c r="C11" s="76">
        <f>'幼儿园、开闭所汇总表（表2）'!F8</f>
        <v>30.25</v>
      </c>
      <c r="D11" s="76">
        <v>293.99</v>
      </c>
      <c r="E11" s="77">
        <f t="shared" si="0"/>
        <v>8893.2</v>
      </c>
      <c r="F11" s="83"/>
    </row>
    <row r="12" ht="49" customHeight="1" spans="1:6">
      <c r="A12" s="75">
        <v>10</v>
      </c>
      <c r="B12" s="10" t="s">
        <v>501</v>
      </c>
      <c r="C12" s="76">
        <f>'地下车库汇总表（表2）'!E177</f>
        <v>393.9</v>
      </c>
      <c r="D12" s="76">
        <v>293.99</v>
      </c>
      <c r="E12" s="77">
        <f t="shared" si="0"/>
        <v>115802.66</v>
      </c>
      <c r="F12" s="80"/>
    </row>
    <row r="13" ht="49" customHeight="1" spans="1:6">
      <c r="A13" s="75">
        <v>11</v>
      </c>
      <c r="B13" s="10" t="s">
        <v>502</v>
      </c>
      <c r="C13" s="76">
        <f>'户内避难间汇总表（表2）'!E4</f>
        <v>14.48</v>
      </c>
      <c r="D13" s="76">
        <v>293.99</v>
      </c>
      <c r="E13" s="77">
        <f t="shared" si="0"/>
        <v>4256.98</v>
      </c>
      <c r="F13" s="80"/>
    </row>
    <row r="14" ht="47" customHeight="1" spans="1:6">
      <c r="A14" s="84" t="s">
        <v>484</v>
      </c>
      <c r="B14" s="85"/>
      <c r="C14" s="86">
        <f>SUM(C3:C13)</f>
        <v>6691.54</v>
      </c>
      <c r="D14" s="86"/>
      <c r="E14" s="87">
        <f>SUM(E3:E13)</f>
        <v>1967246</v>
      </c>
      <c r="F14" s="88"/>
    </row>
  </sheetData>
  <mergeCells count="4">
    <mergeCell ref="A1:F1"/>
    <mergeCell ref="A14:B14"/>
    <mergeCell ref="F8:F9"/>
    <mergeCell ref="F10:F11"/>
  </mergeCells>
  <printOptions horizontalCentered="1"/>
  <pageMargins left="0.354330708661417" right="0.354330708661417" top="0.590551181102362" bottom="0.590551181102362" header="0.511811023622047" footer="0.511811023622047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  <vt:lpstr>34-37#楼汇总表（表1）</vt:lpstr>
      <vt:lpstr>34#楼汇总表（表2）</vt:lpstr>
      <vt:lpstr>34#楼明细(表2.1) </vt:lpstr>
      <vt:lpstr>35#楼汇总表（表2）</vt:lpstr>
      <vt:lpstr>35#楼明细(表2.1) </vt:lpstr>
      <vt:lpstr>36#楼汇总表（表2）</vt:lpstr>
      <vt:lpstr>36#楼明细(表2.1)  </vt:lpstr>
      <vt:lpstr>37#楼汇总表（表2）</vt:lpstr>
      <vt:lpstr>37#楼明细(表2.1)</vt:lpstr>
      <vt:lpstr>38#楼汇总表（表2）</vt:lpstr>
      <vt:lpstr>38#明细表（表2.1）</vt:lpstr>
      <vt:lpstr>39#楼汇总表（表2）</vt:lpstr>
      <vt:lpstr>39#明细表（表2.1）</vt:lpstr>
      <vt:lpstr>40#楼汇总表（表2）</vt:lpstr>
      <vt:lpstr>40#明细表（表2.1）</vt:lpstr>
      <vt:lpstr>41#楼汇总表（表2） </vt:lpstr>
      <vt:lpstr>41#明细表（表2.1） </vt:lpstr>
      <vt:lpstr>幼儿园、开闭所汇总表（表2）</vt:lpstr>
      <vt:lpstr>地下车库汇总表（表2）</vt:lpstr>
      <vt:lpstr>户内避难间汇总表（表2）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OLL</cp:lastModifiedBy>
  <dcterms:created xsi:type="dcterms:W3CDTF">2009-08-21T07:16:00Z</dcterms:created>
  <cp:lastPrinted>2019-03-25T03:18:00Z</cp:lastPrinted>
  <dcterms:modified xsi:type="dcterms:W3CDTF">2021-05-31T09:20:43Z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