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444" tabRatio="717" firstSheet="1" activeTab="1"/>
  </bookViews>
  <sheets>
    <sheet name="清单报价说明" sheetId="7" r:id="rId1"/>
    <sheet name="汇总表" sheetId="5" r:id="rId2"/>
    <sheet name="硬质景观" sheetId="1" r:id="rId3"/>
    <sheet name="绿化苗木" sheetId="6" r:id="rId4"/>
    <sheet name="备选苗木类" sheetId="15" r:id="rId5"/>
    <sheet name="电气" sheetId="16" r:id="rId6"/>
    <sheet name="给排水 " sheetId="17" r:id="rId7"/>
    <sheet name="雾森系统" sheetId="18" r:id="rId8"/>
  </sheets>
  <definedNames>
    <definedName name="_xlnm._FilterDatabase" localSheetId="2" hidden="1">硬质景观!$A$1:$J$604</definedName>
    <definedName name="_xlnm.Print_Area" localSheetId="4">备选苗木类!$A$1:$I$44</definedName>
    <definedName name="_xlnm.Print_Area" localSheetId="1">汇总表!$A$1:$D$8</definedName>
    <definedName name="_xlnm.Print_Area" localSheetId="3">绿化苗木!$A$1:$K$92</definedName>
    <definedName name="_xlnm.Print_Area" localSheetId="2">硬质景观!$A$1:$J$604</definedName>
  </definedNames>
  <calcPr calcId="144525"/>
</workbook>
</file>

<file path=xl/sharedStrings.xml><?xml version="1.0" encoding="utf-8"?>
<sst xmlns="http://schemas.openxmlformats.org/spreadsheetml/2006/main" count="2888" uniqueCount="1063">
  <si>
    <t>工程量清单说明</t>
  </si>
  <si>
    <t>1、工程量清单及其计价格式中必须有符合规定的单位和人员签字、盖章。</t>
  </si>
  <si>
    <t>2、工程量清单计价格式中工程量由投标单位自行复核，列明的所有需要填报的单价和合价，投标单位均应填报，未填报的单价和合价，视为此项费用已包含在工程量清单的其他的单价和合价之中。</t>
  </si>
  <si>
    <t>3、投标人应根据招标人提供的招标文件、图纸和现场情况，在满足招标图纸和相应规范要求的前提下自行复核工程量。不管投标工程量是否表明，投标人没有填入单价或合价的项目，招标人将不予认可，均视为投标人已将该项目的单价或合价包括在工程量清单其它项目的单价或合价中。</t>
  </si>
  <si>
    <t>4、报价汇总表及其工程量清单相关表格中的数据必须保证前后一致,报价合理,否则招标人有权按有利于招标人的意思进行修正或作废标处理。</t>
  </si>
  <si>
    <t>5、工程量清单按照后附分类（土建、绿化、水电安装）的格式分别进行填报，投标人应根据招标文件要求将全部费用包括在综合单价内，投标人未列项内容视为已将费用综合考虑在其它项目内；中标单位不能以工程量清单中不包括某项为由要求调整价格或不承担招标文件中要求投标单位考虑的费用，也不能以承揽范围变动要求调整综合单价。</t>
  </si>
  <si>
    <t>6、综合单价中包含：人工费、材料费、机械费、措施费、安全文明施工费、扬尘治理增加费、疫情增加费、规费、管理费、利润、税金(增值税专用发票)、风险、调试、材料检测检验费等一切与之相关全部费用。此综合单价一次性包干，是固定不变的,不因任何市场因素及政策性调整而变动。</t>
  </si>
  <si>
    <t>7、总价中应包括此次招标范围内的所有工程内容，一次性包干（绿化苗木除外），不随任何市场因素及政策性调整而变动，如报价汇总表及工程量清单中有缺项漏项的，均视为乙方已综合考虑在合计报价内，结算时均不做调整。</t>
  </si>
  <si>
    <t>8、所有外露铁艺热镀锌处理，面刷深咖色氟碳漆，两道底漆，两道面漆。</t>
  </si>
  <si>
    <t>9、若投标人对清单工程量存在疑问，请在招标文件约定的期限内提出，经招标人确认后补发或修改此项清单。若无异议，本次工程量清单无论是否存在缺项、漏项、工程量偏差，均视为乙方已综合考虑在固定合同总价内。</t>
  </si>
  <si>
    <t>宜阳山水文苑项目景观施工工程造价汇总表（单位：元）</t>
  </si>
  <si>
    <t>序号</t>
  </si>
  <si>
    <t>分类项目名称</t>
  </si>
  <si>
    <t>造价（元）</t>
  </si>
  <si>
    <t>说明</t>
  </si>
  <si>
    <t>硬质景观部分</t>
  </si>
  <si>
    <t>固定总价包干，详见后附工程量清单明细</t>
  </si>
  <si>
    <t>绿植苗木部分</t>
  </si>
  <si>
    <t>固定综合单价包干，详见后附工程量清单明细</t>
  </si>
  <si>
    <t>电气部分</t>
  </si>
  <si>
    <t>给排水部分</t>
  </si>
  <si>
    <t>雾森系统部分</t>
  </si>
  <si>
    <t>合计(元)</t>
  </si>
  <si>
    <t>宜阳山水文苑项目硬质景观清单及计价表</t>
  </si>
  <si>
    <t>项目名称</t>
  </si>
  <si>
    <t>项目特征描述</t>
  </si>
  <si>
    <t>计量
单位</t>
  </si>
  <si>
    <t>工程量</t>
  </si>
  <si>
    <t>金额（元）</t>
  </si>
  <si>
    <t>综合单价（元）</t>
  </si>
  <si>
    <t>合价</t>
  </si>
  <si>
    <t>备注</t>
  </si>
  <si>
    <t>主要材料品牌</t>
  </si>
  <si>
    <t>其中：主材</t>
  </si>
  <si>
    <t>一</t>
  </si>
  <si>
    <t>ZP-3.1 景观园路</t>
  </si>
  <si>
    <t>停车场做法（图纸优化修改）</t>
  </si>
  <si>
    <t>地面铺装</t>
  </si>
  <si>
    <t>1.80厚250*190植草砖
2.其他说明：其它满足规范和设计图纸要求</t>
  </si>
  <si>
    <t>m2</t>
  </si>
  <si>
    <t>庭院及路面假草皮做法（图纸优化修改）</t>
  </si>
  <si>
    <t>素土夯实</t>
  </si>
  <si>
    <t>1.素土夯实，夯实度≥93%
2.其它说明：其它满足规范和设计图纸要求</t>
  </si>
  <si>
    <t>人行道路做法（图纸优化减少人行道面积）</t>
  </si>
  <si>
    <t>碎石垫层</t>
  </si>
  <si>
    <t>1.80厚级配碎石垫层
2.其它说明：其它满足规范和设计图纸要求</t>
  </si>
  <si>
    <t>m3</t>
  </si>
  <si>
    <t>砼垫层</t>
  </si>
  <si>
    <t>1.混凝土强度等级:100厚C20混凝土
2.混凝土拌合料要求：符合规范要求
3.模板安拆费用计入综合单价，支模方式综合考虑
4.其它说明：其它满足规范和设计图纸要求</t>
  </si>
  <si>
    <t>1.15厚仿芝麻白荔枝面PC砖
2.30厚1:3水泥砂浆粘接层
3.其他说明：其它满足规范和设计图纸要求</t>
  </si>
  <si>
    <t>1.15厚仿芝麻灰荔枝面PC砖
2.30厚1:3水泥砂浆粘接层
3.其他说明：其它满足规范和设计图纸要求</t>
  </si>
  <si>
    <t>1.15厚仿芝麻黑荔枝面PC砖
2.30厚1:3水泥砂浆粘接层
3.其他说明：其它满足规范和设计图纸要求</t>
  </si>
  <si>
    <t>沥青混凝土人行道（图纸做法优化改为PC砖）</t>
  </si>
  <si>
    <t>宅间铺装接园路铺装</t>
  </si>
  <si>
    <t>1.素土夯实，夯实度≥93%
2.其它满足规范和设计图纸要求</t>
  </si>
  <si>
    <t>1.混凝土强度等级:100厚C20混凝土
2.混凝土拌合料要求：符合规范要求
3.模板安拆费用计入综合单价，支模方式综合考虑
4.其它满足规范和设计图纸要求</t>
  </si>
  <si>
    <t>1.15厚仿荔枝面芝麻白陶瓷PC砖
2.30厚1：3无碱水泥砂浆结合层
3.其它满足规范和设计图纸要求</t>
  </si>
  <si>
    <t>宅间平面铺装：入户平台、入户门厅平台</t>
  </si>
  <si>
    <t>1#/5#/8#/11#/12#楼：图LT1.1中节点3/节点5</t>
  </si>
  <si>
    <t>1.15厚仿荔枝面浪淘沙陶瓷PC砖
2.30厚1：3无碱水泥砂浆结合层
3.其它满足规范和设计图纸要求</t>
  </si>
  <si>
    <t>1.15厚仿荔枝面芝麻灰陶瓷PC砖
2.30厚1：3无碱水泥砂浆结合层
3.其它满足规范和设计图纸要求</t>
  </si>
  <si>
    <t>1.15厚仿荔枝面芝麻黑陶瓷PC砖
2.30厚1：3无碱水泥砂浆结合层
3.其它满足规范和设计图纸要求</t>
  </si>
  <si>
    <t>1.12厚火烧面中国黑陶瓷砖，按型切割
2.30厚1：3无碱水泥砂浆结合层
3.其它满足规范和设计图纸要求</t>
  </si>
  <si>
    <t>2#/9#/10#/13#楼：图LT1.1中节点3</t>
  </si>
  <si>
    <t>3#楼：图LT1.1中节点2</t>
  </si>
  <si>
    <t>6#楼：图LT1.1中节点1/LT2.1节点2台阶/LT2.1节点4栏杆</t>
  </si>
  <si>
    <t>LT2.1节点2台阶做法</t>
  </si>
  <si>
    <t>1.100厚级配碎石垫层
2.其它说明：其它满足规范和设计图纸要求</t>
  </si>
  <si>
    <t>混凝土台阶</t>
  </si>
  <si>
    <t>1.混凝土强度等级:C25混凝土
2.混凝土拌合料要求：符合规范要求
3.模板安拆费用计入综合单价，支模方式综合考虑
4.其它说明：其它满足规范和设计图纸要求</t>
  </si>
  <si>
    <t>现浇钢筋</t>
  </si>
  <si>
    <t>1.现浇构件带肋钢筋HRB400以内  直径10mm
2.含钢筋搭接
3.部位：台阶
4.其它说明：其它满足规范和设计图纸要求</t>
  </si>
  <si>
    <t>t</t>
  </si>
  <si>
    <t>台阶踏面铺装</t>
  </si>
  <si>
    <t>1.踏面50厚荔枝面芝麻灰花岗岩
3.30厚1:2.5无碱水泥砂浆粘接层
4.其他说明：其它满足规范和设计图纸要求</t>
  </si>
  <si>
    <t>台阶梯面铺装</t>
  </si>
  <si>
    <t>1.踢面20厚荔枝面芝麻灰花岗岩
2.20厚1:3水泥砂浆粘接层
3.其他说明：其它满足规范和设计图纸要求</t>
  </si>
  <si>
    <t>LT2.1节点4栏杆坡道做法</t>
  </si>
  <si>
    <t>混凝土垫层</t>
  </si>
  <si>
    <t>不锈钢管栏杆</t>
  </si>
  <si>
    <t>1.850高不锈钢管栏杆，含预埋件
2.其它说明：其它满足规范和设计图纸要求</t>
  </si>
  <si>
    <t>m</t>
  </si>
  <si>
    <t>坡道平面铺装</t>
  </si>
  <si>
    <t>1.15厚仿荔枝面芝麻白陶瓷PC砖
3.30厚1:2.5无碱水泥砂浆粘接层
4.其他说明：其它满足规范和设计图纸要求</t>
  </si>
  <si>
    <t>坡道侧面铺装</t>
  </si>
  <si>
    <t>1.15厚仿荔枝面芝麻黑陶瓷PC砖
3.30厚1:2.5无碱水泥砂浆粘接层
4.其他说明：其它满足规范和设计图纸要求</t>
  </si>
  <si>
    <t>7#楼：图LT1.1中节点3、节点6</t>
  </si>
  <si>
    <t>9#、10#楼南侧宅间装平面图</t>
  </si>
  <si>
    <t>汀步做法</t>
  </si>
  <si>
    <t>汀步</t>
  </si>
  <si>
    <t>1.50厚烧面芝麻灰花岗岩
2.30厚1:2.5水泥砂浆粘接层
3.其他说明：其它满足规范和设计图纸要求</t>
  </si>
  <si>
    <t>二</t>
  </si>
  <si>
    <t>LT-2.1 垃圾平台</t>
  </si>
  <si>
    <t>挖土方</t>
  </si>
  <si>
    <t>1.土壤类别：综合
2.挖土深度：详见图纸设计 
3.弃土运距：自行考虑</t>
  </si>
  <si>
    <t>砖基础</t>
  </si>
  <si>
    <t>1.砖品种、规格、强度等级：MU7.5砖砌体
2.基础类型：砖基础
3.砂浆强度等级：M7.5水泥砂浆
4.其它说明：其他满足规范和图纸设计要求</t>
  </si>
  <si>
    <t>1.15厚仿荔枝面芝麻白陶瓷PC砖
2.30厚1:2.5无碱水泥砂浆粘接层
3.其他说明：其它满足规范和设计图纸要求</t>
  </si>
  <si>
    <t>1.15厚仿荔枝面芝麻灰陶瓷PC砖
2.30厚1:2.5无碱水泥砂浆粘接层
3.其他说明：其它满足规范和设计图纸要求</t>
  </si>
  <si>
    <t>三</t>
  </si>
  <si>
    <t>DD-2.1/ED-1.1/FD-5.1/ID-1.1 木平台一~四（优化图纸做法增加木平台一）</t>
  </si>
  <si>
    <t>1.15厚仿木纹陶瓷PC砖
2.30厚1:3无碱水泥砂浆粘接层
3.其他说明：其它满足规范和设计图纸要求</t>
  </si>
  <si>
    <t>1.15厚仿荔枝面芝麻黑陶瓷PC砖
2.30厚1:3无碱水泥砂浆粘接层
3.其他说明：其它满足规范和设计图纸要求</t>
  </si>
  <si>
    <t>四</t>
  </si>
  <si>
    <t>ZP-8.1 隐形消防车道及登高场地、车行道地面做法</t>
  </si>
  <si>
    <t>1.混凝土强度等级:150厚C20混凝土
2.混凝土拌合料要求：符合规范要求
3.模板安拆费用计入综合单价，支模方式综合考虑
4.其它说明：其它满足规范和设计图纸要求</t>
  </si>
  <si>
    <t>五</t>
  </si>
  <si>
    <t>BD-2.1~2.3/CD-3.1 园灯基础</t>
  </si>
  <si>
    <t>BD-2.1~2.3园灯二基础</t>
  </si>
  <si>
    <t>1.素土夯实，压实系数≥0.93
2.其它满足规范和设计图纸要求</t>
  </si>
  <si>
    <t>砼压顶</t>
  </si>
  <si>
    <t>1.混凝土强度等级:80厚C20混凝土
2.混凝土拌合料要求：符合规范要求
3.模板安拆费用计入综合单价，支模方式综合考虑
4.其它满足规范和设计图纸要求</t>
  </si>
  <si>
    <t>实心砖墙</t>
  </si>
  <si>
    <t>1.砖品种、规格、强度等级：MU7.5普通砖
2.墙体类型：围墙
3.砂浆强度等级、配合比：M7.5水泥砂浆
4.其它说明：其他满足规范和图纸设计要求</t>
  </si>
  <si>
    <t>防潮层</t>
  </si>
  <si>
    <t>1.20厚1:2.5水泥砂浆内掺5%防水粉
2.其它说明：其他满足规范和图纸设计要求</t>
  </si>
  <si>
    <t>灯座饰面</t>
  </si>
  <si>
    <t>1.12厚仿光面黄金麻瓷砖
2.20厚1:3水泥砂浆粘接层
3.其他说明：其它满足规范和设计图纸要求</t>
  </si>
  <si>
    <t>园灯二地面铺装</t>
  </si>
  <si>
    <t>1.80厚碎石垫层
2.其它说明：其它满足规范和设计图纸要求</t>
  </si>
  <si>
    <t>1.15厚仿荔枝面芝麻灰/黑陶瓷PC砖
2.30厚1：3无碱水泥砂浆结合层
3.其它满足规范和设计图纸要求</t>
  </si>
  <si>
    <t>1.15厚仿荔枝面浪花白+中国黑陶瓷PC砖（地雕图案）
2.30厚1：3无碱水泥砂浆结合层
3.其它满足规范和设计图纸要求</t>
  </si>
  <si>
    <t>不锈钢金属条</t>
  </si>
  <si>
    <t>1.20宽U型不锈钢条喷深咖色氟碳漆
2.其它满足规范和设计图纸要求</t>
  </si>
  <si>
    <t>金属图案</t>
  </si>
  <si>
    <t>1.大样图一+大样图二
2.其它满足规范和设计图纸要求</t>
  </si>
  <si>
    <t>组</t>
  </si>
  <si>
    <t>1.15厚仿荔枝面中国黑陶瓷PC砖
2.30厚1：3无碱水泥砂浆结合层
3.其它满足规范和设计图纸要求</t>
  </si>
  <si>
    <t>1.30厚黑色胶粘石
2.20厚1：2.5无碱水泥砂浆结合层
3.其他说明详见图纸设计及规范</t>
  </si>
  <si>
    <t>园灯二地面挡墙</t>
  </si>
  <si>
    <t>1.土壤类别：综合
2.挖土深度：详设计
3.开挖方式：人工、机械综合考虑   
4.多余土方运送场内指定位置
5.其它满足规范和设计图纸要求</t>
  </si>
  <si>
    <t>1.100厚、150厚级配碎石垫层
2.其它说明：其它满足规范和设计图纸要求</t>
  </si>
  <si>
    <t>1.砖品种、规格、强度等级：MU7.5普通砖
2.基础类型：砖基础
3.砂浆强度等级：M7.5水泥砂浆
4.其它说明：其他满足规范和图纸设计要求</t>
  </si>
  <si>
    <t>墙面装饰</t>
  </si>
  <si>
    <t>1.25厚荔枝面芝麻灰花岗岩
2.20厚1：3无碱水泥砂浆结合层
3.其它满足规范和设计图纸要求</t>
  </si>
  <si>
    <t>压顶铺装</t>
  </si>
  <si>
    <t>1.50厚烧面芝麻灰花岗岩
2.20厚1：3无碱水泥砂浆结合层
3.其它满足规范和设计图纸要求</t>
  </si>
  <si>
    <t>现浇构件钢筋</t>
  </si>
  <si>
    <t>1.现浇构件带肋钢筋HPB300以内  直径≤10mm
2.含钢筋搭接
3.其它说明：其它满足规范和设计图纸要求</t>
  </si>
  <si>
    <t>CD-3.1园灯一基础</t>
  </si>
  <si>
    <t>1.混凝土强度等级:150厚C20混凝土
2.混凝土拌合料要求：符合规范要求
3.模板安拆费用计入综合单价，支模方式综合考虑
4.其它满足规范和设计图纸要求</t>
  </si>
  <si>
    <t>1.混凝土强度等级:60厚C20混凝土
2.混凝土拌合料要求：符合规范要求
3.模板安拆费用计入综合单价，支模方式综合考虑
4.其它满足规范和设计图纸要求</t>
  </si>
  <si>
    <t>六</t>
  </si>
  <si>
    <t>AP-01~03/AD-3.1~3.11/AD-1.1~1.8主入口大门</t>
  </si>
  <si>
    <t>AP-01~03南大门地面铺装</t>
  </si>
  <si>
    <t>1.混凝土强度等级:100、150厚C20混凝土
2.混凝土拌合料要求：符合规范要求
3.模板安拆费用计入综合单价，支模方式综合考虑
4.其它说明：其它满足规范和设计图纸要求</t>
  </si>
  <si>
    <t>1.50厚烧面芝麻黑花岗岩
2.30厚1:3无碱水泥砂浆粘接层
3.其他说明：其它满足规范和设计图纸要求</t>
  </si>
  <si>
    <t>1.50厚烧面芝麻白/芝麻黑花岗岩混拼
2.30厚1:3无碱水泥砂浆粘接层
3.其他说明：其它满足规范和设计图纸要求</t>
  </si>
  <si>
    <t>1.50厚烧面中国黑花岗岩
2.30厚1:3无碱水泥砂浆粘接层
3.其他说明：其它满足规范和设计图纸要求</t>
  </si>
  <si>
    <t>1.15厚仿荔枝面芝麻灰陶瓷PC砖
2.30厚1:3无碱水泥砂浆粘接层
3.其他说明：其它满足规范和设计图纸要求</t>
  </si>
  <si>
    <t>花岗岩道牙</t>
  </si>
  <si>
    <t>1.100厚、80厚级配碎石垫层
2.其它说明：其它满足规范和设计图纸要求</t>
  </si>
  <si>
    <t>砼护角</t>
  </si>
  <si>
    <t>1.混凝土强度等级:C30混凝土
2.混凝土拌合料要求：符合规范要求
3.模板安拆费用计入综合单价，支模方式综合考虑
4.其它说明：其它满足规范和设计图纸要求</t>
  </si>
  <si>
    <t>地面道牙铺装</t>
  </si>
  <si>
    <t>1.150宽150*600火烧面芝麻灰花岗岩平道牙
2.30厚1:2.5水泥砂浆粘接层
3.其他说明：其它满足规范和设计图纸要求</t>
  </si>
  <si>
    <t>1.150宽200*600火烧面芝麻灰花岗岩立道牙
2.30厚1:2.5水泥砂浆粘接层
3.其他说明：其它满足规范和设计图纸要求</t>
  </si>
  <si>
    <t>AD-3.1~3.11大门装饰</t>
  </si>
  <si>
    <t>大门柱面装饰</t>
  </si>
  <si>
    <t>1.40厚荔枝面黄金麻花岗岩
2.含石材干挂件
3.其它满足规范和设计图纸要求</t>
  </si>
  <si>
    <t>1.30厚荔枝面黄金麻花岗岩
2.含石材干挂件
3.其它满足规范和设计图纸要求</t>
  </si>
  <si>
    <t>1.50厚荔枝面黄金麻花岗岩
2.含石材干挂件
3.其它满足规范和设计图纸要求</t>
  </si>
  <si>
    <t>景墙墙面装饰</t>
  </si>
  <si>
    <t>金属线条装饰</t>
  </si>
  <si>
    <t>1.1.2厚不锈钢板，深咖色氟碳漆饰面
2.其它满足规范和设计图纸要求</t>
  </si>
  <si>
    <t>1.2厚不锈钢板凹凸30造型,深咖色氟碳漆饰面
2.其它满足规范和设计图纸要求</t>
  </si>
  <si>
    <t>1.2.5厚铝板，深咖色氟碳漆饰面
2.其它满足规范和设计图纸要求</t>
  </si>
  <si>
    <t>吊顶天棚</t>
  </si>
  <si>
    <t>1.2.5厚铝单板外喷咖色氟碳漆
2.其它满足规范和设计图纸要求</t>
  </si>
  <si>
    <t>按投影面积计入</t>
  </si>
  <si>
    <t>1.口50*1.2@50装饰瓦楞板，深咖色氟碳漆饰面
2.其它满足规范和设计图纸要求</t>
  </si>
  <si>
    <t>铁艺格栅</t>
  </si>
  <si>
    <t>1.钢材品种、规格:Q235B
2.型钢式、格构式:口20*2厚方管、口80*40*4厚矩管、口80*4厚方管
3.表面打磨平整，外喷深咖色氟碳漆
4.运距自行考虑
5.其他说明详见图纸设计及规范</t>
  </si>
  <si>
    <t>钢柱</t>
  </si>
  <si>
    <t>1.钢材品种、规格:Q235B
2.型钢式、格构式:口250*150*5镀锌钢管，深咖色氟碳漆饰面
3.运距自行考虑
4.其他说明详见图纸设计及规范</t>
  </si>
  <si>
    <t>格栅边框</t>
  </si>
  <si>
    <t>1.钢材品种、规格:Q235B
2.型钢式、格构式:口50*40*4厚矩管格栅边框、口80*50*4厚矩管格栅边框，深咖色氟碳漆饰面
3.运距自行考虑
4.其他说明详见图纸设计及规范</t>
  </si>
  <si>
    <t>断桥路合金窗</t>
  </si>
  <si>
    <t>1.断桥路合金窗6+1.72pvb+6钢化夹胶玻璃
2.含五金构件
3.其他说明详见图纸设计及规范</t>
  </si>
  <si>
    <t>断桥路合金门</t>
  </si>
  <si>
    <t>镀锌钢板</t>
  </si>
  <si>
    <t>1.2厚镀锌钢板，深咖色氟碳漆饰面
2.口30*2.5厚镀锌钢板，龙骨@400
3.其他说明详见图纸设计及规范</t>
  </si>
  <si>
    <t>牌匾</t>
  </si>
  <si>
    <t>1.山水文苑牌匾
2.2厚不锈钢板电镀紫铜，不锈钢字体logo电镀黄铜
3.口100x5镀锌钢管，口100x5镀锌钢管，口50x4镀锌钢管
4.其他说明详见图纸设计及规范</t>
  </si>
  <si>
    <t>铁艺门</t>
  </si>
  <si>
    <t>1.铁艺门，口200x150x5镀锌钢管、口150x100x5镀锌钢管、口60x4镀锌钢管、口20x1.5镀锌钢管
2.深咖色氟碳漆饰面
3.含门轴、门把手、门栓、地插等五金
4.含铁艺门纹
5.其他说明详见图纸设计及规范</t>
  </si>
  <si>
    <t>AD-1.1~1.8/JS-1.1大门景墙装饰及结构</t>
  </si>
  <si>
    <t>1.土壤类别：综合
2.挖土深度：详设计
3.开挖方式：人工、机械综合考虑    
4.多余土方运送场内指定位置
5.其它满足规范和设计图纸要求</t>
  </si>
  <si>
    <t>回填土方</t>
  </si>
  <si>
    <t>1.密实度要求：满足设计要求 
2.填方材料品种：满足设计要求的合格土方 
3.填方粒径要求：符合设计要求
4.填方来源、运距：投标人根据现场实际情况自行考虑
5.其它满足规范和设计图纸要求</t>
  </si>
  <si>
    <t>景观灯基座填充</t>
  </si>
  <si>
    <t>1.2：8灰土填充
2.其它满足规范和设计图纸要求</t>
  </si>
  <si>
    <t>景观灯基座碎石垫层</t>
  </si>
  <si>
    <t>砖基础防潮层</t>
  </si>
  <si>
    <t>1.25厚1：2.5水泥砂浆内掺5%防水粉
2.其它说明：其它满足规范和设计图纸要求</t>
  </si>
  <si>
    <t>砖砌体</t>
  </si>
  <si>
    <t>1.砖品种、规格、强度等级：MU7.5普通砖
2.类型：围墙砖砌体
3.砂浆强度等级：M7.5水泥砂浆
4.其它说明：其他满足规范和图纸设计要求</t>
  </si>
  <si>
    <t>条形基础</t>
  </si>
  <si>
    <t>1.混凝土强度等级:250厚C30混凝土
2.混凝土拌合料要求：符合规范要求
3.模板安拆费用计入综合单价，支模方式综合考虑
4.其它满足规范和设计图纸要求</t>
  </si>
  <si>
    <t>构造柱</t>
  </si>
  <si>
    <t>1.混凝土强度等级:C30混凝土
2.混凝土拌合料要求：符合规范要求
3.模板安拆费用计入综合单价，支模方式综合考虑
4.其它满足规范和设计图纸要求</t>
  </si>
  <si>
    <t>圈梁</t>
  </si>
  <si>
    <t>1.混凝土强度等级:C25混凝土
2.混凝土拌合料要求：符合规范要求
3.模板安拆费用计入综合单价，支模方式综合考虑
4.其它满足规范和设计图纸要求</t>
  </si>
  <si>
    <t>景观灯基座压顶</t>
  </si>
  <si>
    <t>1.混凝土强度等级:C20混凝土
2.混凝土拌合料要求：符合规范要求
3.模板安拆费用计入综合单价，支模方式综合考虑
4.其它满足规范和设计图纸要求</t>
  </si>
  <si>
    <t>1.现浇构件带肋钢筋HPB400以内  直径≤10mm
2.含钢筋搭接
3.其它说明：其它满足规范和设计图纸要求</t>
  </si>
  <si>
    <t>1.现浇构件带肋钢筋HPB400以内  直径=12mm
2.含钢筋搭接
3.其它说明：其它满足规范和设计图纸要求</t>
  </si>
  <si>
    <t>1.正面+顶面+侧面：12厚仿黄金麻瓷砖
2.20厚1:2.5无碱水泥砂浆找平层
3.其它满足规范和设计图纸要求</t>
  </si>
  <si>
    <t>1.背面：仿黄金麻真石漆饰面
2.其它满足规范和设计图纸要求</t>
  </si>
  <si>
    <t>1.20宽2厚不锈钢条喷深咖色氟碳漆，钢粘胶固定
2.其它满足规范和设计图纸要求</t>
  </si>
  <si>
    <t>景观灯基座金属线条装饰</t>
  </si>
  <si>
    <t>1.150宽2厚不锈钢条喷深咖色氟碳漆，钢粘胶固定
2.其它满足规范和设计图纸要求</t>
  </si>
  <si>
    <t>方钢格栅</t>
  </si>
  <si>
    <t>1.钢材品种、规格:Q235B
2.型钢式、格构式:镀锌矩形钢管50*3+镀锌矩形钢管30*3+3厚镀锌钢板深咖色氟碳漆饰面
3.外喷深咖色氟碳漆
4.运距自行考虑
5.其他说明详见图纸设计及规范</t>
  </si>
  <si>
    <t>预埋件</t>
  </si>
  <si>
    <t>1.钢材品种、规格:Q235B
2.其他说明详见图纸设计及规范</t>
  </si>
  <si>
    <t>LOGO不锈钢字</t>
  </si>
  <si>
    <t>1.20厚不锈钢精钢字，钢粘胶固定
2.其它满足规范和设计图纸要求
3.经甲方、设计方共同确认后，由厂家制作样品确认后批量加工。</t>
  </si>
  <si>
    <t>七</t>
  </si>
  <si>
    <t>BD-1.1~1.8/JS-2.1水景一及景墙</t>
  </si>
  <si>
    <t>水景景观</t>
  </si>
  <si>
    <t>挖一般土方</t>
  </si>
  <si>
    <t>1.素土夯实
2.压实度不小于93%
3.其它满足规范和设计图纸要求</t>
  </si>
  <si>
    <t>1.100厚级配碎石垫层
2.详见图纸设计
3.其它说明：其它满足规范和设计图纸要求</t>
  </si>
  <si>
    <t>1.混凝土强度等级:100厚C20混凝土垫层
2.混凝土拌合料要求：符合规范要求
3.模板安拆费用计入综合单价，支模方式综合考虑
4.其它满足规范和设计图纸要求</t>
  </si>
  <si>
    <t>水池池底</t>
  </si>
  <si>
    <t>1.混凝土强度等级:150厚C25 P8抗渗钢筋混凝土
2.混凝土拌合料要求：符合规范要求
3.模板安拆费用计入综合单价，支模方式综合考虑
4.其它满足规范和设计图纸要求</t>
  </si>
  <si>
    <t>水池池壁</t>
  </si>
  <si>
    <t>1.混凝土强度等级:150厚、120厚C30 P6抗渗钢筋混凝土
2.混凝土拌合料要求：符合规范要求
3.模板安拆费用计入综合单价，支模方式综合考虑
4.其它满足规范和设计图纸要求</t>
  </si>
  <si>
    <t>1.现浇构件带肋钢筋HPB400以内  直径＞10mm
2.含钢筋搭接
3.其它说明：其它满足规范和设计图纸要求</t>
  </si>
  <si>
    <t>1.砖品种、规格、强度等级：MU10普通砖
2.基础类型：砖基础
3.砂浆强度等级：M7.5水泥砂浆
4.其它说明：其他满足规范和图纸设计要求</t>
  </si>
  <si>
    <t>泵坑池顶盖板</t>
  </si>
  <si>
    <t>1.C30泵坑池顶盖板
2.详见设计图纸
3.其它说明：其他满足规范和图纸设计要求</t>
  </si>
  <si>
    <t>1.C30混凝土二次浇筑
2.详见设计图纸
3.其它说明：其他满足规范和图纸设计要求</t>
  </si>
  <si>
    <t>压顶</t>
  </si>
  <si>
    <t>1.C25钢筋混凝土压顶圈梁
2.混凝土拌合料要求：符合规范要求
3.模板安拆费用计入综合单价，支模方式综合考虑
4.详见设计图纸
5.其它满足规范和设计图纸要求</t>
  </si>
  <si>
    <t>1.混凝土强度等级:C40细石混凝土
2.混凝土拌合料要求：符合规范要求
3.模板安拆费用计入综合单价，支模方式综合考虑
4.详见设计图纸
5.其它满足规范和设计图纸要求</t>
  </si>
  <si>
    <t>水池底饰面</t>
  </si>
  <si>
    <t>1.20厚光面中国黑石材
2.20厚1:2.5无碱水泥砂浆结合层
3.其他说明：详见相关设计图纸、相关要求及规范</t>
  </si>
  <si>
    <t>平面砂浆保护层</t>
  </si>
  <si>
    <t>1.20厚1:2.5无碱水泥砂浆保护层
2.其他说明：详见相关设计图纸、相关要求及规范
3.部位：地面铺装防水层上面</t>
  </si>
  <si>
    <t>平面水池防水</t>
  </si>
  <si>
    <t>1.4厚SBS防水卷材
2.其他说明：详见相关设计图纸、相关要求及规范
3.部位：地面铺装</t>
  </si>
  <si>
    <t>平面砂浆找平层</t>
  </si>
  <si>
    <t>1.20厚20厚1:2.5无碱水泥砂浆找平层
2.其他说明：详见相关设计图纸、相关要求及规范
3.部位：地面铺装防水下面</t>
  </si>
  <si>
    <t>水池池壁饰面</t>
  </si>
  <si>
    <t>1.20厚1:2.5无碱水泥砂浆保护层
2.其他说明：详见相关设计图纸、相关要求及规范
3.部位：水池池壁防水上面</t>
  </si>
  <si>
    <t>1.4厚SBS防水卷材
2.其他说明：详见相关设计图纸、相关要求及规范
3.部位：水池池壁</t>
  </si>
  <si>
    <t>1.20厚1:2.5无碱水泥砂浆找平层
2.其他说明：详见相关设计图纸、相关要求及规范
3.部位：水池池壁防水层下面</t>
  </si>
  <si>
    <t>遇水膨胀止水条</t>
  </si>
  <si>
    <t>1.遇水膨胀止水条
2.其他说明：详见相关设计图纸、相关要求及规范</t>
  </si>
  <si>
    <t>景石</t>
  </si>
  <si>
    <t>1.100厚火烧面浪淘沙花岗岩整打石
2.尺寸：3m*0.55m、2m*0.5m、1.5m*0.5m
3.其他说明：详见相关设计图纸、相关要求及规范</t>
  </si>
  <si>
    <t>块</t>
  </si>
  <si>
    <t>1.15厚仿荔枝面芝麻黑陶瓷PC砖
2.30厚1:3无碱水泥砂浆结合层固定
3.其他说明：详见相关设计图纸、相关要求及规范</t>
  </si>
  <si>
    <t>井盖</t>
  </si>
  <si>
    <t>1.成品不锈钢隐形井盖
2.20厚橡胶垫
3.5厚镀锌钢板
4.详见设计图纸
5.其他说明：详见相关设计图纸、相关要求及规范</t>
  </si>
  <si>
    <t>井盖铺装</t>
  </si>
  <si>
    <t>1.15厚仿荔枝面芝麻灰陶瓷PC砖
2.30厚1：3干硬性水泥砂浆
3.详见设计图纸
4.其他说明：详见相关设计图纸、相关要求及规范</t>
  </si>
  <si>
    <t>泵坑底细石砼</t>
  </si>
  <si>
    <t>1.40厚C30细石砼
2.其他说明：详见相关设计图纸、相关要求及规范
3.部位：泵坑底</t>
  </si>
  <si>
    <t>1.20厚20厚1:2.5水泥砂浆找平层
2.其他说明：详见相关设计图纸、相关要求及规范
3.部位：泵坑底防水下面</t>
  </si>
  <si>
    <t>1.4厚SBS防水卷材
2.其他说明：详见相关设计图纸、相关要求及规范
3.部位：泵坑底</t>
  </si>
  <si>
    <t>1.20厚1:2.5水泥砂浆保护层
2.其他说明：详见相关设计图纸、相关要求及规范
3.部位：泵坑底防水层上面</t>
  </si>
  <si>
    <t>立面砂浆保护层</t>
  </si>
  <si>
    <t>1.20厚1:2.5无碱水泥砂浆保护层
2.其他说明：详见相关设计图纸、相关要求及规范
3.部位：泵坑井壁立面防水外侧</t>
  </si>
  <si>
    <t>立面水池防水</t>
  </si>
  <si>
    <t>1.4厚SBS防水卷材
2.其他说明：详见相关设计图纸、相关要求及规范
3.部位：泵坑井壁立面</t>
  </si>
  <si>
    <t>立面砂浆找平层</t>
  </si>
  <si>
    <t>1.20厚1:2.5无碱水泥砂浆找平层
2.其他说明：详见相关设计图纸、相关要求及规范
3.部位：泵坑井壁立面防水内侧</t>
  </si>
  <si>
    <t>水景石材跌水</t>
  </si>
  <si>
    <t>1.70厚600*200光面中国黑异形石材
2.20厚1:2.5无碱水泥砂浆结合层
3.其他说明：详见相关设计图纸、相关要求及规范</t>
  </si>
  <si>
    <t>1.20厚1:2.5无碱水泥砂浆保护层
2.其他说明：详见相关设计图纸、相关要求及规范
3.部位：水景石材跌水防水上面</t>
  </si>
  <si>
    <t>1.4厚SBS防水卷材
2.其他说明：详见相关设计图纸、相关要求及规范
3.部位：水景石材跌水</t>
  </si>
  <si>
    <t>1.20厚1:2.5无碱水泥砂浆找平层
2.其他说明：详见相关设计图纸、相关要求及规范
3.部位：水景石材跌水防水层下面</t>
  </si>
  <si>
    <t>1.40厚压顶光面中国黑石材
2.20厚1:2.5无碱水泥砂浆结合层
3.其他说明：详见相关设计图纸、相关要求及规范</t>
  </si>
  <si>
    <t>1.20厚1:2.5无碱水泥砂浆保护层
2.其他说明：详见相关设计图纸、相关要求及规范
3.部位：40厚光面福鼎黑花岗岩防水上面</t>
  </si>
  <si>
    <t>1.4厚SBS防水卷材
2.其他说明：详见相关设计图纸、相关要求及规范
3.部位：40厚光面福鼎黑花岗岩</t>
  </si>
  <si>
    <t>1.20厚1:2.5无碱水泥砂浆找平层
2.其他说明：详见相关设计图纸、相关要求及规范
3.部位：40厚光面福鼎黑花岗岩防水层下面</t>
  </si>
  <si>
    <t>1.20厚1:2.5无碱水泥砂浆保护层
2.其他说明：详见相关设计图纸、相关要求及规范
3.部位：20厚光面福鼎黑花岗岩防水上面</t>
  </si>
  <si>
    <t>1.4厚SBS防水卷材
2.其他说明：详见相关设计图纸、相关要求及规范
3.部位：20厚光面福鼎黑花岗岩</t>
  </si>
  <si>
    <t>1.20厚1:2.5无碱水泥砂浆找平层
2.其他说明：详见相关设计图纸、相关要求及规范
3.部位：20厚光面福鼎黑花岗岩防水层下面</t>
  </si>
  <si>
    <t>成品不锈钢篦子</t>
  </si>
  <si>
    <t>1.成品不锈钢篦子
2.3x3不锈钢丝网
3.其他说明：详见相关设计图纸、相关要求及规范</t>
  </si>
  <si>
    <t>砾石</t>
  </si>
  <si>
    <t>1.40厚D5-10深灰色砾石
2.其他说明：详见相关设计图纸、相关要求及规范</t>
  </si>
  <si>
    <t>预埋铁件</t>
  </si>
  <si>
    <r>
      <rPr>
        <sz val="9"/>
        <rFont val="宋体"/>
        <charset val="134"/>
      </rPr>
      <t>1.钢材品种、规格:L30×3角钢通长、预埋件为</t>
    </r>
    <r>
      <rPr>
        <sz val="9"/>
        <rFont val="Arial"/>
        <charset val="134"/>
      </rPr>
      <t>ɸ</t>
    </r>
    <r>
      <rPr>
        <sz val="9"/>
        <rFont val="宋体"/>
        <charset val="134"/>
      </rPr>
      <t>8钢筋，L=150
2.型钢式、格构式:角钢、预埋件
3.运距自行考虑
4.其他说明详见图纸设计及规范</t>
    </r>
  </si>
  <si>
    <t>侧壁饰面</t>
  </si>
  <si>
    <t>1.75x2厚不锈钢板，深咖色氟碳漆饰面
2.详见图纸设计
3.其他说明：详见相关设计图纸、相关要求及规范</t>
  </si>
  <si>
    <t>景墙</t>
  </si>
  <si>
    <t>1.砖品种、规格、强度等级：MU10普通砖
2.墙体类型：景墙
3.砂浆强度等级、配合比：M7.5水泥砂浆
4.详见设计图纸
5.其它说明：其他满足规范和图纸设计要求</t>
  </si>
  <si>
    <t>1.240*240 C25钢筋混凝土构造柱
2.混凝土拌合料要求：符合规范要求
3.模板安拆费用计入综合单价，支模方式综合考虑
4.详见设计图纸
5.其它满足规范和设计图纸要求</t>
  </si>
  <si>
    <t>矩形柱</t>
  </si>
  <si>
    <t>1.C30混凝土墙柱
2.混凝土拌合料要求：符合规范要求
3.模板安拆费用计入综合单价，支模方式综合考虑
4.详见设计图纸
5.其它满足规范和设计图纸要求</t>
  </si>
  <si>
    <t>砼梁</t>
  </si>
  <si>
    <t>1.混凝土强度等级:C30混凝土
2.混凝土拌合料要求：符合规范要求
3.模板安拆费用计入综合单价，支模方式综合考虑
4.详见设计图纸
5.其它满足规范和设计图纸要求</t>
  </si>
  <si>
    <t>地圈梁</t>
  </si>
  <si>
    <t>1.C25钢筋混凝土圈梁
2.混凝土拌合料要求：符合规范要求
3.模板安拆费用计入综合单价，支模方式综合考虑
4.详见设计图纸
5.其它满足规范和设计图纸要求</t>
  </si>
  <si>
    <t>景墙饰面</t>
  </si>
  <si>
    <t>1.12厚仿光面米黄洞石大理石瓷砖
2.含石材干挂件
3.详见图纸设计
4.其他说明：详见相关设计图纸、相关要求及规范</t>
  </si>
  <si>
    <t>1.回形纹2厚造型不锈钢板阳刻，背部钢粘胶，深咖色氟碳漆饰面
2.详见图纸设计
3.其他说明：详见相关设计图纸、相关要求及规范</t>
  </si>
  <si>
    <t>1.2厚铝板，深咖色氟碳漆饰面
2.铝角码，含干挂构件
3.详见图纸设计
4.其他说明：详见相关设计图纸、相关要求及规范</t>
  </si>
  <si>
    <t>100*50*5厚矩管</t>
  </si>
  <si>
    <t>1.钢材品种、规格:φ100*50*5厚镀锌钢矩管
2.型钢式、格构式:方钢管
3.运距自行考虑
4.其他说明详见图纸设计及规范</t>
  </si>
  <si>
    <t>80*40*5厚矩管</t>
  </si>
  <si>
    <t>1.钢材品种、规格:φ80*40*5厚镀锌钢矩管
2.型钢式、格构式:方钢管
3.运距自行考虑
4.其他说明详见图纸设计及规范</t>
  </si>
  <si>
    <t>1.2厚光面不锈钢板，深咖色氟碳漆饰面
2.其他说明：详见相关设计图纸、相关要求及规范</t>
  </si>
  <si>
    <t>1.2厚不锈钢板，深咖色氟碳漆饰面
2.其他说明：详见相关设计图纸、相关要求及规范</t>
  </si>
  <si>
    <t>1.钢材品种、规格:Q235B 5厚预埋钢板、2A8 L=300mm、2A8 L=340mm
2.其他说明详见图纸设计及规范</t>
  </si>
  <si>
    <t>芝麻灰花岗岩线条</t>
  </si>
  <si>
    <t>1.20*30芝麻灰花岗岩线条
2.其他说明详见图纸设计及规范</t>
  </si>
  <si>
    <t>水泥砂浆抹灰</t>
  </si>
  <si>
    <t>1.20厚1:2.5水泥砂浆内掺5%防水粉
2.其它说明：其他满足规范和图纸设计要求
3.部位：砖墙面</t>
  </si>
  <si>
    <t>光面夹绢玻璃</t>
  </si>
  <si>
    <t>1.12厚白色光面夹绢玻璃
2.详见设计图纸
3.其他说明：其它满足规范和设计图纸要求</t>
  </si>
  <si>
    <t>景观装置</t>
  </si>
  <si>
    <t>八</t>
  </si>
  <si>
    <t>CP-01~03/CD-1.1~1.6/CD-2.1~2.3/JS-3.1/4.1中轴水景及景墙</t>
  </si>
  <si>
    <t>中心水景景观</t>
  </si>
  <si>
    <t>基础做法</t>
  </si>
  <si>
    <t>水池、排水沟池底</t>
  </si>
  <si>
    <t>1.混凝土强度等级:150厚C25混凝土，抗渗等级P8
2.混凝土拌合料要求：符合规范要求
3.模板安拆费用计入综合单价，支模方式综合考虑
4.其它满足规范和设计图纸要求</t>
  </si>
  <si>
    <t>水池、泵坑池壁</t>
  </si>
  <si>
    <t>排水沟池壁</t>
  </si>
  <si>
    <t>1.混凝土强度等级:120厚C25混凝土，抗渗等级P8
2.混凝土拌合料要求：符合规范要求
3.模板安拆费用计入综合单价，支模方式综合考虑
4.其它满足规范和设计图纸要求</t>
  </si>
  <si>
    <t>泵坑现浇盖板</t>
  </si>
  <si>
    <t>1.混凝土强度等级:150厚C25混凝土
2.混凝土拌合料要求：符合规范要求
3.模板安拆费用计入综合单价，支模方式综合考虑
4.其它满足规范和设计图纸要求</t>
  </si>
  <si>
    <t>排水沟预制盖板</t>
  </si>
  <si>
    <t>1.混凝土强度等级:100厚C25混凝土
2.混凝土拌合料要求：符合规范要求
3.模板安拆费用计入综合单价，支模方式综合考虑
4.其它满足规范和设计图纸要求</t>
  </si>
  <si>
    <t>1.现浇构件带肋钢筋HRB400以内  直径≤10mm
2.含钢筋搭接
3.其它说明：其它满足规范和设计图纸要求</t>
  </si>
  <si>
    <t>砖砌支墩</t>
  </si>
  <si>
    <t>1.砖品种、规格、强度等级：MU7.5普通砖
2.砂浆强度等级：M7.5水泥砂浆
3.其它说明：其他满足规范和图纸设计要求</t>
  </si>
  <si>
    <t>水池装饰做法</t>
  </si>
  <si>
    <t>1.20厚1:2.5无碱水泥砂浆找平层
2.其他说明：详见相关设计图纸、相关要求及规范
3.部位：水池防水</t>
  </si>
  <si>
    <t>平面卷材防水</t>
  </si>
  <si>
    <t>1.4厚SBS防水卷材
2.其他说明：详见相关设计图纸、相关要求及规范
3.部位：水池、排水沟池底做法</t>
  </si>
  <si>
    <t>平面砂浆保护</t>
  </si>
  <si>
    <t>1.20厚1:2.5无碱水泥砂浆找平层
2.其他说明：详见相关设计图纸、相关要求及规范
3.部位：水池、排水沟池底做法</t>
  </si>
  <si>
    <t>细石混凝土找平层</t>
  </si>
  <si>
    <t>1.40厚C40细石混凝土找平层
2.其他说明：详见相关设计图纸、相关要求及规范
3.部位：水池、排水沟池底做法</t>
  </si>
  <si>
    <t>1.20厚1:2.5无碱水泥砂浆找平层
2.其他说明：详见相关设计图纸、相关要求及规范
3.部位：水池、排水沟池壁做法</t>
  </si>
  <si>
    <t>立面卷材防水</t>
  </si>
  <si>
    <t>1.4厚SBS防水卷材
2.其他说明：详见相关设计图纸、相关要求及规范
3.部位：水池、排水沟池壁做法</t>
  </si>
  <si>
    <t>立面砂浆保护</t>
  </si>
  <si>
    <t>不锈钢止水钢板</t>
  </si>
  <si>
    <t>1.5厚不锈钢板止水带
2.胶泥封口
3.其他说明：详见相关设计图纸、相关要求及规范</t>
  </si>
  <si>
    <t>石材楼地面</t>
  </si>
  <si>
    <t>1.20厚600*450光面中国黑花岗岩
2.石材粘接剂粘结
3.其他说明：详见相关设计图纸、相关要求及规范
4.部位：排水沟盖板顶面装饰</t>
  </si>
  <si>
    <t>1.20厚600*100光面中国黑花岗岩
2.石材粘接剂粘结
3.其他说明：详见相关设计图纸、相关要求及规范
4.部位：排水沟盖板侧面装饰</t>
  </si>
  <si>
    <t>水景异形石材收边</t>
  </si>
  <si>
    <t>1.50厚600*150光面中国黑花岗岩，底部凹槽20宽*15深
2.石材粘接剂粘结
3.其他说明：详见相关设计图纸、相关要求及规范</t>
  </si>
  <si>
    <t>1.20厚600*150光面中国黑花岗岩
2.石材粘接剂粘结
3.其他说明：详见相关设计图纸、相关要求及规范
4.部位：水景侧面装饰</t>
  </si>
  <si>
    <t>石材楼地面（胶粘石材做法一）</t>
  </si>
  <si>
    <t>1.三层石材铺贴造型，共80mm厚
2.光面中国黑花岗岩异形加工
3.结构胶粘结
4.其他说明：详见相关设计图纸、相关要求及规范
5.部位：水池顶面饰面</t>
  </si>
  <si>
    <t>石材楼地面（胶粘石材做法二）</t>
  </si>
  <si>
    <t>1.四层石材铺贴造型，共80mm厚
2.光面中国黑花岗岩异形加工
3.结构胶粘结
4.其他说明：详见相关设计图纸、相关要求及规范
5.部位：水池顶面饰面</t>
  </si>
  <si>
    <t>周边铺装做法</t>
  </si>
  <si>
    <t>1.混凝土强度等级:50厚C20混凝土垫层
2.混凝土拌合料要求：符合规范要求
3.模板安拆费用计入综合单价，支模方式综合考虑
4.其它满足规范和设计图纸要求</t>
  </si>
  <si>
    <t>卵石地面</t>
  </si>
  <si>
    <t>1.黑色洗米石胶粘石
2.其它说明：其它满足规范和设计图纸要求</t>
  </si>
  <si>
    <t>青石板地面</t>
  </si>
  <si>
    <t>1.30厚机切青石板
2.其它说明：其它满足规范和设计图纸要求</t>
  </si>
  <si>
    <t>1.15厚600*150仿荔枝面芝麻黑陶瓷PC砖
2.30厚1:3无碱水泥砂浆结合层
3.其他说明：详见相关设计图纸、相关要求及规范</t>
  </si>
  <si>
    <t>1.15厚600*300仿荔枝面芝麻黑陶瓷PC砖
2.30厚1:3无碱水泥砂浆结合层
3.其他说明：详见相关设计图纸、相关要求及规范</t>
  </si>
  <si>
    <t>1.15厚600*300仿荔枝面芝麻灰陶瓷PC砖
2.30厚1:3无碱水泥砂浆结合层
3.其他说明：详见相关设计图纸、相关要求及规范</t>
  </si>
  <si>
    <t>水景北侧景墙</t>
  </si>
  <si>
    <t>结构做法</t>
  </si>
  <si>
    <t>挖沟槽</t>
  </si>
  <si>
    <t>1.砖品种、规格、强度等级：MU7.5标砖
2.基础类型：砖基础
3.砂浆强度等级：M7.5水泥砂浆
4.其它说明：其他满足规范和图纸设计要求</t>
  </si>
  <si>
    <t>基础防潮层</t>
  </si>
  <si>
    <t>砖墙</t>
  </si>
  <si>
    <t>1.砖品种、规格、强度等级：MU7.5标砖
2.墙体类型：240mm厚砖砌
3.砂浆强度等级：M7.5水泥砂浆
4.其它说明：其他满足规范和图纸设计要求</t>
  </si>
  <si>
    <t>1.现浇构件带肋钢筋HRB400以内  直径＞10mm
2.含钢筋搭接
3.其它说明：其它满足规范和设计图纸要求</t>
  </si>
  <si>
    <t>装饰做法</t>
  </si>
  <si>
    <t>墙面抹灰</t>
  </si>
  <si>
    <t>1.10厚1:2.5无碱水泥砂浆墙面抹灰
2.部位：景墙
3.其它说明：其它满足规范和设计图纸要求</t>
  </si>
  <si>
    <t>块料墙面</t>
  </si>
  <si>
    <t>1.12厚900*600仿光面黄金麻瓷砖
2.18厚1:2.5无碱水泥砂浆结合层
3.其它说明：其它满足规范和设计图纸要求</t>
  </si>
  <si>
    <t>不锈钢板饰面</t>
  </si>
  <si>
    <t>1.1.2厚不锈钢板饰面，外喷浅咖色氟碳漆
2.18*28角板，M6塑料膨胀套固定
3.其它说明：其它满足规范和设计图纸要求</t>
  </si>
  <si>
    <t>九</t>
  </si>
  <si>
    <t>DD-1.1~1.14/JS7.1白露园景观亭廊架</t>
  </si>
  <si>
    <t>挖基坑</t>
  </si>
  <si>
    <t>挖基槽</t>
  </si>
  <si>
    <t>独立基础</t>
  </si>
  <si>
    <t>1.混凝土强度等级:C30混凝土独立基础
2.混凝土拌合料要求：符合规范要求
3.模板安拆费用计入综合单价，支模方式综合考虑
4.其它满足规范和设计图纸要求</t>
  </si>
  <si>
    <t>1.混凝土强度等级:C30混凝土矩形柱
2.规格尺寸：360*360mm
2.混凝土拌合料要求：符合规范要求
3.模板安拆费用计入综合单价，支模方式综合考虑
4.其它满足规范和设计图纸要求</t>
  </si>
  <si>
    <t>钢结构做法</t>
  </si>
  <si>
    <t>1.预埋件M2
2.其他说明：详见相关设计图纸、相关要求及规范</t>
  </si>
  <si>
    <t>地脚螺栓</t>
  </si>
  <si>
    <t>1.规格种类：M16地脚螺栓
2.长度：0.7m
3.制作安装
4.其它说明：其他满足规范和图纸设计要求</t>
  </si>
  <si>
    <t>套</t>
  </si>
  <si>
    <t>1.规格种类：□150x6方钢管，深咖色氟碳漆饰面
2.制作安装
3.其它说明：其他满足规范和图纸设计要求</t>
  </si>
  <si>
    <t>钢梁</t>
  </si>
  <si>
    <t>1.规格种类：□150x200x5矩管，深咖色氟碳漆饰面
2.制作安装
3.其它说明：其他满足规范和图纸设计要求</t>
  </si>
  <si>
    <t>1.规格种类：□100x5矩管，深咖色氟碳漆饰面
2.制作安装
3.其它说明：其他满足规范和图纸设计要求</t>
  </si>
  <si>
    <t>1.规格种类：□100x4矩管，深咖色氟碳漆饰面
2.制作安装
3.其它说明：其他满足规范和图纸设计要求</t>
  </si>
  <si>
    <t>钢龙骨</t>
  </si>
  <si>
    <t>1.规格种类：□50*3矩管，深咖色氟碳漆饰面
2.制作安装
3.其它说明：其他满足规范和图纸设计要求</t>
  </si>
  <si>
    <t>1.规格种类：□100*150*3方钢管，深咖色氟碳漆饰面
2.制作安装
3.其它说明：其他满足规范和图纸设计要求</t>
  </si>
  <si>
    <t>装饰格栅</t>
  </si>
  <si>
    <t>1.规格种类：□50x100x2矩管，深咖色氟碳漆饰面
2.制作安装
3.其它说明：其他满足规范和图纸设计要求</t>
  </si>
  <si>
    <t>铝单板装饰</t>
  </si>
  <si>
    <t>1.2mm厚铝单板装饰，深咖色氟碳漆饰面
2.制作安装
3.其它说明：其他满足规范和图纸设计要求</t>
  </si>
  <si>
    <t>U型不锈钢天沟</t>
  </si>
  <si>
    <t>1.3mm厚U型不锈钢板天沟，内涂二道红丹加二道防腐涂料
2.制作安装
3.其它说明：其他满足规范和图纸设计要求</t>
  </si>
  <si>
    <t>镂空不锈钢板装饰</t>
  </si>
  <si>
    <t>1.3mm厚不锈钢板，镂空回字纹，深咖色氟碳漆饰面
2.制作安装
3.其它说明：其他满足规范和图纸设计要求</t>
  </si>
  <si>
    <t>装饰瓦楞板</t>
  </si>
  <si>
    <t>1.□50x1.2@50装饰瓦楞板，深咖色氟碳漆饰面
2.制作安装
3.其它说明：其他满足规范和图纸设计要求</t>
  </si>
  <si>
    <t>钢柱外造型钢板</t>
  </si>
  <si>
    <t>1.2mm厚造型钢板，深咖色氟碳漆饰面
2.制作安装
3.其它说明：其他满足规范和图纸设计要求</t>
  </si>
  <si>
    <t>装饰隔断做法DD1.10</t>
  </si>
  <si>
    <t>1.预埋件M1
2.其他说明：详见相关设计图纸、相关要求及规范</t>
  </si>
  <si>
    <t>隔断基础</t>
  </si>
  <si>
    <t>1.规格种类：□100x50x3矩管，深咖色氟碳漆饰面
2.制作安装
3.其它说明：其他满足规范和图纸设计要求</t>
  </si>
  <si>
    <t>隔断边框</t>
  </si>
  <si>
    <t>隔断格栅</t>
  </si>
  <si>
    <t>1.规格种类：□30x2矩管，深咖色氟碳漆饰面
2.制作安装
3.其它说明：其他满足规范和图纸设计要求</t>
  </si>
  <si>
    <t>1.规格种类：□60x30x2矩管，深咖色氟碳漆饰面
2.制作安装
3.其它说明：其他满足规范和图纸设计要求</t>
  </si>
  <si>
    <t>隔断装饰钢板</t>
  </si>
  <si>
    <t>1.规格种类：5mm厚50宽/60宽钢板，镂空造型，深咖色氟碳漆饰面
2.制作安装
3.其它说明：其他满足规范和图纸设计要求</t>
  </si>
  <si>
    <t>装饰隔断做法DD1.11</t>
  </si>
  <si>
    <t>1.规格种类：□30x50x3矩管，深咖色氟碳漆饰面
2.制作安装
3.其它说明：其他满足规范和图纸设计要求</t>
  </si>
  <si>
    <t>1.规格种类：3mm厚钢板，定制镂空牡丹花纹，深咖色氟碳漆饰面
2.制作安装
3.其它说明：其他满足规范和图纸设计要求</t>
  </si>
  <si>
    <t>地面装饰</t>
  </si>
  <si>
    <t>砖砌台阶</t>
  </si>
  <si>
    <t>1.15厚100x300仿荔枝面芝麻黑陶瓷PC砖
2.30厚1:2.5无碱水泥砂浆结合层
3.其他说明：详见相关设计图纸、相关要求及规范</t>
  </si>
  <si>
    <t>1.15厚100x400仿荔枝面芝麻黑陶瓷PC砖
2.30厚1:2.5无碱水泥砂浆结合层
3.其他说明：详见相关设计图纸、相关要求及规范</t>
  </si>
  <si>
    <t>1.15厚300x300仿荔枝面芝麻灰陶瓷PC砖
2.30厚1:2.5无碱水泥砂浆结合层
3.其他说明：详见相关设计图纸、相关要求及规范</t>
  </si>
  <si>
    <t>1.15厚500x600/500仿烧面爵士白陶瓷PC砖
2.30厚1:2.5无碱水泥砂浆结合层
3.其他说明：详见相关设计图纸、相关要求及规范</t>
  </si>
  <si>
    <t>1.30厚450x400/600荔枝面芝麻灰花岗岩
2.30厚1:2.5无碱水泥砂浆结合层
3.其他说明：详见相关设计图纸、相关要求及规范</t>
  </si>
  <si>
    <t>石材台阶面</t>
  </si>
  <si>
    <t>1.50厚450/475*600荔枝面芝麻灰花岗岩，拉槽、磨倒角
2.20厚1:2.5无碱水泥砂浆粘接层
3.20厚1:2.5无碱水泥砂浆找平层
4.其他说明：详见相关设计图纸、相关要求及规范
5.部位：台阶踏步面</t>
  </si>
  <si>
    <t>1.25厚荔枝面芝麻灰花岗岩，磨倒角
2.20厚1:2.5无碱水泥砂浆粘接层
3.20厚1:2.5无碱水泥砂浆找平层
4.其他说明：详见相关设计图纸、相关要求及规范
5.部位：台阶踢面、台阶侧壁</t>
  </si>
  <si>
    <t>石材装饰面</t>
  </si>
  <si>
    <t>1.30厚450x450，10x10斜角荔枝面黄金麻花岗岩
2.30厚1:2.5无碱水泥砂浆结合层
3.其他说明：详见相关设计图纸、相关要求及规范
4.部位：柱装饰</t>
  </si>
  <si>
    <t>1.25厚450x500荔枝面黄金麻花岗岩
2.30厚1:2.5无碱水泥砂浆结合层
3.其他说明：详见相关设计图纸、相关要求及规范
4.部位：柱装饰</t>
  </si>
  <si>
    <t>1.25厚450x600荔枝面芝麻灰花岗岩
2.30厚1:2.5无碱水泥砂浆结合层
3.其他说明：详见相关设计图纸、相关要求及规范
4.部位：景观亭出±0侧壁</t>
  </si>
  <si>
    <t>十</t>
  </si>
  <si>
    <t>GP-1.1~1.3/GD-1.1~1.6 东门入口</t>
  </si>
  <si>
    <t>GP-1.1~1.3地面铺装</t>
  </si>
  <si>
    <t>1.300厚Φ5-25砾石石垫层
2.其它说明：其它满足规范和设计图纸要求</t>
  </si>
  <si>
    <t>1.混凝土强度等级:200厚Φ5-12普通透水混凝土
2.混凝土拌合料要求：符合规范要求
3.模板安拆费用计入综合单价，支模方式综合考虑
4.其它满足规范和设计图纸要求</t>
  </si>
  <si>
    <t>浅色透水沥青砼路面</t>
  </si>
  <si>
    <t>1.90厚透水沥青砼（车行道），含白色热熔漆
2.其它满足规范和设计图纸要求</t>
  </si>
  <si>
    <t>PC砖仿荔枝面芝麻白荔枝面</t>
  </si>
  <si>
    <t>1.15厚PC砖，仿荔枝面芝麻白荔枝面
2.30厚1：3无碱水泥砂浆结合层
3.其它满足规范和设计图纸要求</t>
  </si>
  <si>
    <t>PC砖仿荔枝面芝麻黑荔枝面</t>
  </si>
  <si>
    <t>1.15厚PC砖，仿荔枝面芝麻黑荔枝面
2.30厚1：3无碱水泥砂浆结合层
3.其它满足规范和设计图纸要求</t>
  </si>
  <si>
    <t>1.150宽火烧面芝麻灰花岗岩道牙
2.30厚1:2.5水泥砂浆粘接层
3.其他说明：其它满足规范和设计图纸要求</t>
  </si>
  <si>
    <t>GD-1.1~1.6/JS-5.1~5.2东门景墙装饰及结构</t>
  </si>
  <si>
    <t>1.满足规范和设计图纸要求</t>
  </si>
  <si>
    <t>1.C30钢筋混凝土
2.混凝土拌合料要求：符合规范要求
3.模板安拆费用计入综合单价，支模方式综合考虑
4.其它满足规范和设计图纸要求</t>
  </si>
  <si>
    <t>1.20厚1：2.5水泥砂浆内掺5%防水粉
2.其它说明：其它满足规范和设计图纸要求</t>
  </si>
  <si>
    <t>圈梁及压顶</t>
  </si>
  <si>
    <t>1.C25钢筋混凝土圈梁
2.混凝土拌合料要求：符合规范要求
3.模板安拆费用计入综合单价，支模方式综合考虑
4.其它满足规范和设计图纸要求</t>
  </si>
  <si>
    <t>1.正面+顶面+侧面：仿黄金麻真石漆
2.6厚1:2.5无碱水泥砂浆找平
3.12厚1:3无碱水泥砂浆打底层
4.其它满足规范和设计图纸要求</t>
  </si>
  <si>
    <t>GD-1.4台阶节点2</t>
  </si>
  <si>
    <t>砼台阶</t>
  </si>
  <si>
    <t>1.混凝土强度等级:C20混凝土
2.混凝土拌合料要求：符合规范要求
3.模板安拆费用计入综合单价，支模方式综合考虑
4.其它说明：其它满足规范和设计图纸要求</t>
  </si>
  <si>
    <t>台阶铺装</t>
  </si>
  <si>
    <t>1.50厚荔枝面芝麻灰花岗岩，倒角10*10
2.30厚1：2.5无碱水泥砂浆结合层
3.其它满足规范和设计图纸要求</t>
  </si>
  <si>
    <t>1.25厚荔枝面芝麻灰花岗岩
2.30厚1：2.5无碱水泥砂浆结合层
3.其它满足规范和设计图纸要求</t>
  </si>
  <si>
    <t>GD-1.5花池节点1</t>
  </si>
  <si>
    <t>1.150厚级配碎石垫层
2.其它说明：其它满足规范和设计图纸要求</t>
  </si>
  <si>
    <t>1.混凝土强度等级:100厚C15混凝土
2.混凝土拌合料要求：符合规范要求
3.模板安拆费用计入综合单价，支模方式综合考虑
4.其它说明：其它满足规范和设计图纸要求</t>
  </si>
  <si>
    <t>花池顶面铺装</t>
  </si>
  <si>
    <t>1.50厚荔枝面芝麻灰花岗岩
2.20厚1：2.5无碱水泥砂浆结合层
3.其它满足规范和设计图纸要求</t>
  </si>
  <si>
    <t>花池侧面铺装</t>
  </si>
  <si>
    <t>1.25厚荔枝面芝麻灰花岗岩
2.20厚1：2.5无碱水泥砂浆结合层
3.其它满足规范和设计图纸要求</t>
  </si>
  <si>
    <t>十一</t>
  </si>
  <si>
    <t>FD-1.1~1.5/JS-6.1异形廊架装饰及结构</t>
  </si>
  <si>
    <t>1.C30钢筋混凝土独立基础
2.混凝土拌合料要求：符合规范要求
3.模板安拆费用计入综合单价，支模方式综合考虑
4.其它满足规范和设计图纸要求</t>
  </si>
  <si>
    <t>二次浇筑细石砼</t>
  </si>
  <si>
    <t>1.混凝土强度等级:C30细石混凝土
2.混凝土拌合料要求：符合规范要求
3.模板安拆费用计入综合单价，支模方式综合考虑
4.其它满足规范和设计图纸要求</t>
  </si>
  <si>
    <t>1.300*300x12预埋钢板+10厚镀锌加劲板，
2.100*5，爪子a8-300，0.3米长
3.M16螺栓固定
4.其它满足规范和设计图纸要求</t>
  </si>
  <si>
    <t>基础现浇构件钢筋</t>
  </si>
  <si>
    <t>1.现浇构件带肋钢筋HPB400以内  直径≤12mm
2.含钢筋搭接
3.其它说明：其它满足规范和设计图纸要求</t>
  </si>
  <si>
    <t>钢管柱</t>
  </si>
  <si>
    <t>1.钢材规格:Φ100*5+Φ30*2，白色氟碳漆饰面
2.其他说明详见图纸设计及规范</t>
  </si>
  <si>
    <t>1.钢材类型:口150*100*5+口70*50*5，白色氟碳漆饰面
2.其他说明详见图纸设计及规范</t>
  </si>
  <si>
    <t>1.钢材规格:口40*3，白色氟碳漆饰面
2.其他说明详见图纸设计及规范</t>
  </si>
  <si>
    <t>廊架铝板装饰</t>
  </si>
  <si>
    <t>1.部位：廊架顶面+底面+厕面，
2.2厚铝板饰面，喷深咖色氟碳漆饰面
3.其他说明详见图纸设计及规范</t>
  </si>
  <si>
    <t>仿木纹陶瓷PC砖</t>
  </si>
  <si>
    <t>1.15厚仿木纹陶瓷PC砖
2.20厚1：2.5无碱水泥砂浆结合层
2.其他说明详见图纸设计及规范</t>
  </si>
  <si>
    <t>仿荔枝面芝麻灰陶瓷PC砖</t>
  </si>
  <si>
    <t>1.15厚仿荔枝面芝麻灰陶瓷PC砖
2.20厚1：2.5无碱水泥砂浆结合层
3.其他说明详见图纸设计及规范</t>
  </si>
  <si>
    <t>黑色胶粘石</t>
  </si>
  <si>
    <t>1.50厚黑色胶粘石
2.20厚1：2.5无碱水泥砂浆结合层
3.其他说明详见图纸设计及规范</t>
  </si>
  <si>
    <t>廊架地面素土夯实</t>
  </si>
  <si>
    <t>白色水磨石</t>
  </si>
  <si>
    <t>1.30厚白色水磨石
2.20厚1：2.5无碱水泥砂浆结合层
3.其他说明详见图纸设计及规范</t>
  </si>
  <si>
    <t>花池砖基础</t>
  </si>
  <si>
    <t>十二</t>
  </si>
  <si>
    <t>FP-01~05 儿童活动场地</t>
  </si>
  <si>
    <t>FD-2.1~2.3地面标识</t>
  </si>
  <si>
    <t>EPDM现浇地垫</t>
  </si>
  <si>
    <t>1.15厚彩色EPDM跑道塑胶儿童活动场地（含白色热熔漆）
2.其它满足规范和设计图纸要求</t>
  </si>
  <si>
    <t>仿荔枝面芝麻黑陶瓷PC砖</t>
  </si>
  <si>
    <t>1.15厚仿荔枝面芝麻黑陶瓷PC砖
2.其它满足规范和设计图纸要求</t>
  </si>
  <si>
    <t>地面标识一</t>
  </si>
  <si>
    <t>1.丙烯酸划线漆涂料
2.其它满足规范和设计图纸要求</t>
  </si>
  <si>
    <t>项</t>
  </si>
  <si>
    <t>地面标识二</t>
  </si>
  <si>
    <t>地面标识三</t>
  </si>
  <si>
    <t>地面标识四</t>
  </si>
  <si>
    <t>地面标识五</t>
  </si>
  <si>
    <t>地面标识六</t>
  </si>
  <si>
    <t>地面标识七</t>
  </si>
  <si>
    <t>地面标识八</t>
  </si>
  <si>
    <t>地面标识九</t>
  </si>
  <si>
    <t>FD-3.1儿童座椅</t>
  </si>
  <si>
    <t>1.c20钢筋混凝土压顶
2.混凝土拌合料要求：符合规范要求
3.模板安拆费用计入综合单价，支模方式综合考虑，且含钢筋
4.其它满足规范和设计图纸要求</t>
  </si>
  <si>
    <t>防腐木饰面</t>
  </si>
  <si>
    <t>1.50厚樟子松防腐木，5厚钢板固定
2.其它满足规范和设计图纸要求</t>
  </si>
  <si>
    <t>烧面芝麻灰花岗岩</t>
  </si>
  <si>
    <t>1.30厚烧面芝麻灰花岗岩
2.20厚1：2.5无碱水泥砂浆找平层
3.其它满足规范和设计图纸要求</t>
  </si>
  <si>
    <t>成品玻璃钢坐凳</t>
  </si>
  <si>
    <t>1.成品玻璃钢坐凳尺寸：2.2m*0.6m，含图案。
2.其它说明：其他满足规范和图纸设计要求</t>
  </si>
  <si>
    <t>个</t>
  </si>
  <si>
    <t>FD-4.1~4.6儿童攀爬平台</t>
  </si>
  <si>
    <t>1.350*350x10预埋钢板+10厚镀锌加劲板Q345
2.4个M16螺栓固定
3.其它满足规范和设计图纸要求</t>
  </si>
  <si>
    <t>1.钢材规格:Φ100*5，白色氟碳漆饰面
2.其他说明详见图纸设计及规范</t>
  </si>
  <si>
    <t>1.钢材类型:口50*100*5，白色氟碳漆饰面
2.其他说明详见图纸设计及规范</t>
  </si>
  <si>
    <t>1.钢材规格:口40*80*4+口50*3，白色氟碳漆饰面
2.其他说明详见图纸设计及规范</t>
  </si>
  <si>
    <t>钢栏杆</t>
  </si>
  <si>
    <t>1.钢材规格:Φ20*2围栏@80，白色氟碳漆饰面
2.其他说明详见图纸设计及规范</t>
  </si>
  <si>
    <t>竹木地板</t>
  </si>
  <si>
    <t>1.20厚户外高耐受竹木板，留缝5mm
2.其他说明详见图纸设计及规范</t>
  </si>
  <si>
    <t>安全绳</t>
  </si>
  <si>
    <t>1.成品尼龙安全绳，含挂钩
2.其他说明详见图纸设计及规范</t>
  </si>
  <si>
    <t>十三</t>
  </si>
  <si>
    <t>LT-3.1/JS-8.1 围墙装饰及结构</t>
  </si>
  <si>
    <t>挖沟槽土方</t>
  </si>
  <si>
    <t>砖围墙砌体</t>
  </si>
  <si>
    <t>1.混凝土强度等级:C25钢筋混凝土
2.混凝土拌合料要求：符合规范要求
3.模板安拆费用计入综合单价，支模方式综合考虑
4.其它满足规范和设计图纸要求</t>
  </si>
  <si>
    <t>1.C25钢筋混凝土构造柱
2.混凝土拌合料要求：符合规范要求
3.模板安拆费用计入综合单价，支模方式综合考虑
4.其它满足规范和设计图纸要求</t>
  </si>
  <si>
    <t>1.c25钢筋混凝土压顶
2.混凝土拌合料要求：符合规范要求
3.模板安拆费用计入综合单价，支模方式综合考虑
4.其它满足规范和设计图纸要求</t>
  </si>
  <si>
    <t>砖压顶</t>
  </si>
  <si>
    <t>1.砖品种、规格、强度等级：MU7.5普通砖
2.墙体类型：柱顶
3.砂浆强度等级、配合比：M7.5水泥砂浆
4.其它说明：其他满足规范和图纸设计要求</t>
  </si>
  <si>
    <t>砼墙</t>
  </si>
  <si>
    <t>1.c25钢筋混凝土墙
2.混凝土拌合料要求：符合规范要求
3.模板安拆费用计入综合单价，支模方式综合考虑
4.其它满足规范和设计图纸要求</t>
  </si>
  <si>
    <t>1.现浇构件带肋钢筋HPB300  直径≤10mm
2.含钢筋搭接
3.其它说明：其它满足规范和设计图纸要求</t>
  </si>
  <si>
    <t>1.现浇构件带肋钢筋HRB400  直径≤12mm
2.含钢筋搭接
3.其它说明：其它满足规范和设计图纸要求</t>
  </si>
  <si>
    <t>涂料墙面</t>
  </si>
  <si>
    <t>1.仿黄金麻真石漆涂料饰面
2.20厚1:2.5水泥砂浆找平层
3.其它说明：其他满足规范和图纸设计要求</t>
  </si>
  <si>
    <t>1.M1预埋铁件
2.其他说明详见图纸设计及规范</t>
  </si>
  <si>
    <t>钢管格栅</t>
  </si>
  <si>
    <t>1.钢材品种、规格:Q235B
2.型钢式、格构式:镀锌矩形钢管30*50*3+镀锌矩形钢管30*20*2
3.外喷同建筑门窗咖色氟碳漆
4.运距自行考虑
5.其他说明详见图纸设计及规范</t>
  </si>
  <si>
    <t>十四</t>
  </si>
  <si>
    <t>GD-3.1~3.2 消防门一、二</t>
  </si>
  <si>
    <t>消防门一</t>
  </si>
  <si>
    <t>1.钢材规格:热镀锌矩形钢管70*50*5+热镀锌矩形钢管30*2，含预埋件。
2.外喷深咖色氟碳漆，含成品门轴、成品门栓、成品钢轮。
3.运距自行考虑
4.其他说明详见图纸设计及规范</t>
  </si>
  <si>
    <t>消防门二</t>
  </si>
  <si>
    <t>十五</t>
  </si>
  <si>
    <t>AD-2.1~2.4/GD-2.1~2.5/KD-1.1~1.4  车库玻璃雨棚</t>
  </si>
  <si>
    <t>AD-2.1~2.4  车库一玻璃雨棚</t>
  </si>
  <si>
    <t>钢化夹胶玻璃</t>
  </si>
  <si>
    <t>1.6+1.14PVB+6透明钢化夹胶玻璃
2.专业玻璃胶固定，缝隙处密封胶填实
3.立面玻璃成品玻璃卡件，玻璃与建筑物交接处密封胶填实
4.其他说明：其它满足规范和设计图纸要求</t>
  </si>
  <si>
    <t>细石砼二次浇注</t>
  </si>
  <si>
    <t>1.40厚C30细石砼二次浇注
2.其他说明：其它满足规范和设计图纸要求</t>
  </si>
  <si>
    <t>方钢主梁</t>
  </si>
  <si>
    <t>1.GL01 250*150*5厚矩形钢
2.深咖色氟碳漆饰面
3.预埋件、喷砂除锈喷漆及构件吊运等措施
4.其它说明：其它满足规范和设计图纸要求</t>
  </si>
  <si>
    <t>方钢次梁</t>
  </si>
  <si>
    <t>1.GL02 150*100*5厚矩形钢
2.深咖色氟碳漆饰面
3.预埋件、喷砂除锈喷漆及构件吊运等措施
4.其它说明：其它满足规范和设计图纸要求</t>
  </si>
  <si>
    <t>方钢立柱</t>
  </si>
  <si>
    <t>1.GZ01 150*150*5厚矩形钢
2.深咖色氟碳漆饰面
3.预埋件、喷砂除锈喷漆及构件吊运等措施
4.其它说明：其它满足规范和设计图纸要求</t>
  </si>
  <si>
    <t>1..GZ02 150*100*5厚矩形钢
2.深咖色氟碳漆饰面
3.预埋件、喷砂除锈喷漆及构件吊运等措施
4.其它说明：其它满足规范和设计图纸要求</t>
  </si>
  <si>
    <t>涂料饰面</t>
  </si>
  <si>
    <t>1.外喷仿黄金麻真石漆，10宽*5深凹缝@600，黑色强力双面胶带
2.其它说明：其它满足规范和设计图纸要求</t>
  </si>
  <si>
    <t>GD-2.1~2.5  车库二玻璃雨棚</t>
  </si>
  <si>
    <t>1.Z1 150*150*5厚矩形钢
2.深咖色氟碳漆饰面
3.预埋件、喷砂除锈喷漆及构件吊运等措施
4.其它说明：其它满足规范和设计图纸要求</t>
  </si>
  <si>
    <t>1..Z2 150*100*5厚矩形钢
2.深咖色氟碳漆饰面
3.预埋件、喷砂除锈喷漆及构件吊运等措施
4.其它说明：其它满足规范和设计图纸要求</t>
  </si>
  <si>
    <t>KD-1.1~1.4  非机动车库二玻璃雨棚</t>
  </si>
  <si>
    <t>1.GL01 150*100*5厚矩形钢
2.深咖色氟碳漆饰面
3.预埋件、喷砂除锈喷漆及构件吊运等措施
4.其它说明：其它满足规范和设计图纸要求</t>
  </si>
  <si>
    <t>1.GL02 100*50*5厚矩形钢
2.深咖色氟碳漆饰面
3.预埋件、喷砂除锈喷漆及构件吊运等措施
4.其它说明：其它满足规范和设计图纸要求</t>
  </si>
  <si>
    <t>1.Z1 100*100*5厚矩形钢
2.深咖色氟碳漆饰面
3.预埋件、喷砂除锈喷漆及构件吊运等措施
4.其它说明：其它满足规范和设计图纸要求</t>
  </si>
  <si>
    <t>1.Z2 100*50*5厚矩形钢
2.深咖色氟碳漆饰面
3.预埋件、喷砂除锈喷漆及构件吊运等措施
4.其它说明：其它满足规范和设计图纸要求</t>
  </si>
  <si>
    <t>ID-2.1~2.2 人防出入口雨棚</t>
  </si>
  <si>
    <t>1.6+1.14PVB+6钢化夹胶玻璃
2.专业玻璃胶固定，缝隙处密封胶填实
3.其他说明：其它满足规范和设计图纸要求</t>
  </si>
  <si>
    <t>单层侧边钢化玻璃</t>
  </si>
  <si>
    <t>1.10厚单层侧边钢化玻璃
2.专业玻璃胶固定，玻璃固定专用不锈钢扣件间距500，外饰专用不锈钢卡条，立面与柱体通长
立面与柱体通长
3.其他说明：其它满足规范和设计图纸要求</t>
  </si>
  <si>
    <t>玻璃门</t>
  </si>
  <si>
    <t>1.10厚单层侧边钢化玻璃
2.专业玻璃胶固定，缝隙处密封胶填实
3.含门把手等五金
4.其他说明：其它满足规范和设计图纸要求</t>
  </si>
  <si>
    <t>1.Z1 口100*5厚矩形钢，铝合金装饰盖
2.深咖色氟碳漆饰面
3.预埋件、喷砂除锈喷漆及构件吊运等措施
4.其它说明：其它满足规范和设计图纸要求</t>
  </si>
  <si>
    <t>1.GL01 口100*5厚矩形钢
2.深咖色氟碳漆饰面
3.预埋件、喷砂除锈喷漆及构件吊运等措施
4.其它说明：其它满足规范和设计图纸要求</t>
  </si>
  <si>
    <t>1.仿黄金麻真石漆
2.25厚1:2.5无碱水泥砂浆找平层
3.其它满足规范和设计图纸要求</t>
  </si>
  <si>
    <t>LT-4.1 采光井</t>
  </si>
  <si>
    <t>1.仿黄金麻真石漆饰面
2.20厚1:2.5水泥砂浆找平层
3.其它满足规范和设计图纸要求</t>
  </si>
  <si>
    <t>1.口50*100*5厚镀锌钢管
2.深咖色氟碳漆饰面
3.预埋件、喷砂除锈喷漆及构件吊运等措施
4.其它说明：其它满足规范和设计图纸要求</t>
  </si>
  <si>
    <t>十六</t>
  </si>
  <si>
    <t>设施选型</t>
  </si>
  <si>
    <t>生活垃圾箱</t>
  </si>
  <si>
    <t>1.由甲方选样，
2.满足规范和设计图纸要求。</t>
  </si>
  <si>
    <t>雕塑</t>
  </si>
  <si>
    <t>1.200*1500*1200、1500*100*750，玻璃钢材质，
2.满足规范和设计图纸要求。</t>
  </si>
  <si>
    <t>成品家具一</t>
  </si>
  <si>
    <t>1.由甲方选样，铁艺材质+pvc仿藤，
2.满足规范和设计图纸要求。</t>
  </si>
  <si>
    <t>成品家具二</t>
  </si>
  <si>
    <t>组合型滑滑梯</t>
  </si>
  <si>
    <t>1.由甲方选样，304不锈钢材质。
2.满足规范和设计图纸要求。</t>
  </si>
  <si>
    <t>摇摇马</t>
  </si>
  <si>
    <t>组合儿童秋千</t>
  </si>
  <si>
    <t>1.2100*2100*900，镀锌钢，
2.满足规范和设计图纸要求。</t>
  </si>
  <si>
    <t>腿部按摩器</t>
  </si>
  <si>
    <t>1.2150*1400*600，镀锌钢，
2.满足规范和设计图纸要求。</t>
  </si>
  <si>
    <t>单人漫步机</t>
  </si>
  <si>
    <t>1.1200*1100*500，镀锌钢，
2.满足规范和设计图纸要求。</t>
  </si>
  <si>
    <t>单杠</t>
  </si>
  <si>
    <t>1.2100*1500*300，镀锌钢，
2.满足规范和设计图纸要求。</t>
  </si>
  <si>
    <t>三位扭腰器</t>
  </si>
  <si>
    <t>1.1500*1500*1300，镀锌钢，
2.满足规范和设计图纸要求。</t>
  </si>
  <si>
    <t>肩关节康复机</t>
  </si>
  <si>
    <t>1.1300*1200*1200，镀锌钢，
2.满足规范和设计图纸要求。</t>
  </si>
  <si>
    <t>果皮箱</t>
  </si>
  <si>
    <t>1.由甲方选样，4800*2800*3500，塑料PVC,
2.满足规范和设计图纸要求。</t>
  </si>
  <si>
    <t>拴马桩</t>
  </si>
  <si>
    <t>1.展示区迁移，
2.满足规范和设计图纸要求。</t>
  </si>
  <si>
    <t>梅花鹿小品</t>
  </si>
  <si>
    <t>十七</t>
  </si>
  <si>
    <t>BD-4.1矮墙装饰及结构</t>
  </si>
  <si>
    <t>1.100厚级配碎石垫层
2.混凝土拌合料要求：符合规范要求
3.其它满足规范和设计图纸要求</t>
  </si>
  <si>
    <t>钢筋砼墙</t>
  </si>
  <si>
    <t>矮墙顶面铺装</t>
  </si>
  <si>
    <t>1.25厚荔枝面芝麻灰花岗岩
2.20厚1：2.5无碱水泥砂浆结合层
3.10厚1：2.5无碱水泥砂浆找平层
4.其它满足规范和设计图纸要求</t>
  </si>
  <si>
    <t>（一）~（十七）项合计</t>
  </si>
  <si>
    <r>
      <rPr>
        <sz val="9"/>
        <rFont val="宋体"/>
        <charset val="134"/>
      </rPr>
      <t>备注：</t>
    </r>
    <r>
      <rPr>
        <sz val="9"/>
        <rFont val="Arial"/>
        <charset val="134"/>
      </rPr>
      <t>1.</t>
    </r>
    <r>
      <rPr>
        <sz val="9"/>
        <rFont val="宋体"/>
        <charset val="134"/>
      </rPr>
      <t>综合单价包括且不限于人工、材料、机械、措施、检验检测、规费、管理费、利润、税金</t>
    </r>
    <r>
      <rPr>
        <sz val="9"/>
        <rFont val="Arial"/>
        <charset val="134"/>
      </rPr>
      <t>(</t>
    </r>
    <r>
      <rPr>
        <sz val="9"/>
        <rFont val="宋体"/>
        <charset val="134"/>
      </rPr>
      <t>增值税专用发票</t>
    </r>
    <r>
      <rPr>
        <sz val="9"/>
        <rFont val="Arial"/>
        <charset val="134"/>
      </rPr>
      <t>)</t>
    </r>
    <r>
      <rPr>
        <sz val="9"/>
        <rFont val="宋体"/>
        <charset val="134"/>
      </rPr>
      <t>、赶工措施、安全防护、现场文明施工措施、风险等全部费用。</t>
    </r>
    <r>
      <rPr>
        <sz val="9"/>
        <rFont val="Arial"/>
        <charset val="134"/>
      </rPr>
      <t xml:space="preserve">
     2.</t>
    </r>
    <r>
      <rPr>
        <sz val="9"/>
        <rFont val="宋体"/>
        <charset val="134"/>
      </rPr>
      <t>本工程清单，无论是否存在缺项、漏项、工程量偏差，均视为乙方已综合考虑在固定合同总价内。</t>
    </r>
  </si>
  <si>
    <t>宜阳山水文苑项目景观绿化工程量清单与计价表（苗木类）</t>
  </si>
  <si>
    <t>名称</t>
  </si>
  <si>
    <t>数量</t>
  </si>
  <si>
    <t>单位</t>
  </si>
  <si>
    <t>合价（元）</t>
  </si>
  <si>
    <t>规格（cm）(以下均为修剪后的规格)</t>
  </si>
  <si>
    <t>备注（全冠移栽）</t>
  </si>
  <si>
    <r>
      <rPr>
        <sz val="14"/>
        <rFont val="宋体"/>
        <charset val="134"/>
      </rPr>
      <t>胸（地）径</t>
    </r>
    <r>
      <rPr>
        <sz val="14"/>
        <rFont val="Arial"/>
        <charset val="134"/>
      </rPr>
      <t>(cm)</t>
    </r>
  </si>
  <si>
    <r>
      <rPr>
        <sz val="14"/>
        <rFont val="宋体"/>
        <charset val="134"/>
      </rPr>
      <t>高度</t>
    </r>
    <r>
      <rPr>
        <sz val="14"/>
        <rFont val="Arial"/>
        <charset val="134"/>
      </rPr>
      <t>(m)</t>
    </r>
  </si>
  <si>
    <r>
      <rPr>
        <sz val="14"/>
        <rFont val="宋体"/>
        <charset val="134"/>
      </rPr>
      <t>冠幅</t>
    </r>
    <r>
      <rPr>
        <sz val="14"/>
        <rFont val="Arial"/>
        <charset val="134"/>
      </rPr>
      <t>(m)</t>
    </r>
  </si>
  <si>
    <r>
      <rPr>
        <sz val="14"/>
        <rFont val="宋体"/>
        <charset val="134"/>
      </rPr>
      <t>枝下高</t>
    </r>
    <r>
      <rPr>
        <sz val="14"/>
        <rFont val="Arial"/>
        <charset val="134"/>
      </rPr>
      <t>(m)</t>
    </r>
  </si>
  <si>
    <t>一、特大乔木</t>
  </si>
  <si>
    <t>丛生朴树</t>
  </si>
  <si>
    <t>株</t>
  </si>
  <si>
    <t>— —</t>
  </si>
  <si>
    <t>9.0-10.0</t>
  </si>
  <si>
    <t>5.0-5.5</t>
  </si>
  <si>
    <r>
      <rPr>
        <sz val="14"/>
        <rFont val="宋体"/>
        <charset val="134"/>
      </rPr>
      <t>点景树，假植全冠苗，主分枝</t>
    </r>
    <r>
      <rPr>
        <sz val="14"/>
        <rFont val="Arial"/>
        <charset val="134"/>
      </rPr>
      <t>3</t>
    </r>
    <r>
      <rPr>
        <sz val="14"/>
        <rFont val="宋体"/>
        <charset val="134"/>
      </rPr>
      <t>分枝以上，胸径</t>
    </r>
    <r>
      <rPr>
        <sz val="14"/>
        <rFont val="Arial"/>
        <charset val="134"/>
      </rPr>
      <t>15cm</t>
    </r>
    <r>
      <rPr>
        <sz val="14"/>
        <rFont val="宋体"/>
        <charset val="134"/>
      </rPr>
      <t>以上</t>
    </r>
    <r>
      <rPr>
        <sz val="14"/>
        <rFont val="Arial"/>
        <charset val="134"/>
      </rPr>
      <t>/</t>
    </r>
    <r>
      <rPr>
        <sz val="14"/>
        <rFont val="宋体"/>
        <charset val="134"/>
      </rPr>
      <t>枝，侧枝多，树冠饱满，形态优美。</t>
    </r>
  </si>
  <si>
    <t>丛生五角枫</t>
  </si>
  <si>
    <t>4.5-5.0</t>
  </si>
  <si>
    <r>
      <rPr>
        <sz val="14"/>
        <rFont val="宋体"/>
        <charset val="134"/>
      </rPr>
      <t>色叶树，假植全冠苗，主分枝</t>
    </r>
    <r>
      <rPr>
        <sz val="14"/>
        <rFont val="Arial"/>
        <charset val="134"/>
      </rPr>
      <t>5</t>
    </r>
    <r>
      <rPr>
        <sz val="14"/>
        <rFont val="宋体"/>
        <charset val="134"/>
      </rPr>
      <t>分枝以上，</t>
    </r>
    <r>
      <rPr>
        <sz val="14"/>
        <rFont val="Arial"/>
        <charset val="134"/>
      </rPr>
      <t>%%C10cm</t>
    </r>
    <r>
      <rPr>
        <sz val="14"/>
        <rFont val="宋体"/>
        <charset val="134"/>
      </rPr>
      <t>以上</t>
    </r>
    <r>
      <rPr>
        <sz val="14"/>
        <rFont val="Arial"/>
        <charset val="134"/>
      </rPr>
      <t>/</t>
    </r>
    <r>
      <rPr>
        <sz val="14"/>
        <rFont val="宋体"/>
        <charset val="134"/>
      </rPr>
      <t>枝，侧枝多，树冠饱满，形态优美。</t>
    </r>
  </si>
  <si>
    <t>银杏</t>
  </si>
  <si>
    <t>4.0-4.5</t>
  </si>
  <si>
    <t>2.5-3</t>
  </si>
  <si>
    <t>点景树，形态高度统一，假植全冠苗，三级以上分枝，独杆台式枝，分层明显，树冠饱满，形态优美。</t>
  </si>
  <si>
    <t>小计</t>
  </si>
  <si>
    <t>二、大乔木 、中乔木</t>
  </si>
  <si>
    <t>国槐A</t>
  </si>
  <si>
    <t>23-25</t>
  </si>
  <si>
    <t>8.0-9.0</t>
  </si>
  <si>
    <t>主景树，假植全冠苗，三级以上分枝，侧枝多，树冠饱满，形态优美。</t>
  </si>
  <si>
    <t>国槐B</t>
  </si>
  <si>
    <t>18-20</t>
  </si>
  <si>
    <t>7.0-8.0</t>
  </si>
  <si>
    <t>3.5-4.0</t>
  </si>
  <si>
    <t>2-2.5</t>
  </si>
  <si>
    <t>栾树</t>
  </si>
  <si>
    <t>20-22</t>
  </si>
  <si>
    <t>7-8</t>
  </si>
  <si>
    <t>4-4.5</t>
  </si>
  <si>
    <t>乌桕</t>
  </si>
  <si>
    <t>16-18</t>
  </si>
  <si>
    <t>6.0-7.0</t>
  </si>
  <si>
    <t>3.0-3.5</t>
  </si>
  <si>
    <t>1.5-2</t>
  </si>
  <si>
    <t xml:space="preserve">三、小乔木、大灌木 </t>
  </si>
  <si>
    <t>北美海棠</t>
  </si>
  <si>
    <t>D12-13</t>
  </si>
  <si>
    <t>2.5-3.0</t>
  </si>
  <si>
    <r>
      <rPr>
        <sz val="14"/>
        <rFont val="宋体"/>
        <charset val="134"/>
      </rPr>
      <t>＜</t>
    </r>
    <r>
      <rPr>
        <sz val="14"/>
        <rFont val="Arial"/>
        <charset val="134"/>
      </rPr>
      <t>0.8</t>
    </r>
  </si>
  <si>
    <t>花树，假植全冠苗，低分枝，三级以上分枝，侧枝多，树冠饱满，形态优美。</t>
  </si>
  <si>
    <t>日本晚樱</t>
  </si>
  <si>
    <t>紫玉兰</t>
  </si>
  <si>
    <t>12-13</t>
  </si>
  <si>
    <r>
      <rPr>
        <sz val="14"/>
        <rFont val="宋体"/>
        <charset val="134"/>
      </rPr>
      <t>＜</t>
    </r>
    <r>
      <rPr>
        <sz val="14"/>
        <rFont val="Arial"/>
        <charset val="134"/>
      </rPr>
      <t>1</t>
    </r>
  </si>
  <si>
    <t>红叶李</t>
  </si>
  <si>
    <t>D7-8</t>
  </si>
  <si>
    <t>2.0-2.5</t>
  </si>
  <si>
    <r>
      <rPr>
        <sz val="14"/>
        <rFont val="宋体"/>
        <charset val="134"/>
      </rPr>
      <t>＜</t>
    </r>
    <r>
      <rPr>
        <sz val="14"/>
        <rFont val="Arial"/>
        <charset val="134"/>
      </rPr>
      <t>0.5</t>
    </r>
  </si>
  <si>
    <t>色叶树，假植全冠苗，三级以上分枝，侧枝多，树冠饱满，形态优美。</t>
  </si>
  <si>
    <t>红梅</t>
  </si>
  <si>
    <t>鸡爪槭</t>
  </si>
  <si>
    <t>D9-10</t>
  </si>
  <si>
    <t>色叶树，假植全冠苗，三级以上分枝，侧枝多，枝叶茂密，树冠成云状层叠交错。</t>
  </si>
  <si>
    <r>
      <rPr>
        <sz val="14"/>
        <rFont val="宋体"/>
        <charset val="134"/>
      </rPr>
      <t>山杏</t>
    </r>
    <r>
      <rPr>
        <sz val="14"/>
        <rFont val="Arial"/>
        <charset val="134"/>
      </rPr>
      <t>A</t>
    </r>
  </si>
  <si>
    <t>D18-20</t>
  </si>
  <si>
    <t>低分支，树形端正，枝叶茂密，假植苗</t>
  </si>
  <si>
    <r>
      <rPr>
        <sz val="14"/>
        <rFont val="宋体"/>
        <charset val="134"/>
      </rPr>
      <t>山杏</t>
    </r>
    <r>
      <rPr>
        <sz val="14"/>
        <rFont val="Arial"/>
        <charset val="134"/>
      </rPr>
      <t>B</t>
    </r>
  </si>
  <si>
    <t>D13-14</t>
  </si>
  <si>
    <r>
      <rPr>
        <sz val="14"/>
        <rFont val="宋体"/>
        <charset val="134"/>
      </rPr>
      <t>山杏</t>
    </r>
    <r>
      <rPr>
        <sz val="14"/>
        <rFont val="Arial"/>
        <charset val="134"/>
      </rPr>
      <t>C</t>
    </r>
  </si>
  <si>
    <t>D8-9</t>
  </si>
  <si>
    <t>山楂</t>
  </si>
  <si>
    <t>10-12</t>
  </si>
  <si>
    <t>3.5-4</t>
  </si>
  <si>
    <t>3-3.5</t>
  </si>
  <si>
    <t>0.8-1.2</t>
  </si>
  <si>
    <t>花石榴</t>
  </si>
  <si>
    <r>
      <rPr>
        <sz val="14"/>
        <rFont val="宋体"/>
        <charset val="134"/>
      </rPr>
      <t>丛生</t>
    </r>
    <r>
      <rPr>
        <sz val="14"/>
        <rFont val="Arial"/>
        <charset val="134"/>
      </rPr>
      <t>,</t>
    </r>
    <r>
      <rPr>
        <sz val="14"/>
        <rFont val="宋体"/>
        <charset val="134"/>
      </rPr>
      <t>姿态佳</t>
    </r>
    <r>
      <rPr>
        <sz val="14"/>
        <rFont val="Arial"/>
        <charset val="134"/>
      </rPr>
      <t>,</t>
    </r>
    <r>
      <rPr>
        <sz val="14"/>
        <rFont val="宋体"/>
        <charset val="134"/>
      </rPr>
      <t>分枝数</t>
    </r>
    <r>
      <rPr>
        <sz val="14"/>
        <rFont val="Arial"/>
        <charset val="134"/>
      </rPr>
      <t>&gt;5</t>
    </r>
  </si>
  <si>
    <t>树状月季</t>
  </si>
  <si>
    <t>1.5-1.8</t>
  </si>
  <si>
    <t>1.0-1.2</t>
  </si>
  <si>
    <t>丛生紫薇</t>
  </si>
  <si>
    <r>
      <rPr>
        <sz val="14"/>
        <rFont val="宋体"/>
        <charset val="134"/>
      </rPr>
      <t>假植苗，全冠，基部平地分枝，</t>
    </r>
    <r>
      <rPr>
        <sz val="14"/>
        <rFont val="Arial"/>
        <charset val="134"/>
      </rPr>
      <t>3</t>
    </r>
    <r>
      <rPr>
        <sz val="14"/>
        <rFont val="宋体"/>
        <charset val="134"/>
      </rPr>
      <t>枝及以上主分枝，树型优美</t>
    </r>
  </si>
  <si>
    <t>红枫</t>
  </si>
  <si>
    <t>枝叶茂密，呈云片式交叠，斜飘，造型优美。</t>
  </si>
  <si>
    <t>大叶女贞</t>
  </si>
  <si>
    <t>5-5.5</t>
  </si>
  <si>
    <t>假植全冠苗，三级以上分枝，枝叶茂密，树冠饱满，形态优美。</t>
  </si>
  <si>
    <t>广玉兰</t>
  </si>
  <si>
    <r>
      <rPr>
        <sz val="14"/>
        <rFont val="宋体"/>
        <charset val="134"/>
      </rPr>
      <t>桂花</t>
    </r>
    <r>
      <rPr>
        <sz val="14"/>
        <rFont val="Arial"/>
        <charset val="134"/>
      </rPr>
      <t>A</t>
    </r>
  </si>
  <si>
    <t>4.5-5</t>
  </si>
  <si>
    <r>
      <rPr>
        <sz val="14"/>
        <rFont val="宋体"/>
        <charset val="134"/>
      </rPr>
      <t>桂花</t>
    </r>
    <r>
      <rPr>
        <sz val="14"/>
        <rFont val="Arial"/>
        <charset val="134"/>
      </rPr>
      <t>B</t>
    </r>
  </si>
  <si>
    <r>
      <rPr>
        <sz val="14"/>
        <rFont val="宋体"/>
        <charset val="134"/>
      </rPr>
      <t>桂花</t>
    </r>
    <r>
      <rPr>
        <sz val="14"/>
        <rFont val="Arial"/>
        <charset val="134"/>
      </rPr>
      <t>C</t>
    </r>
  </si>
  <si>
    <t>椤木石楠</t>
  </si>
  <si>
    <t>点景树，假植全冠苗，低分枝笼状树冠，三级以上分枝，枝叶茂密，树冠饱满，形态优美。</t>
  </si>
  <si>
    <t>原丛生朴树</t>
  </si>
  <si>
    <t>原丛生石楠</t>
  </si>
  <si>
    <t>原丛生红叶李</t>
  </si>
  <si>
    <t>原北美海棠</t>
  </si>
  <si>
    <t>原国槐</t>
  </si>
  <si>
    <t>原大叶女贞</t>
  </si>
  <si>
    <r>
      <rPr>
        <sz val="14"/>
        <rFont val="宋体"/>
        <charset val="134"/>
      </rPr>
      <t>原白蜡</t>
    </r>
    <r>
      <rPr>
        <sz val="14"/>
        <rFont val="Arial"/>
        <charset val="134"/>
      </rPr>
      <t>A</t>
    </r>
  </si>
  <si>
    <r>
      <rPr>
        <sz val="14"/>
        <rFont val="宋体"/>
        <charset val="134"/>
      </rPr>
      <t>原白蜡</t>
    </r>
    <r>
      <rPr>
        <sz val="14"/>
        <rFont val="Arial"/>
        <charset val="134"/>
      </rPr>
      <t>B</t>
    </r>
  </si>
  <si>
    <t>原笼子桂花</t>
  </si>
  <si>
    <t>原红枫</t>
  </si>
  <si>
    <t>原花石榴</t>
  </si>
  <si>
    <t>原造型罗汉松</t>
  </si>
  <si>
    <t>刚竹</t>
  </si>
  <si>
    <t>3-4</t>
  </si>
  <si>
    <t>5.0-6.0</t>
  </si>
  <si>
    <t>自然冠幅</t>
  </si>
  <si>
    <r>
      <rPr>
        <sz val="14"/>
        <rFont val="Arial"/>
        <charset val="134"/>
      </rPr>
      <t>25</t>
    </r>
    <r>
      <rPr>
        <sz val="14"/>
        <rFont val="宋体"/>
        <charset val="134"/>
      </rPr>
      <t>株</t>
    </r>
    <r>
      <rPr>
        <sz val="14"/>
        <rFont val="Arial"/>
        <charset val="134"/>
      </rPr>
      <t>/m2</t>
    </r>
    <r>
      <rPr>
        <sz val="14"/>
        <rFont val="宋体"/>
        <charset val="134"/>
      </rPr>
      <t>，品字形栽植，齐梢</t>
    </r>
  </si>
  <si>
    <t>四、球类、点缀灌木</t>
  </si>
  <si>
    <r>
      <rPr>
        <sz val="14"/>
        <rFont val="宋体"/>
        <charset val="134"/>
      </rPr>
      <t>高度</t>
    </r>
    <r>
      <rPr>
        <sz val="14"/>
        <rFont val="Arial"/>
        <charset val="134"/>
      </rPr>
      <t>(cm)</t>
    </r>
  </si>
  <si>
    <r>
      <rPr>
        <sz val="14"/>
        <rFont val="宋体"/>
        <charset val="134"/>
      </rPr>
      <t>冠幅</t>
    </r>
    <r>
      <rPr>
        <sz val="14"/>
        <rFont val="Arial"/>
        <charset val="134"/>
      </rPr>
      <t>(cm)</t>
    </r>
  </si>
  <si>
    <t>丛生腊梅</t>
  </si>
  <si>
    <t>220-250</t>
  </si>
  <si>
    <t>200-220</t>
  </si>
  <si>
    <r>
      <rPr>
        <sz val="14"/>
        <rFont val="宋体"/>
        <charset val="134"/>
      </rPr>
      <t>自然成型，冠幅饱满，</t>
    </r>
    <r>
      <rPr>
        <sz val="14"/>
        <rFont val="Arial"/>
        <charset val="134"/>
      </rPr>
      <t>8</t>
    </r>
    <r>
      <rPr>
        <sz val="14"/>
        <rFont val="宋体"/>
        <charset val="134"/>
      </rPr>
      <t>分枝以上</t>
    </r>
  </si>
  <si>
    <t>丛生木槿</t>
  </si>
  <si>
    <t>180-200</t>
  </si>
  <si>
    <t>150-180</t>
  </si>
  <si>
    <t>丛生紫荆</t>
  </si>
  <si>
    <t>榆叶梅</t>
  </si>
  <si>
    <t>自然成型，冠幅饱满</t>
  </si>
  <si>
    <r>
      <rPr>
        <sz val="14"/>
        <rFont val="宋体"/>
        <charset val="134"/>
      </rPr>
      <t>大叶黄杨球</t>
    </r>
    <r>
      <rPr>
        <sz val="14"/>
        <rFont val="Arial"/>
        <charset val="134"/>
      </rPr>
      <t>A</t>
    </r>
  </si>
  <si>
    <t>修剪后规格，冠型饱满</t>
  </si>
  <si>
    <r>
      <rPr>
        <sz val="14"/>
        <rFont val="宋体"/>
        <charset val="134"/>
      </rPr>
      <t>大叶黄杨球</t>
    </r>
    <r>
      <rPr>
        <sz val="14"/>
        <rFont val="Arial"/>
        <charset val="134"/>
      </rPr>
      <t>B</t>
    </r>
  </si>
  <si>
    <r>
      <rPr>
        <sz val="14"/>
        <rFont val="宋体"/>
        <charset val="134"/>
      </rPr>
      <t>大叶黄杨球</t>
    </r>
    <r>
      <rPr>
        <sz val="14"/>
        <rFont val="Arial"/>
        <charset val="134"/>
      </rPr>
      <t>C</t>
    </r>
  </si>
  <si>
    <r>
      <rPr>
        <sz val="14"/>
        <rFont val="宋体"/>
        <charset val="134"/>
      </rPr>
      <t>海桐球</t>
    </r>
    <r>
      <rPr>
        <sz val="14"/>
        <rFont val="Arial"/>
        <charset val="134"/>
      </rPr>
      <t>A</t>
    </r>
  </si>
  <si>
    <r>
      <rPr>
        <sz val="14"/>
        <rFont val="宋体"/>
        <charset val="134"/>
      </rPr>
      <t>海桐球</t>
    </r>
    <r>
      <rPr>
        <sz val="14"/>
        <rFont val="Arial"/>
        <charset val="134"/>
      </rPr>
      <t>B</t>
    </r>
  </si>
  <si>
    <r>
      <rPr>
        <sz val="14"/>
        <rFont val="宋体"/>
        <charset val="134"/>
      </rPr>
      <t>海桐球</t>
    </r>
    <r>
      <rPr>
        <sz val="14"/>
        <rFont val="Arial"/>
        <charset val="134"/>
      </rPr>
      <t>C</t>
    </r>
  </si>
  <si>
    <r>
      <rPr>
        <sz val="14"/>
        <rFont val="宋体"/>
        <charset val="134"/>
      </rPr>
      <t>红叶石楠球</t>
    </r>
    <r>
      <rPr>
        <sz val="14"/>
        <rFont val="Arial"/>
        <charset val="134"/>
      </rPr>
      <t>A</t>
    </r>
  </si>
  <si>
    <r>
      <rPr>
        <sz val="14"/>
        <rFont val="宋体"/>
        <charset val="134"/>
      </rPr>
      <t>红叶石楠球</t>
    </r>
    <r>
      <rPr>
        <sz val="14"/>
        <rFont val="Arial"/>
        <charset val="134"/>
      </rPr>
      <t>B</t>
    </r>
  </si>
  <si>
    <t>结香</t>
  </si>
  <si>
    <t>100-120</t>
  </si>
  <si>
    <t>红花继木球</t>
  </si>
  <si>
    <t>金森女贞球</t>
  </si>
  <si>
    <r>
      <rPr>
        <sz val="14"/>
        <rFont val="宋体"/>
        <charset val="134"/>
      </rPr>
      <t>瓜子黄杨球</t>
    </r>
    <r>
      <rPr>
        <sz val="14"/>
        <rFont val="Arial"/>
        <charset val="134"/>
      </rPr>
      <t>A</t>
    </r>
  </si>
  <si>
    <t>瓜子黄杨球B</t>
  </si>
  <si>
    <t>五、小灌木、地被、草坪</t>
  </si>
  <si>
    <t>密度</t>
  </si>
  <si>
    <t>北海道黄杨</t>
  </si>
  <si>
    <r>
      <rPr>
        <sz val="14"/>
        <rFont val="宋体"/>
        <charset val="134"/>
      </rPr>
      <t>修剪后成型高度</t>
    </r>
    <r>
      <rPr>
        <sz val="14"/>
        <rFont val="Arial"/>
        <charset val="134"/>
      </rPr>
      <t>120</t>
    </r>
  </si>
  <si>
    <t>30-35</t>
  </si>
  <si>
    <r>
      <rPr>
        <sz val="14"/>
        <rFont val="Arial"/>
        <charset val="134"/>
      </rPr>
      <t>15</t>
    </r>
    <r>
      <rPr>
        <sz val="14"/>
        <rFont val="宋体"/>
        <charset val="134"/>
      </rPr>
      <t>株</t>
    </r>
    <r>
      <rPr>
        <sz val="14"/>
        <rFont val="Arial"/>
        <charset val="134"/>
      </rPr>
      <t>/m</t>
    </r>
  </si>
  <si>
    <r>
      <rPr>
        <sz val="14"/>
        <rFont val="宋体"/>
        <charset val="134"/>
      </rPr>
      <t>袋苗，植株饱满，不脱脚，种植后不露土</t>
    </r>
    <r>
      <rPr>
        <sz val="14"/>
        <rFont val="Arial"/>
        <charset val="134"/>
      </rPr>
      <t>,</t>
    </r>
    <r>
      <rPr>
        <sz val="14"/>
        <rFont val="宋体"/>
        <charset val="134"/>
      </rPr>
      <t>修剪整型</t>
    </r>
  </si>
  <si>
    <t>八角金盘</t>
  </si>
  <si>
    <t>m²</t>
  </si>
  <si>
    <t>55-60</t>
  </si>
  <si>
    <t>35-40</t>
  </si>
  <si>
    <r>
      <rPr>
        <sz val="14"/>
        <rFont val="Arial"/>
        <charset val="134"/>
      </rPr>
      <t>25</t>
    </r>
    <r>
      <rPr>
        <sz val="14"/>
        <rFont val="宋体"/>
        <charset val="134"/>
      </rPr>
      <t>株</t>
    </r>
    <r>
      <rPr>
        <sz val="14"/>
        <rFont val="Arial"/>
        <charset val="134"/>
      </rPr>
      <t>/m2</t>
    </r>
  </si>
  <si>
    <t>袋苗，植株饱满，种植后不露土</t>
  </si>
  <si>
    <t>海桐</t>
  </si>
  <si>
    <t>50-60</t>
  </si>
  <si>
    <t>30-40</t>
  </si>
  <si>
    <r>
      <rPr>
        <sz val="14"/>
        <rFont val="Arial"/>
        <charset val="134"/>
      </rPr>
      <t>36</t>
    </r>
    <r>
      <rPr>
        <sz val="14"/>
        <rFont val="宋体"/>
        <charset val="134"/>
      </rPr>
      <t>株</t>
    </r>
    <r>
      <rPr>
        <sz val="14"/>
        <rFont val="Arial"/>
        <charset val="134"/>
      </rPr>
      <t>/m2</t>
    </r>
  </si>
  <si>
    <r>
      <rPr>
        <sz val="14"/>
        <rFont val="宋体"/>
        <charset val="134"/>
      </rPr>
      <t>栽植密度</t>
    </r>
    <r>
      <rPr>
        <sz val="14"/>
        <rFont val="Arial"/>
        <charset val="134"/>
      </rPr>
      <t>36</t>
    </r>
    <r>
      <rPr>
        <sz val="14"/>
        <rFont val="宋体"/>
        <charset val="134"/>
      </rPr>
      <t>株</t>
    </r>
    <r>
      <rPr>
        <sz val="14"/>
        <rFont val="Arial"/>
        <charset val="134"/>
      </rPr>
      <t>/m2</t>
    </r>
    <r>
      <rPr>
        <sz val="14"/>
        <rFont val="宋体"/>
        <charset val="134"/>
      </rPr>
      <t>，以不露土为原则，修剪整型，不留缝</t>
    </r>
  </si>
  <si>
    <t>洒金珊瑚</t>
  </si>
  <si>
    <t>40-50</t>
  </si>
  <si>
    <t>25-30</t>
  </si>
  <si>
    <r>
      <rPr>
        <sz val="14"/>
        <rFont val="Arial"/>
        <charset val="134"/>
      </rPr>
      <t>49</t>
    </r>
    <r>
      <rPr>
        <sz val="14"/>
        <rFont val="宋体"/>
        <charset val="134"/>
      </rPr>
      <t>株</t>
    </r>
    <r>
      <rPr>
        <sz val="14"/>
        <rFont val="Arial"/>
        <charset val="134"/>
      </rPr>
      <t>/m2</t>
    </r>
  </si>
  <si>
    <r>
      <rPr>
        <sz val="14"/>
        <rFont val="宋体"/>
        <charset val="134"/>
      </rPr>
      <t>栽植密度</t>
    </r>
    <r>
      <rPr>
        <sz val="14"/>
        <rFont val="Arial"/>
        <charset val="134"/>
      </rPr>
      <t>49</t>
    </r>
    <r>
      <rPr>
        <sz val="14"/>
        <rFont val="宋体"/>
        <charset val="134"/>
      </rPr>
      <t>株</t>
    </r>
    <r>
      <rPr>
        <sz val="14"/>
        <rFont val="Arial"/>
        <charset val="134"/>
      </rPr>
      <t>/m2</t>
    </r>
    <r>
      <rPr>
        <sz val="14"/>
        <rFont val="宋体"/>
        <charset val="134"/>
      </rPr>
      <t>，以不露土为原则，修剪整型，不留缝</t>
    </r>
  </si>
  <si>
    <t>大叶黄杨</t>
  </si>
  <si>
    <t>红叶石楠</t>
  </si>
  <si>
    <t>20-25</t>
  </si>
  <si>
    <t>金边黄杨</t>
  </si>
  <si>
    <t>瓜子黄杨</t>
  </si>
  <si>
    <t>20-30</t>
  </si>
  <si>
    <r>
      <rPr>
        <sz val="14"/>
        <rFont val="Arial"/>
        <charset val="134"/>
      </rPr>
      <t>64</t>
    </r>
    <r>
      <rPr>
        <sz val="14"/>
        <rFont val="宋体"/>
        <charset val="134"/>
      </rPr>
      <t>株</t>
    </r>
    <r>
      <rPr>
        <sz val="14"/>
        <rFont val="Arial"/>
        <charset val="134"/>
      </rPr>
      <t>/m2</t>
    </r>
  </si>
  <si>
    <r>
      <rPr>
        <sz val="14"/>
        <rFont val="宋体"/>
        <charset val="134"/>
      </rPr>
      <t>栽植密度</t>
    </r>
    <r>
      <rPr>
        <sz val="14"/>
        <rFont val="Arial"/>
        <charset val="134"/>
      </rPr>
      <t>64</t>
    </r>
    <r>
      <rPr>
        <sz val="14"/>
        <rFont val="宋体"/>
        <charset val="134"/>
      </rPr>
      <t>株</t>
    </r>
    <r>
      <rPr>
        <sz val="14"/>
        <rFont val="Arial"/>
        <charset val="134"/>
      </rPr>
      <t>/m2</t>
    </r>
    <r>
      <rPr>
        <sz val="14"/>
        <rFont val="宋体"/>
        <charset val="134"/>
      </rPr>
      <t>，小笼子货，以不露土为原则，修剪整型，不留缝</t>
    </r>
  </si>
  <si>
    <t>金森女贞</t>
  </si>
  <si>
    <t>毛鹃</t>
  </si>
  <si>
    <t>红花继木</t>
  </si>
  <si>
    <t>佛甲草</t>
  </si>
  <si>
    <t>10-15</t>
  </si>
  <si>
    <t>满铺</t>
  </si>
  <si>
    <t>盆苗，满铺，以不露土为原则</t>
  </si>
  <si>
    <t>兰花三七</t>
  </si>
  <si>
    <t>10-20</t>
  </si>
  <si>
    <t>——</t>
  </si>
  <si>
    <t>依照现场具体边界范围定量，以不露土为原则</t>
  </si>
  <si>
    <t>金边麦冬</t>
  </si>
  <si>
    <t>草坪（混播草）</t>
  </si>
  <si>
    <r>
      <rPr>
        <sz val="14"/>
        <rFont val="宋体"/>
        <charset val="134"/>
      </rPr>
      <t>草皮卷铺设，以不露土为原则，早熟禾：高羊茅：黑麦草</t>
    </r>
    <r>
      <rPr>
        <sz val="14"/>
        <rFont val="Arial"/>
        <charset val="134"/>
      </rPr>
      <t>=7:2:1</t>
    </r>
  </si>
  <si>
    <t>私家花园假草坪</t>
  </si>
  <si>
    <t>假草坪，满铺，不漏土</t>
  </si>
  <si>
    <t>凌霄</t>
  </si>
  <si>
    <t>藤条长度150-200</t>
  </si>
  <si>
    <r>
      <rPr>
        <sz val="14"/>
        <rFont val="Arial"/>
        <charset val="134"/>
      </rPr>
      <t>1</t>
    </r>
    <r>
      <rPr>
        <sz val="14"/>
        <rFont val="宋体"/>
        <charset val="134"/>
      </rPr>
      <t>株</t>
    </r>
    <r>
      <rPr>
        <sz val="14"/>
        <rFont val="Arial"/>
        <charset val="134"/>
      </rPr>
      <t>/m</t>
    </r>
  </si>
  <si>
    <r>
      <rPr>
        <sz val="14"/>
        <rFont val="宋体"/>
        <charset val="134"/>
      </rPr>
      <t>围墙周围</t>
    </r>
    <r>
      <rPr>
        <sz val="14"/>
        <rFont val="Arial"/>
        <charset val="134"/>
      </rPr>
      <t>1</t>
    </r>
    <r>
      <rPr>
        <sz val="14"/>
        <rFont val="宋体"/>
        <charset val="134"/>
      </rPr>
      <t>株</t>
    </r>
    <r>
      <rPr>
        <sz val="14"/>
        <rFont val="Arial"/>
        <charset val="134"/>
      </rPr>
      <t>/m</t>
    </r>
  </si>
  <si>
    <t>六、整理微地形</t>
  </si>
  <si>
    <t>整理微地形</t>
  </si>
  <si>
    <t>㎡</t>
  </si>
  <si>
    <t>（一）~（六）项合计（元）</t>
  </si>
  <si>
    <r>
      <rPr>
        <sz val="14"/>
        <rFont val="宋体"/>
        <charset val="134"/>
      </rPr>
      <t>备注：</t>
    </r>
    <r>
      <rPr>
        <sz val="14"/>
        <rFont val="Arial"/>
        <charset val="134"/>
      </rPr>
      <t>1.</t>
    </r>
    <r>
      <rPr>
        <sz val="14"/>
        <rFont val="宋体"/>
        <charset val="134"/>
      </rPr>
      <t>综合单价应包括人工费、材料费、机械费、管理费、利润、税金、风险等所发生的和可能发生的一切费用，此综合单价一次性包干，是固定不变的,不因任何市场因素及政策性调整而变动。
       综合单价已包括苗木的移栽、种植、养护（两年养护期）、保活等所有一切费用在内，该综合单价固定不变，不因任何因素的调整而变化。</t>
    </r>
    <r>
      <rPr>
        <sz val="14"/>
        <rFont val="Arial"/>
        <charset val="134"/>
      </rPr>
      <t xml:space="preserve">
     2.</t>
    </r>
    <r>
      <rPr>
        <sz val="14"/>
        <rFont val="宋体"/>
        <charset val="134"/>
      </rPr>
      <t>本工程清单，无论是否存在缺项、漏项、工程量偏差，均视为乙方已综合考虑在固定合同总价内。</t>
    </r>
  </si>
  <si>
    <t>宜阳山水文苑项目景观绿化工程量清单与计价表（备选苗木及井盖类）</t>
  </si>
  <si>
    <t>胸（地）径(cm)</t>
  </si>
  <si>
    <t>高度(m)</t>
  </si>
  <si>
    <t>冠幅(m)</t>
  </si>
  <si>
    <t>枝下高(m)</t>
  </si>
  <si>
    <t>一、乔木、花灌木</t>
  </si>
  <si>
    <t>丛生朴树B</t>
  </si>
  <si>
    <t>点景树，假植全冠苗，主分枝5分枝以上，%%C15cm以上/枝，侧枝多，树冠饱满，形态优美。</t>
  </si>
  <si>
    <t>丛生五角枫B</t>
  </si>
  <si>
    <t>6.5-7.5</t>
  </si>
  <si>
    <t>6-8分枝以上，至少5分枝每分枝干径6以上，树冠丰满，树形挺拔</t>
  </si>
  <si>
    <t>朴树</t>
  </si>
  <si>
    <t>25-27</t>
  </si>
  <si>
    <t>榉树</t>
  </si>
  <si>
    <t>15-16</t>
  </si>
  <si>
    <t>1.5-2.0</t>
  </si>
  <si>
    <t>山杏A</t>
  </si>
  <si>
    <t>D20-22</t>
  </si>
  <si>
    <t>＜0.5</t>
  </si>
  <si>
    <t>花树，假植全冠苗，三级以上分枝，侧枝多，树冠饱满，形态优美。</t>
  </si>
  <si>
    <t>山杏B</t>
  </si>
  <si>
    <t>D15-16</t>
  </si>
  <si>
    <t>山杏C</t>
  </si>
  <si>
    <t>D10-11</t>
  </si>
  <si>
    <t>八棱海棠</t>
  </si>
  <si>
    <r>
      <rPr>
        <sz val="10"/>
        <color rgb="FFFF0000"/>
        <rFont val="宋体"/>
        <charset val="134"/>
      </rPr>
      <t>＜</t>
    </r>
    <r>
      <rPr>
        <sz val="10"/>
        <color rgb="FFFF0000"/>
        <rFont val="Arial"/>
        <charset val="134"/>
      </rPr>
      <t>0.5</t>
    </r>
  </si>
  <si>
    <t>垂丝海棠</t>
  </si>
  <si>
    <t>＜0.8</t>
  </si>
  <si>
    <t>日本晚樱A</t>
  </si>
  <si>
    <t>D15</t>
  </si>
  <si>
    <t>日本晚樱B</t>
  </si>
  <si>
    <t>D10</t>
  </si>
  <si>
    <t>白玉兰</t>
  </si>
  <si>
    <t>＜1.0</t>
  </si>
  <si>
    <t>果石榴</t>
  </si>
  <si>
    <t>主枝4分枝以上，侧枝多，冠幅饱满，树型优美。</t>
  </si>
  <si>
    <t>全冠，基部平地分枝，10枝以上分枝，树型优美</t>
  </si>
  <si>
    <t>1.8-2.5</t>
  </si>
  <si>
    <t>红叶石楠树A</t>
  </si>
  <si>
    <t>红叶石楠树B</t>
  </si>
  <si>
    <t>红叶石楠树C</t>
  </si>
  <si>
    <t>丛生大叶女贞球</t>
  </si>
  <si>
    <t>丛生、球形饱满、树形优美</t>
  </si>
  <si>
    <t>苏铁</t>
  </si>
  <si>
    <t>150-160</t>
  </si>
  <si>
    <t>植株饱满，姿态优美，点缀使用</t>
  </si>
  <si>
    <t>二、球类、地被类</t>
  </si>
  <si>
    <t>高度(cm)</t>
  </si>
  <si>
    <t>冠幅(cm)</t>
  </si>
  <si>
    <t>金禾女贞球</t>
  </si>
  <si>
    <t>不脱脚，修剪后规格，冠型饱满</t>
  </si>
  <si>
    <t>丁香球</t>
  </si>
  <si>
    <t>不脱脚，冠型饱满</t>
  </si>
  <si>
    <t>爬藤蔷薇</t>
  </si>
  <si>
    <t>L100+</t>
  </si>
  <si>
    <t>两年生以上，四分枝以上</t>
  </si>
  <si>
    <t>美人蕉</t>
  </si>
  <si>
    <t>H60-70</t>
  </si>
  <si>
    <t>P25-35</t>
  </si>
  <si>
    <t>25株/M²，植株饱满，姿态优美，点缀使用</t>
  </si>
  <si>
    <t>麦冬</t>
  </si>
  <si>
    <t>H20-25</t>
  </si>
  <si>
    <t>P15-20</t>
  </si>
  <si>
    <t>49株/M²，不脱脚</t>
  </si>
  <si>
    <t>丰花月季</t>
  </si>
  <si>
    <t>H50-60</t>
  </si>
  <si>
    <t>红瑞木</t>
  </si>
  <si>
    <t>H100-120</t>
  </si>
  <si>
    <t>P60-85</t>
  </si>
  <si>
    <t>9丛/平方米，5枝以上/丛</t>
  </si>
  <si>
    <t>四季草花</t>
  </si>
  <si>
    <t>长势旺盛，满铺不露土，根据草花大小150-200盆/平方</t>
  </si>
  <si>
    <t>三、井盖</t>
  </si>
  <si>
    <t>不锈钢井盖</t>
  </si>
  <si>
    <t>600*600，含安装</t>
  </si>
  <si>
    <t>仅包含主材费</t>
  </si>
  <si>
    <t>800*800，含安装</t>
  </si>
  <si>
    <t>铸铁井盖</t>
  </si>
  <si>
    <t>直径700（轻型），含安装</t>
  </si>
  <si>
    <t>直径700（重型），含安装</t>
  </si>
  <si>
    <t>树穴美化</t>
  </si>
  <si>
    <t>提供杉木杆围圈，砾石树穴美化方案</t>
  </si>
  <si>
    <r>
      <rPr>
        <sz val="10"/>
        <rFont val="宋体"/>
        <charset val="134"/>
      </rPr>
      <t>备注：</t>
    </r>
    <r>
      <rPr>
        <sz val="10"/>
        <rFont val="Arial"/>
        <charset val="134"/>
      </rPr>
      <t>1.</t>
    </r>
    <r>
      <rPr>
        <sz val="10"/>
        <rFont val="宋体"/>
        <charset val="134"/>
      </rPr>
      <t>综合单价包括且不限于人工、材料、机械、措施、检验检测、规费、管理费、利润、税金</t>
    </r>
    <r>
      <rPr>
        <sz val="10"/>
        <rFont val="Arial"/>
        <charset val="134"/>
      </rPr>
      <t>(</t>
    </r>
    <r>
      <rPr>
        <sz val="10"/>
        <rFont val="宋体"/>
        <charset val="134"/>
      </rPr>
      <t>增值税专用发票</t>
    </r>
    <r>
      <rPr>
        <sz val="10"/>
        <rFont val="Arial"/>
        <charset val="134"/>
      </rPr>
      <t>)</t>
    </r>
    <r>
      <rPr>
        <sz val="10"/>
        <rFont val="宋体"/>
        <charset val="134"/>
      </rPr>
      <t>、赶工措施、安全防护、现场文明施工措施、风险等全部费用。
        综合单价已包括苗木的移栽、种植、养护（两年养护期）、保活等所有一切费用在内，该综合单价固定不变，不因任何因素的调整而变化。</t>
    </r>
    <r>
      <rPr>
        <sz val="10"/>
        <rFont val="Arial"/>
        <charset val="134"/>
      </rPr>
      <t xml:space="preserve">
     2.</t>
    </r>
    <r>
      <rPr>
        <sz val="10"/>
        <rFont val="宋体"/>
        <charset val="134"/>
      </rPr>
      <t>本工程清单，无论是否存在缺项、漏项、工程量偏差，均视为乙方已综合考虑在固定合同总价内。</t>
    </r>
  </si>
  <si>
    <t>宜阳山水文苑项目景观电气清单与计价表</t>
  </si>
  <si>
    <t>景观电气</t>
  </si>
  <si>
    <t>配电箱</t>
  </si>
  <si>
    <t xml:space="preserve">1、名称:室外防水型配电箱AL
2、安装方式:落地安装
3、含预埋、接地、端子接线等
4、未详尽处满足图纸设计、相关规范要求                       </t>
  </si>
  <si>
    <t>台</t>
  </si>
  <si>
    <t>套管</t>
  </si>
  <si>
    <t>1、名称:过路钢套管
2、规格：DN50
3、未详尽处满足图纸设计、相关规范要求</t>
  </si>
  <si>
    <t>1、名称:过路钢套管
2、规格：DN40
3、未详尽处满足图纸设计、相关规范要求</t>
  </si>
  <si>
    <t>配管</t>
  </si>
  <si>
    <t>1、名称：穿线管
2、规格：PE65
3、敷设方式:埋地敷设
4、未详尽处满足图纸设计、相关规范要求</t>
  </si>
  <si>
    <t>联塑</t>
  </si>
  <si>
    <t>1、名称：穿线管
2、规格：PE40
3、敷设方式:埋地敷设
4、未详尽处满足图纸设计、相关规范要求</t>
  </si>
  <si>
    <t>1、名称：穿线管
2、规格：PE32
3、敷设方式:埋地敷设
4、未详尽处满足图纸设计、相关规范要求</t>
  </si>
  <si>
    <t>1、名称：穿线管
2、规格：PE25
3、敷设方式:埋地敷设
4、未详尽处满足图纸设计、相关规范要求</t>
  </si>
  <si>
    <t>1、名称：穿线管
2、规格：PC20
3、敷设方式:沿墙沿顶暗敷
4、未详尽处满足图纸设计、相关规范要求</t>
  </si>
  <si>
    <t>电缆</t>
  </si>
  <si>
    <t>1、名称：电缆
2、规格：YJV-5X16
3、敷设方式:穿管埋地敷设
4、电缆头制安及相关试验等
5、未详尽处满足图纸设计、相关规范要求</t>
  </si>
  <si>
    <t>郑三</t>
  </si>
  <si>
    <t>1、名称：电缆
2、规格：YJV-3*10
3、敷设方式:穿管埋地敷设
4、电缆头制安及相关试验等
5、未详尽处满足图纸设计、相关规范要求</t>
  </si>
  <si>
    <t>1、名称：电缆
2、规格：YJV-3*6
3、敷设方式:穿管埋地敷设
4、电缆头制安及相关试验等
5、未详尽处满足图纸设计、相关规范要求</t>
  </si>
  <si>
    <t>1、名称：电缆
2、规格：YJV-3*4
3、敷设方式:穿管埋地敷设
4、电缆头制安及相关试验等
5、未详尽处满足图纸设计、相关规范要求</t>
  </si>
  <si>
    <t>1、名称：水泵电缆
2、规格：JHS-4X6
3、敷设方式:穿管埋地敷设
4、电缆头制安及相关试验等
5、未详尽处满足图纸设计、相关规范要求</t>
  </si>
  <si>
    <t>1、名称：水泵电缆
2、规格：JHS-2*4
3、敷设方式:穿管埋地敷设
4、电缆头制安及相关试验等
5、未详尽处满足图纸设计、相关规范要求</t>
  </si>
  <si>
    <t>电线</t>
  </si>
  <si>
    <t>1、名称：电线
2、规格：BV-4
3、敷设方式:穿管敷设
4、电缆头制安及相关试验等
5、未详尽处满足图纸设计、相关规范要求</t>
  </si>
  <si>
    <t>庭院灯</t>
  </si>
  <si>
    <t>1、名称:M1庭院灯
2、规格：70w LED 220V 3000K IP65 H=3500mm
3、含灯具基础、预埋基础螺栓、接地、调试等
4、详见景观详图
5、未详尽处满足图纸设计、相关规范要求</t>
  </si>
  <si>
    <t>欧普</t>
  </si>
  <si>
    <t>草坪灯</t>
  </si>
  <si>
    <t>1、名称:M2草坪灯
2、规格：15w LED 220V 3000K IP65 H=600mm
3、含灯具基础、预埋基础螺栓、接地、调试等
4、详见景观详图
5、未详尽处满足图纸设计、相关规范要求</t>
  </si>
  <si>
    <t>景观灯一</t>
  </si>
  <si>
    <t>1、名称:M3景观灯一
2、规格：15w LED 220V 3000K IP65 
3、详见景观详图
4、未详尽处满足图纸设计、相关规范要求</t>
  </si>
  <si>
    <t>景观灯二</t>
  </si>
  <si>
    <t>1、名称:M4景观灯二
2、规格：15w LED 220V 3000K IP65 
3、详见景观详图
4、未详尽处满足图纸设计、相关规范要求</t>
  </si>
  <si>
    <t>廊架壁灯</t>
  </si>
  <si>
    <t>1、名称:B1廊架壁灯
2、规格：15w LED 220V 3000K IP65
3、廊架柱侧壁固定安装
4、详见景观详图
5、未详尽处满足图纸设计、相关规范要求</t>
  </si>
  <si>
    <t>嵌墙灯</t>
  </si>
  <si>
    <t>1、名称:B2嵌墙灯
2、规格：30w LED 220V 3000K IP65
3、嵌墙安装
4、详见景观详图
5、未详尽处满足图纸设计、相关规范要求</t>
  </si>
  <si>
    <t>廊架筒灯</t>
  </si>
  <si>
    <t>1、名称:B4廊架筒灯
2、规格：12w LED 220V 3000K IP65
3、廊架天花嵌入安装
4、详见景观详图
5、未详尽处满足图纸设计、相关规范要求</t>
  </si>
  <si>
    <t>树投灯</t>
  </si>
  <si>
    <t>1、名称:T1树投灯
2、规格：9w LED 220V 3000K IP67
3、埋地安装
4、详见景观详图
5、未详尽处满足图纸设计、相关规范要求</t>
  </si>
  <si>
    <t>插泥灯</t>
  </si>
  <si>
    <t>1、名称:T2插泥灯
2、规格：12w LED 220V 3000K IP65
3、插泥安装
4、详见景观详图
5、未详尽处满足图纸设计、相关规范要求</t>
  </si>
  <si>
    <t>LED小射灯</t>
  </si>
  <si>
    <t>1、名称:E1LED小射灯
2、规格：3w LED 12V 3000K IP68
3、埋地安装
4、详见景观详图
5、未详尽处满足图纸设计、相关规范要求</t>
  </si>
  <si>
    <t>LED埋地灯</t>
  </si>
  <si>
    <t>1、名称:E2LED埋地灯
2、规格：6w LED 12V 3000K IP68
3、埋地安装
4、详见景观详图
5、未详尽处满足图纸设计、相关规范要求</t>
  </si>
  <si>
    <t>环形水下灯</t>
  </si>
  <si>
    <t>1、名称:S3环形水下灯
2、规格：9w LED 12V 3000K IP68
3、涌泉套装绑定安装
4、详见景观详图
5、未详尽处满足图纸设计、相关规范要求</t>
  </si>
  <si>
    <t>LED软灯带</t>
  </si>
  <si>
    <t>1、名称:LED软灯带
2、规格：6w/1米 LED 12V 3000K IP68
3、灯槽预留安装
4、详见景观详图
5、未详尽处满足图纸设计、相关规范要求</t>
  </si>
  <si>
    <t>铝槽灯带</t>
  </si>
  <si>
    <t>1、名称:格栅缝隙嵌装铝槽灯
2、规格：LED软灯带配成品铝槽
3、主入口大门吊顶处安装
4、详见景观详图
5、未详尽处满足图纸设计、相关规范要求</t>
  </si>
  <si>
    <t>门廊壁灯</t>
  </si>
  <si>
    <t>1、名称:门廊壁灯
2、规格：30w LED 220V 3000K
3、主入口大门处安装
4、详见景观详图
5、未详尽处满足图纸设计、相关规范要求</t>
  </si>
  <si>
    <t>低压灯变压器</t>
  </si>
  <si>
    <t>1、名称:S5低压灯变压器
2、型号：300VA
3、埋地安装
4、详见景观详图
5、未详尽处满足图纸设计、相关规范要求</t>
  </si>
  <si>
    <t>接线井</t>
  </si>
  <si>
    <t>1、名称:手孔井
2、规格：500*500*500
3、具体做法参照图集08D800-7，直通和转角式P62
4、未详尽处满足图纸设计、相关规范要求</t>
  </si>
  <si>
    <t>座</t>
  </si>
  <si>
    <t>1、名称:土方的开挖
2、含穿线管、配电箱基础、灯具基础、手孔井及变压器井土方</t>
  </si>
  <si>
    <t>回填方</t>
  </si>
  <si>
    <t>1、名称:土方的回填
2、含穿线管、配电箱基础、灯具基础、手孔井及变压器井土方</t>
  </si>
  <si>
    <t>合计（元）</t>
  </si>
  <si>
    <t>注：1.综合单价中包含：人工费、材料费、机械费、措施费、安全文明施工费、扬尘治理增加费、疫情增加费、规费、管理费、利润、税金(增值税专用发票)、风险、调试、材料检测检验费等一切与之相关全部费用。
    2.若投标人对清单存在疑问，请在招标文件约定的期限内提出，经招标人确认后补发或修改此项清单。若无异议，本次清单无论是否存在缺项、漏项、工程量偏差，均视为乙方已综合考虑在固定合同总价内。</t>
  </si>
  <si>
    <t>宜阳山水文苑项目景观给排水清单与计价</t>
  </si>
  <si>
    <t>灌溉给水</t>
  </si>
  <si>
    <t>给水管</t>
  </si>
  <si>
    <t>1、名称：PE给水管
2、规格：De110
3、连接方式：热熔连接
4、压力等级:1.25Mpa
5、压力试验及吹、洗设计要求:
  满足规范及设计要求
6、未详尽处满足图纸设计、相关规范要求</t>
  </si>
  <si>
    <t>1、名称：PE给水管
2、规格：De90
3、连接方式：热熔连接
4、压力等级:1.25Mpa
5、压力试验及吹、洗设计要求:
  满足规范及设计要求
6、未详尽处满足图纸设计、相关规范要求</t>
  </si>
  <si>
    <t>1、名称：PE给水管
2、规格：De75
3、连接方式：热熔连接
4、压力等级:1.25Mpa
5、压力试验及吹、洗设计要求:
  满足规范及设计要求
6、未详尽处满足图纸设计、相关规范要求</t>
  </si>
  <si>
    <t>1、名称：PE给水管
2、规格：De63
3、连接方式：热熔连接
4、压力等级:1.25Mpa
5、压力试验及吹、洗设计要求:
  满足规范及设计要求
6、未详尽处满足图纸设计、相关规范要求</t>
  </si>
  <si>
    <t>1、名称：PE给水管
2、规格：De50
3、连接方式：热熔连接
4、压力等级:1.25Mpa
5、压力试验及吹、洗设计要求:
  满足规范及设计要求
6、未详尽处满足图纸设计、相关规范要求</t>
  </si>
  <si>
    <t>1、名称：PE给水管
2、规格：De40
3、连接方式：热熔连接
4、压力等级:1.25Mpa
5、压力试验及吹、洗设计要求:
  满足规范及设计要求
6、未详尽处满足图纸设计、相关规范要求</t>
  </si>
  <si>
    <t>1、名称：PE给水管
2、规格：De32
3、连接方式：热熔连接
4、压力等级:1.25Mpa
5、压力试验及吹、洗设计要求:
  满足规范及设计要求
6、未详尽处满足图纸设计、相关规范要求</t>
  </si>
  <si>
    <t>1、名称：PE给水管
2、规格：De25
3、连接方式：热熔连接
4、压力等级:1.25Mpa
5、压力试验及吹、洗设计要求:
  满足规范及设计要求
6、未详尽处满足图纸设计、相关规范要求</t>
  </si>
  <si>
    <t>取水阀</t>
  </si>
  <si>
    <t>1、快速取水阀
2、详见取水阀节点大样图
3、含快速取水阀、绿色塑料阀门箱、铰接管等附件
4、未详尽处满足图纸设计、相关规范要求</t>
  </si>
  <si>
    <t>砌筑井</t>
  </si>
  <si>
    <t>1、景观水表井
2、详见图集05S502-43
3、附件：水表及附件另计，井盖与井圈等满足规范及图纸要求
4、未详尽处满足图纸设计、相关规范要求</t>
  </si>
  <si>
    <t>1、检修阀门井
2、详细做法见图纸设计
3、附件：阀门及附件另计，井盖与井圈等满足规范及图纸要求
4、未详尽处满足图纸设计、相关规范要求</t>
  </si>
  <si>
    <t>1、泄水阀门井
2、详见图集05S502页16
3、附件：阀门及附件另计，井盖与井圈等满足规范及图纸要求
4、未详尽处满足图纸设计、相关规范要求</t>
  </si>
  <si>
    <t>1、VB910成品阀门井
2、附件：阀门及附件另计，井盖与井圈等满足规范及图纸要求
3、未详尽处满足图纸设计、相关规范要求</t>
  </si>
  <si>
    <t>水表</t>
  </si>
  <si>
    <t>1、名称：水表组（含蝶阀2个，止回阀1个，伸缩接头1个）
2、规格：DN100
3、接口方式:法兰连接
4、压力试验及吹、洗设计要求:1.6MPa
5、含相关配件,未详尽处满足图纸设计、相关规范要求</t>
  </si>
  <si>
    <t>蝶阀</t>
  </si>
  <si>
    <t>1、名称：蝶阀
2、规格：DN50
3、接口方式:法兰连接
4、压力试验及吹、洗设计要求:1.6MPa
5、含相关配件,未详尽处满足图纸设计、相关规范要求</t>
  </si>
  <si>
    <t>球阀</t>
  </si>
  <si>
    <t>1、名称：球阀
2、规格：DN32
3、接口方式:详见图纸设计
4、压力试验及吹、洗设计要求:1.6MPa
5、含相关配件,未详尽处满足图纸设计、相关规范要求</t>
  </si>
  <si>
    <t>1、名称:土方的开挖
2、未详尽处满足图纸设计、相关规范要求</t>
  </si>
  <si>
    <t>1、名称:土方的回填
2、未详尽处满足图纸设计、相关规范要求</t>
  </si>
  <si>
    <t>水龙头</t>
  </si>
  <si>
    <t>1、名称：水龙头
2、规格：DN20
3、含相关配件,未详尽处满足图纸设计、相关规范要求</t>
  </si>
  <si>
    <t>景观入口水景给排水详图</t>
  </si>
  <si>
    <t>PE补水管</t>
  </si>
  <si>
    <t>1、名称：PE补水管
2、规格：De63
3、连接方式：热熔连接
4、压力等级:1.25Mpa
5、压力试验及吹、洗设计要求:
  满足规范及设计要求
6、未详尽处满足图纸设计、相关规范要求</t>
  </si>
  <si>
    <t>1、名称：热镀锌钢管
2、规格：DN150
3、连接方式：详见图纸设计
4、压力等级:1.25Mpa
5、压力试验及吹、洗设计要求:
  满足规范及设计要求
6、未详尽处满足图纸设计、相关规范要求</t>
  </si>
  <si>
    <t>1、名称：热镀锌钢管
2、规格：DN50
3、连接方式：详见图纸设计
4、压力等级:1.25Mpa
5、压力试验及吹、洗设计要求:
  满足规范及设计要求
6、未详尽处满足图纸设计、相关规范要求</t>
  </si>
  <si>
    <t>1、名称：热镀锌钢管
2、规格：DN25
3、连接方式：详见图纸设计
4、压力等级:1.25Mpa
5、压力试验及吹、洗设计要求:
  满足规范及设计要求
6、未详尽处满足图纸设计、相关规范要求</t>
  </si>
  <si>
    <t>出水花管</t>
  </si>
  <si>
    <t>1、名称：出水花管（热镀锌钢管）
2、规格：DN150
3、连接方式：详见图纸设计
4、压力等级:1.25Mpa
5、压力试验及吹、洗设计要求:
  满足规范及设计要求
6、未详尽处满足图纸设计、相关规范要求</t>
  </si>
  <si>
    <t>排水管</t>
  </si>
  <si>
    <t>1、名称：PE排水管
2、规格：De160
3、连接方式：热熔连接
4、压力等级:详见图纸设计
5、压力试验及吹、洗设计要求:
  满足规范及设计要求
6、未详尽处满足图纸设计、相关规范要求</t>
  </si>
  <si>
    <t>1、名称：PE排水管
2、规格：De110
3、连接方式：热熔连接
4、压力等级:详见图纸设计
5、压力试验及吹、洗设计要求:
  满足规范及设计要求
6、未详尽处满足图纸设计、相关规范要求</t>
  </si>
  <si>
    <t>1、名称：PE排水管
2、规格：De63
3、连接方式：热熔连接
4、压力等级:详见图纸设计
5、压力试验及吹、洗设计要求:
  满足规范及设计要求
6、未详尽处满足图纸设计、相关规范要求</t>
  </si>
  <si>
    <t>1、名称：蝶阀
2、规格：DN150
3、接口方式:法兰连接
4、压力试验及吹、洗设计要求:1.6MPa
5、含相关配件,未详尽处满足图纸设计、相关规范要求</t>
  </si>
  <si>
    <t>止回阀</t>
  </si>
  <si>
    <t>1、名称：止回阀
2、规格：DN150
3、接口方式:法兰连接
4、压力试验及吹、洗设计要求:1.6MPa
5、含相关配件,未详尽处满足图纸设计、相关规范要求</t>
  </si>
  <si>
    <t>1、名称：止回阀
2、规格：DN50
3、接口方式:法兰连接
4、压力试验及吹、洗设计要求:1.6MPa
5、含相关配件,未详尽处满足图纸设计、相关规范要求</t>
  </si>
  <si>
    <t>1、名称：球阀
2、规格：DN50
3、接口方式:法兰连接
4、压力试验及吹、洗设计要求:1.6MPa
5、含相关配件,未详尽处满足图纸设计、相关规范要求</t>
  </si>
  <si>
    <t>调压球阀</t>
  </si>
  <si>
    <t>1、名称：调压球阀
2、规格：DN25
3、接口方式:详见图纸设计
4、压力试验及吹、洗设计要求:1.6MPa
5、含相关配件,未详尽处满足图纸设计、相关规范要求</t>
  </si>
  <si>
    <t>浮球阀</t>
  </si>
  <si>
    <t>1、名称：浮球阀
2、规格：DN50
3、接口方式:法兰连接
4、压力试验及吹、洗设计要求:1.6MPa
5、含相关配件,未详尽处满足图纸设计、相关规范要求</t>
  </si>
  <si>
    <t>涌泉喷头</t>
  </si>
  <si>
    <t>1、名称：涌泉喷头
2、规格：PJY-DN25
3、含相关配件,未详尽处满足图纸设计、相关规范要求</t>
  </si>
  <si>
    <t>潜水泵</t>
  </si>
  <si>
    <t>1、名称：潜水泵
2、型号、规格：QSP 100-10-5.5
3、未详尽处满足图纸设计、相关规范要求</t>
  </si>
  <si>
    <t>阀门井</t>
  </si>
  <si>
    <t>1、补水阀门井
2、参照图集05S502页16
3、附件：阀门及附件另计，井盖与井圈等满足规范及图纸要求
4、未详尽处满足图纸设计、相关规范要求</t>
  </si>
  <si>
    <t>景观中轴水景给排水详图</t>
  </si>
  <si>
    <t>1、名称：PE排水管
2、规格：De225
3、连接方式：热熔连接
4、压力等级:详见图纸设计
5、压力试验及吹、洗设计要求:
  满足规范及设计要求
6、未详尽处满足图纸设计、相关规范要求</t>
  </si>
  <si>
    <t>上海人民</t>
  </si>
  <si>
    <t>井圈及井盖安装</t>
  </si>
  <si>
    <t>1、名称:塑料雨水井井圈及井盖安装
2、规格：φ450
3、未详尽处满足图纸设计、相关规范要求</t>
  </si>
  <si>
    <t xml:space="preserve">个 </t>
  </si>
  <si>
    <t>1、名称:塑料雨水井井圈及井盖安装
2、规格：φ630
3、未详尽处满足图纸设计、相关规范要求</t>
  </si>
  <si>
    <t>1、名称:塑料污水井井圈及井盖安装
2、规格：φ450
3、未详尽处满足图纸设计、相关规范要求</t>
  </si>
  <si>
    <t>景观雨水</t>
  </si>
  <si>
    <t>回填土</t>
  </si>
  <si>
    <t>HDPE双壁波纹管</t>
  </si>
  <si>
    <t>1.安装部位:室外
2.介质:雨水
3.材质、规格:HDPE双壁波纹管（环刚度SN4）De160
4.连接形式:双向承插弹性密封橡胶圈连接
5.管道基础：200mm砂垫层
6.清单中已考虑与此项工作相关的一切费用</t>
  </si>
  <si>
    <t>中财</t>
  </si>
  <si>
    <t>1.安装部位:室外
2.介质:雨水
3.材质、规格:PE管De110
4.连接形式:详见图纸设计
5.管道基础：200mm砂垫层
6.清单中已考虑与此项工作相关的一切费用</t>
  </si>
  <si>
    <t>木平台排水沟</t>
  </si>
  <si>
    <t>1.名称:木平台排水沟
2.做法详园建
3.清单中已考虑与此项工作相关的一切费用</t>
  </si>
  <si>
    <t>成品线性排水沟</t>
  </si>
  <si>
    <t>1.名称:成品线性排水沟
2.尺寸：De160(沟体尺寸200W*250H)
3.参照图集07J306页38
4.清单中已考虑与此项工作相关的一切费用</t>
  </si>
  <si>
    <t>室外排水地漏DN100</t>
  </si>
  <si>
    <t>1.名称:室外排水地漏
2.规格：DN100
3.清单中已考虑与此项工作相关的一切费用</t>
  </si>
  <si>
    <t>高分子雨水篦子排水口</t>
  </si>
  <si>
    <t>1.名称:高分子雨水篦子排水口
2.做法详园建
3.清单中已考虑与此项工作相关的一切费用</t>
  </si>
  <si>
    <t>宜阳山水文苑项目景观雾森系统清单及计价表</t>
  </si>
  <si>
    <t>项目特征</t>
  </si>
  <si>
    <t>综合单价（元）其中：</t>
  </si>
  <si>
    <r>
      <rPr>
        <b/>
        <sz val="9"/>
        <rFont val="宋体"/>
        <charset val="134"/>
      </rPr>
      <t xml:space="preserve">备注 </t>
    </r>
    <r>
      <rPr>
        <b/>
        <sz val="9"/>
        <rFont val="宋体"/>
        <charset val="134"/>
      </rPr>
      <t xml:space="preserve"> </t>
    </r>
    <r>
      <rPr>
        <b/>
        <sz val="9"/>
        <rFont val="宋体"/>
        <charset val="134"/>
      </rPr>
      <t>品牌</t>
    </r>
  </si>
  <si>
    <t>雾森系统给水</t>
  </si>
  <si>
    <t>高压不锈钢给水管</t>
  </si>
  <si>
    <t>1、名称：高压不锈钢给水管（含管件）
2、规格：DN10
3、压力等级：PN5.0MPa
4、连接方式：卡套式
5、压力试验及吹、洗设计要求:满足规范及设计要求
6、未详尽处满足图纸设计、相关规范要求</t>
  </si>
  <si>
    <t>冷雾喷头</t>
  </si>
  <si>
    <t>1、名称：冷雾喷头（红宝石撞针喷嘴）
2、型号：DN10
3、材质：详见图纸设计
4、参数:流量50~119ml/min，喷洒面积1~2m²</t>
  </si>
  <si>
    <t>雾喷机组</t>
  </si>
  <si>
    <t>1、名称：雾喷机组
2、规格、型号：CF-240-5.5
3、未详尽处满足图纸设计、相关规范要求</t>
  </si>
</sst>
</file>

<file path=xl/styles.xml><?xml version="1.0" encoding="utf-8"?>
<styleSheet xmlns="http://schemas.openxmlformats.org/spreadsheetml/2006/main">
  <numFmts count="9">
    <numFmt numFmtId="176" formatCode="0.00_ "/>
    <numFmt numFmtId="44" formatCode="_ &quot;￥&quot;* #,##0.00_ ;_ &quot;￥&quot;* \-#,##0.00_ ;_ &quot;￥&quot;* &quot;-&quot;??_ ;_ @_ "/>
    <numFmt numFmtId="177" formatCode="0.00_);[Red]\(0.00\)"/>
    <numFmt numFmtId="41" formatCode="_ * #,##0_ ;_ * \-#,##0_ ;_ * &quot;-&quot;_ ;_ @_ "/>
    <numFmt numFmtId="43" formatCode="_ * #,##0.00_ ;_ * \-#,##0.00_ ;_ * &quot;-&quot;??_ ;_ @_ "/>
    <numFmt numFmtId="42" formatCode="_ &quot;￥&quot;* #,##0_ ;_ &quot;￥&quot;* \-#,##0_ ;_ &quot;￥&quot;* &quot;-&quot;_ ;_ @_ "/>
    <numFmt numFmtId="178" formatCode="0.00_);\(0.00\)"/>
    <numFmt numFmtId="179" formatCode="0_);[Red]\(0\)"/>
    <numFmt numFmtId="180" formatCode="0.000_ "/>
  </numFmts>
  <fonts count="61">
    <font>
      <sz val="10"/>
      <name val="Arial"/>
      <charset val="1"/>
    </font>
    <font>
      <sz val="12"/>
      <name val="宋体"/>
      <charset val="134"/>
    </font>
    <font>
      <b/>
      <sz val="14"/>
      <name val="宋体"/>
      <charset val="134"/>
    </font>
    <font>
      <b/>
      <sz val="9"/>
      <name val="宋体"/>
      <charset val="134"/>
    </font>
    <font>
      <sz val="9"/>
      <name val="宋体"/>
      <charset val="134"/>
    </font>
    <font>
      <b/>
      <sz val="11"/>
      <name val="宋体"/>
      <charset val="134"/>
    </font>
    <font>
      <b/>
      <sz val="11"/>
      <name val="Arial"/>
      <charset val="134"/>
    </font>
    <font>
      <b/>
      <sz val="10"/>
      <name val="宋体"/>
      <charset val="134"/>
    </font>
    <font>
      <sz val="8"/>
      <name val="Arial"/>
      <charset val="134"/>
    </font>
    <font>
      <b/>
      <sz val="16"/>
      <name val="宋体"/>
      <charset val="134"/>
    </font>
    <font>
      <sz val="8"/>
      <name val="宋体"/>
      <charset val="134"/>
    </font>
    <font>
      <sz val="10"/>
      <name val="宋体"/>
      <charset val="134"/>
    </font>
    <font>
      <sz val="8"/>
      <name val="宋体"/>
      <charset val="134"/>
      <scheme val="minor"/>
    </font>
    <font>
      <sz val="10"/>
      <name val="宋体"/>
      <charset val="134"/>
      <scheme val="minor"/>
    </font>
    <font>
      <sz val="10"/>
      <color rgb="FF000000"/>
      <name val="宋体"/>
      <charset val="134"/>
    </font>
    <font>
      <b/>
      <sz val="10"/>
      <name val="宋体"/>
      <charset val="134"/>
      <scheme val="minor"/>
    </font>
    <font>
      <sz val="10"/>
      <color rgb="FFFF0000"/>
      <name val="宋体"/>
      <charset val="134"/>
    </font>
    <font>
      <sz val="10"/>
      <name val="Arial"/>
      <charset val="134"/>
    </font>
    <font>
      <sz val="16"/>
      <name val="宋体"/>
      <charset val="134"/>
      <scheme val="minor"/>
    </font>
    <font>
      <sz val="12"/>
      <name val="宋体"/>
      <charset val="134"/>
      <scheme val="minor"/>
    </font>
    <font>
      <sz val="12"/>
      <color rgb="FFFF0000"/>
      <name val="宋体"/>
      <charset val="134"/>
      <scheme val="minor"/>
    </font>
    <font>
      <sz val="10"/>
      <color rgb="FFFF0000"/>
      <name val="Arial"/>
      <charset val="134"/>
    </font>
    <font>
      <sz val="9"/>
      <name val="宋体"/>
      <charset val="134"/>
      <scheme val="minor"/>
    </font>
    <font>
      <sz val="9"/>
      <name val="Arial"/>
      <charset val="134"/>
    </font>
    <font>
      <sz val="12"/>
      <name val="Arial"/>
      <charset val="134"/>
    </font>
    <font>
      <sz val="14"/>
      <name val="Arial"/>
      <charset val="134"/>
    </font>
    <font>
      <b/>
      <sz val="14"/>
      <color theme="1"/>
      <name val="宋体"/>
      <charset val="134"/>
      <scheme val="major"/>
    </font>
    <font>
      <sz val="14"/>
      <color theme="1"/>
      <name val="宋体"/>
      <charset val="134"/>
      <scheme val="minor"/>
    </font>
    <font>
      <sz val="14"/>
      <name val="宋体"/>
      <charset val="134"/>
    </font>
    <font>
      <b/>
      <sz val="14"/>
      <color theme="1"/>
      <name val="宋体"/>
      <charset val="134"/>
      <scheme val="minor"/>
    </font>
    <font>
      <sz val="11"/>
      <color theme="1"/>
      <name val="宋体"/>
      <charset val="134"/>
      <scheme val="minor"/>
    </font>
    <font>
      <b/>
      <sz val="16"/>
      <name val="宋体"/>
      <charset val="134"/>
      <scheme val="minor"/>
    </font>
    <font>
      <sz val="9"/>
      <color rgb="FFFF0000"/>
      <name val="宋体"/>
      <charset val="134"/>
    </font>
    <font>
      <sz val="11"/>
      <name val="宋体"/>
      <charset val="134"/>
      <scheme val="minor"/>
    </font>
    <font>
      <b/>
      <sz val="11"/>
      <name val="宋体"/>
      <charset val="134"/>
      <scheme val="minor"/>
    </font>
    <font>
      <sz val="9"/>
      <color rgb="FFFF0000"/>
      <name val="Arial"/>
      <charset val="134"/>
    </font>
    <font>
      <b/>
      <sz val="12"/>
      <color theme="1"/>
      <name val="宋体"/>
      <charset val="134"/>
      <scheme val="minor"/>
    </font>
    <font>
      <b/>
      <sz val="12"/>
      <name val="宋体"/>
      <charset val="134"/>
      <scheme val="minor"/>
    </font>
    <font>
      <b/>
      <sz val="12"/>
      <name val="宋体"/>
      <charset val="134"/>
    </font>
    <font>
      <b/>
      <sz val="16"/>
      <name val="楷体_GB2312"/>
      <charset val="134"/>
    </font>
    <font>
      <sz val="10.5"/>
      <name val="楷体_GB2312"/>
      <charset val="134"/>
    </font>
    <font>
      <sz val="11"/>
      <color theme="0"/>
      <name val="宋体"/>
      <charset val="0"/>
      <scheme val="minor"/>
    </font>
    <font>
      <b/>
      <sz val="11"/>
      <color rgb="FFFFFFFF"/>
      <name val="宋体"/>
      <charset val="0"/>
      <scheme val="minor"/>
    </font>
    <font>
      <b/>
      <sz val="11"/>
      <color theme="3"/>
      <name val="宋体"/>
      <charset val="134"/>
      <scheme val="minor"/>
    </font>
    <font>
      <b/>
      <sz val="18"/>
      <color theme="3"/>
      <name val="宋体"/>
      <charset val="134"/>
      <scheme val="minor"/>
    </font>
    <font>
      <sz val="11"/>
      <color theme="1"/>
      <name val="宋体"/>
      <charset val="0"/>
      <scheme val="minor"/>
    </font>
    <font>
      <b/>
      <sz val="11"/>
      <color theme="1"/>
      <name val="宋体"/>
      <charset val="0"/>
      <scheme val="minor"/>
    </font>
    <font>
      <sz val="11"/>
      <color rgb="FF006100"/>
      <name val="宋体"/>
      <charset val="0"/>
      <scheme val="minor"/>
    </font>
    <font>
      <u/>
      <sz val="11"/>
      <color rgb="FF0000FF"/>
      <name val="宋体"/>
      <charset val="0"/>
      <scheme val="minor"/>
    </font>
    <font>
      <i/>
      <sz val="11"/>
      <color rgb="FF7F7F7F"/>
      <name val="宋体"/>
      <charset val="0"/>
      <scheme val="minor"/>
    </font>
    <font>
      <sz val="11"/>
      <color rgb="FFFA7D00"/>
      <name val="宋体"/>
      <charset val="0"/>
      <scheme val="minor"/>
    </font>
    <font>
      <u/>
      <sz val="11"/>
      <color rgb="FF800080"/>
      <name val="宋体"/>
      <charset val="0"/>
      <scheme val="minor"/>
    </font>
    <font>
      <sz val="11"/>
      <color rgb="FF3F3F76"/>
      <name val="宋体"/>
      <charset val="0"/>
      <scheme val="minor"/>
    </font>
    <font>
      <sz val="11"/>
      <color rgb="FF9C0006"/>
      <name val="宋体"/>
      <charset val="0"/>
      <scheme val="minor"/>
    </font>
    <font>
      <b/>
      <sz val="11"/>
      <color rgb="FFFA7D00"/>
      <name val="宋体"/>
      <charset val="0"/>
      <scheme val="minor"/>
    </font>
    <font>
      <b/>
      <sz val="13"/>
      <color theme="3"/>
      <name val="宋体"/>
      <charset val="134"/>
      <scheme val="minor"/>
    </font>
    <font>
      <b/>
      <sz val="15"/>
      <color theme="3"/>
      <name val="宋体"/>
      <charset val="134"/>
      <scheme val="minor"/>
    </font>
    <font>
      <b/>
      <sz val="11"/>
      <color rgb="FF3F3F3F"/>
      <name val="宋体"/>
      <charset val="0"/>
      <scheme val="minor"/>
    </font>
    <font>
      <sz val="11"/>
      <color rgb="FFFF0000"/>
      <name val="宋体"/>
      <charset val="0"/>
      <scheme val="minor"/>
    </font>
    <font>
      <sz val="11"/>
      <color rgb="FF9C6500"/>
      <name val="宋体"/>
      <charset val="0"/>
      <scheme val="minor"/>
    </font>
    <font>
      <sz val="11"/>
      <color indexed="8"/>
      <name val="宋体"/>
      <charset val="134"/>
    </font>
  </fonts>
  <fills count="35">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theme="5" tint="0.599993896298105"/>
        <bgColor indexed="64"/>
      </patternFill>
    </fill>
    <fill>
      <patternFill patternType="solid">
        <fgColor theme="7"/>
        <bgColor indexed="64"/>
      </patternFill>
    </fill>
    <fill>
      <patternFill patternType="solid">
        <fgColor rgb="FFA5A5A5"/>
        <bgColor indexed="64"/>
      </patternFill>
    </fill>
    <fill>
      <patternFill patternType="solid">
        <fgColor theme="6" tint="0.399975585192419"/>
        <bgColor indexed="64"/>
      </patternFill>
    </fill>
    <fill>
      <patternFill patternType="solid">
        <fgColor theme="8" tint="0.399975585192419"/>
        <bgColor indexed="64"/>
      </patternFill>
    </fill>
    <fill>
      <patternFill patternType="solid">
        <fgColor theme="7" tint="0.599993896298105"/>
        <bgColor indexed="64"/>
      </patternFill>
    </fill>
    <fill>
      <patternFill patternType="solid">
        <fgColor rgb="FFC6EFCE"/>
        <bgColor indexed="64"/>
      </patternFill>
    </fill>
    <fill>
      <patternFill patternType="solid">
        <fgColor theme="6" tint="0.599993896298105"/>
        <bgColor indexed="64"/>
      </patternFill>
    </fill>
    <fill>
      <patternFill patternType="solid">
        <fgColor theme="8"/>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rgb="FFFFCC99"/>
        <bgColor indexed="64"/>
      </patternFill>
    </fill>
    <fill>
      <patternFill patternType="solid">
        <fgColor theme="4" tint="0.399975585192419"/>
        <bgColor indexed="64"/>
      </patternFill>
    </fill>
    <fill>
      <patternFill patternType="solid">
        <fgColor rgb="FFFFC7CE"/>
        <bgColor indexed="64"/>
      </patternFill>
    </fill>
    <fill>
      <patternFill patternType="solid">
        <fgColor rgb="FFF2F2F2"/>
        <bgColor indexed="64"/>
      </patternFill>
    </fill>
    <fill>
      <patternFill patternType="solid">
        <fgColor rgb="FFFFFFCC"/>
        <bgColor indexed="64"/>
      </patternFill>
    </fill>
    <fill>
      <patternFill patternType="solid">
        <fgColor theme="4" tint="0.799981688894314"/>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theme="5"/>
        <bgColor indexed="64"/>
      </patternFill>
    </fill>
    <fill>
      <patternFill patternType="solid">
        <fgColor theme="6"/>
        <bgColor indexed="64"/>
      </patternFill>
    </fill>
    <fill>
      <patternFill patternType="solid">
        <fgColor rgb="FFFFEB9C"/>
        <bgColor indexed="64"/>
      </patternFill>
    </fill>
    <fill>
      <patternFill patternType="solid">
        <fgColor theme="4"/>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theme="9"/>
        <bgColor indexed="64"/>
      </patternFill>
    </fill>
    <fill>
      <patternFill patternType="solid">
        <fgColor theme="9" tint="0.399975585192419"/>
        <bgColor indexed="64"/>
      </patternFill>
    </fill>
  </fills>
  <borders count="38">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medium">
        <color auto="1"/>
      </left>
      <right/>
      <top style="medium">
        <color auto="1"/>
      </top>
      <bottom/>
      <diagonal/>
    </border>
    <border>
      <left style="thin">
        <color theme="1"/>
      </left>
      <right/>
      <top style="medium">
        <color auto="1"/>
      </top>
      <bottom/>
      <diagonal/>
    </border>
    <border>
      <left/>
      <right/>
      <top style="medium">
        <color auto="1"/>
      </top>
      <bottom/>
      <diagonal/>
    </border>
    <border>
      <left style="medium">
        <color auto="1"/>
      </left>
      <right/>
      <top style="medium">
        <color theme="1"/>
      </top>
      <bottom/>
      <diagonal/>
    </border>
    <border>
      <left style="thin">
        <color theme="1"/>
      </left>
      <right/>
      <top style="medium">
        <color theme="1"/>
      </top>
      <bottom/>
      <diagonal/>
    </border>
    <border>
      <left/>
      <right/>
      <top style="thin">
        <color theme="1"/>
      </top>
      <bottom/>
      <diagonal/>
    </border>
    <border>
      <left style="thin">
        <color auto="1"/>
      </left>
      <right style="thin">
        <color auto="1"/>
      </right>
      <top style="thin">
        <color auto="1"/>
      </top>
      <bottom/>
      <diagonal/>
    </border>
    <border>
      <left style="medium">
        <color auto="1"/>
      </left>
      <right/>
      <top style="thin">
        <color theme="1"/>
      </top>
      <bottom/>
      <diagonal/>
    </border>
    <border>
      <left/>
      <right style="medium">
        <color auto="1"/>
      </right>
      <top style="medium">
        <color auto="1"/>
      </top>
      <bottom/>
      <diagonal/>
    </border>
    <border>
      <left style="thin">
        <color theme="1"/>
      </left>
      <right/>
      <top style="thin">
        <color theme="1"/>
      </top>
      <bottom/>
      <diagonal/>
    </border>
    <border>
      <left style="thin">
        <color theme="1"/>
      </left>
      <right style="medium">
        <color auto="1"/>
      </right>
      <top style="thin">
        <color theme="1"/>
      </top>
      <bottom/>
      <diagonal/>
    </border>
    <border>
      <left style="thin">
        <color theme="1"/>
      </left>
      <right style="medium">
        <color auto="1"/>
      </right>
      <top/>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diagonal/>
    </border>
    <border>
      <left style="medium">
        <color auto="1"/>
      </left>
      <right/>
      <top style="medium">
        <color theme="1"/>
      </top>
      <bottom style="thin">
        <color auto="1"/>
      </bottom>
      <diagonal/>
    </border>
    <border>
      <left style="thin">
        <color theme="1"/>
      </left>
      <right/>
      <top style="medium">
        <color theme="1"/>
      </top>
      <bottom style="thin">
        <color auto="1"/>
      </bottom>
      <diagonal/>
    </border>
    <border>
      <left/>
      <right/>
      <top style="thin">
        <color theme="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theme="1"/>
      </left>
      <right/>
      <top style="thin">
        <color theme="1"/>
      </top>
      <bottom style="thin">
        <color auto="1"/>
      </bottom>
      <diagonal/>
    </border>
    <border>
      <left style="thin">
        <color theme="1"/>
      </left>
      <right style="medium">
        <color auto="1"/>
      </right>
      <top/>
      <bottom style="thin">
        <color auto="1"/>
      </bottom>
      <diagonal/>
    </border>
    <border>
      <left/>
      <right style="medium">
        <color auto="1"/>
      </right>
      <top/>
      <bottom/>
      <diagonal/>
    </border>
    <border>
      <left style="thin">
        <color auto="1"/>
      </left>
      <right style="medium">
        <color auto="1"/>
      </right>
      <top style="thin">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right/>
      <top style="thin">
        <color theme="4"/>
      </top>
      <bottom style="double">
        <color theme="4"/>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s>
  <cellStyleXfs count="57">
    <xf numFmtId="0" fontId="0" fillId="0" borderId="0"/>
    <xf numFmtId="42" fontId="30" fillId="0" borderId="0" applyFont="0" applyFill="0" applyBorder="0" applyAlignment="0" applyProtection="0">
      <alignment vertical="center"/>
    </xf>
    <xf numFmtId="0" fontId="45" fillId="14" borderId="0" applyNumberFormat="0" applyBorder="0" applyAlignment="0" applyProtection="0">
      <alignment vertical="center"/>
    </xf>
    <xf numFmtId="0" fontId="52" fillId="15" borderId="34" applyNumberFormat="0" applyAlignment="0" applyProtection="0">
      <alignment vertical="center"/>
    </xf>
    <xf numFmtId="44" fontId="30" fillId="0" borderId="0" applyFont="0" applyFill="0" applyBorder="0" applyAlignment="0" applyProtection="0">
      <alignment vertical="center"/>
    </xf>
    <xf numFmtId="41" fontId="30" fillId="0" borderId="0" applyFont="0" applyFill="0" applyBorder="0" applyAlignment="0" applyProtection="0">
      <alignment vertical="center"/>
    </xf>
    <xf numFmtId="0" fontId="45" fillId="11" borderId="0" applyNumberFormat="0" applyBorder="0" applyAlignment="0" applyProtection="0">
      <alignment vertical="center"/>
    </xf>
    <xf numFmtId="0" fontId="53" fillId="17" borderId="0" applyNumberFormat="0" applyBorder="0" applyAlignment="0" applyProtection="0">
      <alignment vertical="center"/>
    </xf>
    <xf numFmtId="43" fontId="30" fillId="0" borderId="0" applyFont="0" applyFill="0" applyBorder="0" applyAlignment="0" applyProtection="0">
      <alignment vertical="center"/>
    </xf>
    <xf numFmtId="0" fontId="41" fillId="7" borderId="0" applyNumberFormat="0" applyBorder="0" applyAlignment="0" applyProtection="0">
      <alignment vertical="center"/>
    </xf>
    <xf numFmtId="0" fontId="48" fillId="0" borderId="0" applyNumberFormat="0" applyFill="0" applyBorder="0" applyAlignment="0" applyProtection="0">
      <alignment vertical="center"/>
    </xf>
    <xf numFmtId="9" fontId="30" fillId="0" borderId="0" applyFont="0" applyFill="0" applyBorder="0" applyAlignment="0" applyProtection="0">
      <alignment vertical="center"/>
    </xf>
    <xf numFmtId="0" fontId="51" fillId="0" borderId="0" applyNumberFormat="0" applyFill="0" applyBorder="0" applyAlignment="0" applyProtection="0">
      <alignment vertical="center"/>
    </xf>
    <xf numFmtId="0" fontId="30" fillId="19" borderId="37" applyNumberFormat="0" applyFont="0" applyAlignment="0" applyProtection="0">
      <alignment vertical="center"/>
    </xf>
    <xf numFmtId="0" fontId="41" fillId="21" borderId="0" applyNumberFormat="0" applyBorder="0" applyAlignment="0" applyProtection="0">
      <alignment vertical="center"/>
    </xf>
    <xf numFmtId="0" fontId="43"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56" fillId="0" borderId="35" applyNumberFormat="0" applyFill="0" applyAlignment="0" applyProtection="0">
      <alignment vertical="center"/>
    </xf>
    <xf numFmtId="0" fontId="55" fillId="0" borderId="35" applyNumberFormat="0" applyFill="0" applyAlignment="0" applyProtection="0">
      <alignment vertical="center"/>
    </xf>
    <xf numFmtId="0" fontId="41" fillId="16" borderId="0" applyNumberFormat="0" applyBorder="0" applyAlignment="0" applyProtection="0">
      <alignment vertical="center"/>
    </xf>
    <xf numFmtId="0" fontId="43" fillId="0" borderId="31" applyNumberFormat="0" applyFill="0" applyAlignment="0" applyProtection="0">
      <alignment vertical="center"/>
    </xf>
    <xf numFmtId="0" fontId="41" fillId="23" borderId="0" applyNumberFormat="0" applyBorder="0" applyAlignment="0" applyProtection="0">
      <alignment vertical="center"/>
    </xf>
    <xf numFmtId="0" fontId="57" fillId="18" borderId="36" applyNumberFormat="0" applyAlignment="0" applyProtection="0">
      <alignment vertical="center"/>
    </xf>
    <xf numFmtId="0" fontId="54" fillId="18" borderId="34" applyNumberFormat="0" applyAlignment="0" applyProtection="0">
      <alignment vertical="center"/>
    </xf>
    <xf numFmtId="0" fontId="42" fillId="6" borderId="30" applyNumberFormat="0" applyAlignment="0" applyProtection="0">
      <alignment vertical="center"/>
    </xf>
    <xf numFmtId="0" fontId="45" fillId="24" borderId="0" applyNumberFormat="0" applyBorder="0" applyAlignment="0" applyProtection="0">
      <alignment vertical="center"/>
    </xf>
    <xf numFmtId="0" fontId="41" fillId="25" borderId="0" applyNumberFormat="0" applyBorder="0" applyAlignment="0" applyProtection="0">
      <alignment vertical="center"/>
    </xf>
    <xf numFmtId="0" fontId="50" fillId="0" borderId="33" applyNumberFormat="0" applyFill="0" applyAlignment="0" applyProtection="0">
      <alignment vertical="center"/>
    </xf>
    <xf numFmtId="0" fontId="46" fillId="0" borderId="32" applyNumberFormat="0" applyFill="0" applyAlignment="0" applyProtection="0">
      <alignment vertical="center"/>
    </xf>
    <xf numFmtId="0" fontId="47" fillId="10" borderId="0" applyNumberFormat="0" applyBorder="0" applyAlignment="0" applyProtection="0">
      <alignment vertical="center"/>
    </xf>
    <xf numFmtId="0" fontId="59" fillId="27" borderId="0" applyNumberFormat="0" applyBorder="0" applyAlignment="0" applyProtection="0">
      <alignment vertical="center"/>
    </xf>
    <xf numFmtId="0" fontId="45" fillId="13" borderId="0" applyNumberFormat="0" applyBorder="0" applyAlignment="0" applyProtection="0">
      <alignment vertical="center"/>
    </xf>
    <xf numFmtId="0" fontId="41" fillId="28" borderId="0" applyNumberFormat="0" applyBorder="0" applyAlignment="0" applyProtection="0">
      <alignment vertical="center"/>
    </xf>
    <xf numFmtId="0" fontId="45" fillId="20" borderId="0" applyNumberFormat="0" applyBorder="0" applyAlignment="0" applyProtection="0">
      <alignment vertical="center"/>
    </xf>
    <xf numFmtId="0" fontId="45" fillId="30" borderId="0" applyNumberFormat="0" applyBorder="0" applyAlignment="0" applyProtection="0">
      <alignment vertical="center"/>
    </xf>
    <xf numFmtId="0" fontId="45" fillId="29" borderId="0" applyNumberFormat="0" applyBorder="0" applyAlignment="0" applyProtection="0">
      <alignment vertical="center"/>
    </xf>
    <xf numFmtId="0" fontId="45" fillId="4" borderId="0" applyNumberFormat="0" applyBorder="0" applyAlignment="0" applyProtection="0">
      <alignment vertical="center"/>
    </xf>
    <xf numFmtId="0" fontId="1" fillId="0" borderId="0">
      <alignment vertical="center"/>
    </xf>
    <xf numFmtId="0" fontId="41" fillId="26" borderId="0" applyNumberFormat="0" applyBorder="0" applyAlignment="0" applyProtection="0">
      <alignment vertical="center"/>
    </xf>
    <xf numFmtId="0" fontId="1" fillId="0" borderId="0">
      <alignment vertical="center"/>
    </xf>
    <xf numFmtId="0" fontId="41" fillId="5" borderId="0" applyNumberFormat="0" applyBorder="0" applyAlignment="0" applyProtection="0">
      <alignment vertical="center"/>
    </xf>
    <xf numFmtId="0" fontId="45" fillId="22" borderId="0" applyNumberFormat="0" applyBorder="0" applyAlignment="0" applyProtection="0">
      <alignment vertical="center"/>
    </xf>
    <xf numFmtId="0" fontId="45" fillId="9" borderId="0" applyNumberFormat="0" applyBorder="0" applyAlignment="0" applyProtection="0">
      <alignment vertical="center"/>
    </xf>
    <xf numFmtId="0" fontId="41" fillId="12" borderId="0" applyNumberFormat="0" applyBorder="0" applyAlignment="0" applyProtection="0">
      <alignment vertical="center"/>
    </xf>
    <xf numFmtId="0" fontId="45" fillId="32" borderId="0" applyNumberFormat="0" applyBorder="0" applyAlignment="0" applyProtection="0">
      <alignment vertical="center"/>
    </xf>
    <xf numFmtId="0" fontId="41" fillId="8" borderId="0" applyNumberFormat="0" applyBorder="0" applyAlignment="0" applyProtection="0">
      <alignment vertical="center"/>
    </xf>
    <xf numFmtId="0" fontId="41" fillId="33" borderId="0" applyNumberFormat="0" applyBorder="0" applyAlignment="0" applyProtection="0">
      <alignment vertical="center"/>
    </xf>
    <xf numFmtId="0" fontId="45" fillId="31" borderId="0" applyNumberFormat="0" applyBorder="0" applyAlignment="0" applyProtection="0">
      <alignment vertical="center"/>
    </xf>
    <xf numFmtId="0" fontId="41" fillId="34" borderId="0" applyNumberFormat="0" applyBorder="0" applyAlignment="0" applyProtection="0">
      <alignment vertical="center"/>
    </xf>
    <xf numFmtId="0" fontId="1" fillId="0" borderId="0">
      <alignment vertical="center"/>
    </xf>
    <xf numFmtId="0" fontId="60" fillId="0" borderId="0">
      <alignment vertical="center"/>
    </xf>
    <xf numFmtId="0" fontId="1" fillId="0" borderId="0">
      <alignment vertical="center"/>
    </xf>
    <xf numFmtId="0" fontId="30" fillId="0" borderId="0">
      <alignment vertical="center"/>
    </xf>
    <xf numFmtId="0" fontId="1" fillId="0" borderId="0">
      <alignment vertical="center"/>
    </xf>
    <xf numFmtId="0" fontId="1" fillId="0" borderId="0">
      <alignment vertical="center"/>
    </xf>
  </cellStyleXfs>
  <cellXfs count="253">
    <xf numFmtId="0" fontId="0" fillId="0" borderId="0" xfId="0"/>
    <xf numFmtId="0" fontId="1" fillId="0" borderId="0" xfId="0" applyFont="1" applyFill="1" applyAlignment="1">
      <alignment vertical="center"/>
    </xf>
    <xf numFmtId="0" fontId="0" fillId="0" borderId="0" xfId="0" applyFont="1" applyFill="1" applyAlignment="1"/>
    <xf numFmtId="177" fontId="1" fillId="0" borderId="0" xfId="0" applyNumberFormat="1" applyFont="1" applyFill="1" applyAlignment="1">
      <alignment horizontal="center" vertical="center"/>
    </xf>
    <xf numFmtId="0" fontId="2" fillId="0" borderId="0" xfId="0" applyFont="1" applyFill="1" applyBorder="1" applyAlignment="1">
      <alignment horizontal="center" vertical="center" wrapText="1"/>
    </xf>
    <xf numFmtId="177" fontId="2" fillId="0" borderId="0"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177" fontId="2" fillId="0" borderId="1" xfId="0" applyNumberFormat="1" applyFont="1" applyFill="1" applyBorder="1" applyAlignment="1">
      <alignment horizontal="center" vertical="center" wrapText="1"/>
    </xf>
    <xf numFmtId="0" fontId="3" fillId="0" borderId="2" xfId="0" applyFont="1" applyFill="1" applyBorder="1" applyAlignment="1">
      <alignment horizontal="left" vertical="center" wrapText="1"/>
    </xf>
    <xf numFmtId="177" fontId="3" fillId="0" borderId="2" xfId="0" applyNumberFormat="1" applyFont="1" applyFill="1" applyBorder="1" applyAlignment="1">
      <alignment horizontal="center" vertical="center" wrapText="1"/>
    </xf>
    <xf numFmtId="0" fontId="4" fillId="0" borderId="2" xfId="0" applyFont="1" applyFill="1" applyBorder="1" applyAlignment="1">
      <alignment horizontal="left" vertical="center" wrapText="1"/>
    </xf>
    <xf numFmtId="177" fontId="4" fillId="0" borderId="2" xfId="0" applyNumberFormat="1" applyFont="1" applyFill="1" applyBorder="1" applyAlignment="1">
      <alignment horizontal="center" vertical="center" wrapText="1"/>
    </xf>
    <xf numFmtId="0" fontId="4" fillId="0" borderId="2" xfId="55" applyFont="1" applyFill="1" applyBorder="1" applyAlignment="1">
      <alignment horizontal="left" vertical="center" wrapText="1"/>
    </xf>
    <xf numFmtId="0" fontId="5" fillId="0" borderId="2" xfId="0" applyFont="1" applyFill="1" applyBorder="1" applyAlignment="1">
      <alignment horizontal="center" vertical="center"/>
    </xf>
    <xf numFmtId="0" fontId="6" fillId="0" borderId="2" xfId="0" applyFont="1" applyFill="1" applyBorder="1" applyAlignment="1">
      <alignment horizontal="center" vertical="center"/>
    </xf>
    <xf numFmtId="176" fontId="7" fillId="0" borderId="2" xfId="0" applyNumberFormat="1" applyFont="1" applyFill="1" applyBorder="1" applyAlignment="1">
      <alignment horizontal="center" vertical="center"/>
    </xf>
    <xf numFmtId="0" fontId="1" fillId="0" borderId="0" xfId="0" applyFont="1" applyFill="1" applyAlignment="1">
      <alignment horizontal="left" vertical="center" wrapText="1"/>
    </xf>
    <xf numFmtId="177" fontId="4" fillId="0" borderId="0" xfId="0" applyNumberFormat="1" applyFont="1" applyFill="1" applyBorder="1" applyAlignment="1">
      <alignment horizontal="center" vertical="center" wrapText="1"/>
    </xf>
    <xf numFmtId="0" fontId="4" fillId="0" borderId="0" xfId="0" applyFont="1" applyFill="1" applyAlignment="1">
      <alignment horizontal="left" vertical="center" wrapText="1"/>
    </xf>
    <xf numFmtId="0" fontId="8" fillId="0" borderId="2" xfId="0" applyFont="1" applyFill="1" applyBorder="1" applyAlignment="1"/>
    <xf numFmtId="0" fontId="0" fillId="0" borderId="0" xfId="0" applyFill="1"/>
    <xf numFmtId="0" fontId="0" fillId="0" borderId="0" xfId="0" applyFont="1" applyFill="1" applyAlignment="1">
      <alignment horizontal="center"/>
    </xf>
    <xf numFmtId="0" fontId="9" fillId="0" borderId="0" xfId="0" applyFont="1" applyFill="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7" fillId="0" borderId="2" xfId="0" applyFont="1" applyFill="1" applyBorder="1" applyAlignment="1">
      <alignment horizontal="center" wrapText="1"/>
    </xf>
    <xf numFmtId="0" fontId="4" fillId="0" borderId="8" xfId="0" applyFont="1" applyFill="1" applyBorder="1" applyAlignment="1">
      <alignment horizontal="center" vertical="center" wrapText="1"/>
    </xf>
    <xf numFmtId="0" fontId="7" fillId="0" borderId="9" xfId="0" applyFont="1" applyFill="1" applyBorder="1" applyAlignment="1">
      <alignment horizontal="center" wrapText="1"/>
    </xf>
    <xf numFmtId="0" fontId="10" fillId="0" borderId="10" xfId="0" applyFont="1" applyFill="1" applyBorder="1" applyAlignment="1">
      <alignment horizontal="center" vertical="center" wrapText="1"/>
    </xf>
    <xf numFmtId="0" fontId="10" fillId="0" borderId="2" xfId="0" applyFont="1" applyFill="1" applyBorder="1" applyAlignment="1">
      <alignment horizontal="left" vertical="center" wrapText="1"/>
    </xf>
    <xf numFmtId="0" fontId="10" fillId="0" borderId="2" xfId="0" applyFont="1" applyFill="1" applyBorder="1" applyAlignment="1">
      <alignment horizontal="center" vertical="center" wrapText="1"/>
    </xf>
    <xf numFmtId="176" fontId="10" fillId="0" borderId="2" xfId="0" applyNumberFormat="1" applyFont="1" applyFill="1" applyBorder="1" applyAlignment="1">
      <alignment horizontal="center" vertical="center" wrapText="1"/>
    </xf>
    <xf numFmtId="176" fontId="8" fillId="0" borderId="2" xfId="0" applyNumberFormat="1" applyFont="1" applyFill="1" applyBorder="1" applyAlignment="1">
      <alignment horizontal="center" vertical="center" wrapText="1"/>
    </xf>
    <xf numFmtId="176" fontId="8" fillId="0" borderId="9" xfId="0" applyNumberFormat="1" applyFont="1" applyFill="1" applyBorder="1" applyAlignment="1">
      <alignment horizontal="center" vertical="center" wrapText="1"/>
    </xf>
    <xf numFmtId="0" fontId="10" fillId="0" borderId="9" xfId="0" applyFont="1" applyFill="1" applyBorder="1" applyAlignment="1">
      <alignment horizontal="left" vertical="center" wrapText="1"/>
    </xf>
    <xf numFmtId="0" fontId="10" fillId="0" borderId="9" xfId="0" applyFont="1" applyFill="1" applyBorder="1" applyAlignment="1">
      <alignment horizontal="center" vertical="center" wrapText="1"/>
    </xf>
    <xf numFmtId="0" fontId="4" fillId="0" borderId="11"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4" fillId="0" borderId="13" xfId="0" applyFont="1" applyFill="1" applyBorder="1" applyAlignment="1">
      <alignment horizontal="center" vertical="center" wrapText="1"/>
    </xf>
    <xf numFmtId="0" fontId="4" fillId="0" borderId="14" xfId="0" applyFont="1" applyFill="1" applyBorder="1" applyAlignment="1">
      <alignment horizontal="center" vertical="center" wrapText="1"/>
    </xf>
    <xf numFmtId="0" fontId="8" fillId="0" borderId="15" xfId="0" applyFont="1" applyFill="1" applyBorder="1" applyAlignment="1">
      <alignment horizontal="center"/>
    </xf>
    <xf numFmtId="0" fontId="10" fillId="0" borderId="15" xfId="0" applyFont="1" applyFill="1" applyBorder="1" applyAlignment="1">
      <alignment horizontal="center"/>
    </xf>
    <xf numFmtId="0" fontId="10" fillId="0" borderId="15" xfId="0" applyFont="1" applyFill="1" applyBorder="1" applyAlignment="1">
      <alignment horizontal="center" wrapText="1"/>
    </xf>
    <xf numFmtId="0" fontId="8" fillId="0" borderId="9" xfId="0" applyFont="1" applyFill="1" applyBorder="1" applyAlignment="1"/>
    <xf numFmtId="0" fontId="8" fillId="0" borderId="16" xfId="0" applyFont="1" applyFill="1" applyBorder="1" applyAlignment="1">
      <alignment horizontal="center"/>
    </xf>
    <xf numFmtId="0" fontId="11" fillId="0" borderId="0" xfId="0" applyFont="1" applyFill="1" applyAlignment="1"/>
    <xf numFmtId="0" fontId="12" fillId="0" borderId="2" xfId="0" applyFont="1" applyFill="1" applyBorder="1" applyAlignment="1">
      <alignment horizontal="center" vertical="center" wrapText="1"/>
    </xf>
    <xf numFmtId="0" fontId="12" fillId="0" borderId="2" xfId="0" applyFont="1" applyFill="1" applyBorder="1" applyAlignment="1">
      <alignment vertical="center" wrapText="1"/>
    </xf>
    <xf numFmtId="0" fontId="9" fillId="0" borderId="0"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1" fillId="0" borderId="5" xfId="0" applyFont="1" applyFill="1" applyBorder="1" applyAlignment="1">
      <alignment horizontal="center" vertical="center" wrapText="1"/>
    </xf>
    <xf numFmtId="0" fontId="11" fillId="0" borderId="6" xfId="0" applyFont="1" applyFill="1" applyBorder="1" applyAlignment="1">
      <alignment horizontal="center" vertical="center" wrapText="1"/>
    </xf>
    <xf numFmtId="0" fontId="11" fillId="0" borderId="7"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11" fillId="0" borderId="17" xfId="0" applyFont="1" applyFill="1" applyBorder="1" applyAlignment="1">
      <alignment horizontal="center" vertical="center" wrapText="1"/>
    </xf>
    <xf numFmtId="0" fontId="11" fillId="0" borderId="18" xfId="0" applyFont="1" applyFill="1" applyBorder="1" applyAlignment="1">
      <alignment horizontal="center" vertical="center" wrapText="1"/>
    </xf>
    <xf numFmtId="0" fontId="11" fillId="0" borderId="19" xfId="0" applyFont="1" applyFill="1" applyBorder="1" applyAlignment="1">
      <alignment horizontal="center" vertical="center" wrapText="1"/>
    </xf>
    <xf numFmtId="0" fontId="13" fillId="0" borderId="20" xfId="0" applyFont="1" applyFill="1" applyBorder="1" applyAlignment="1">
      <alignment horizontal="center" vertical="center" wrapText="1"/>
    </xf>
    <xf numFmtId="0" fontId="13" fillId="0" borderId="2" xfId="0" applyFont="1" applyFill="1" applyBorder="1" applyAlignment="1">
      <alignment horizontal="left" vertical="center" wrapText="1"/>
    </xf>
    <xf numFmtId="0" fontId="13" fillId="0" borderId="2" xfId="0" applyFont="1" applyFill="1" applyBorder="1" applyAlignment="1">
      <alignment horizontal="center" vertical="center" wrapText="1"/>
    </xf>
    <xf numFmtId="176" fontId="13" fillId="0" borderId="2" xfId="0" applyNumberFormat="1" applyFont="1" applyFill="1" applyBorder="1" applyAlignment="1">
      <alignment horizontal="center" vertical="center" wrapText="1"/>
    </xf>
    <xf numFmtId="0" fontId="11" fillId="0" borderId="2" xfId="0" applyFont="1" applyFill="1" applyBorder="1" applyAlignment="1">
      <alignment horizontal="center" vertical="center" wrapText="1"/>
    </xf>
    <xf numFmtId="0" fontId="14" fillId="0" borderId="2" xfId="0" applyFont="1" applyFill="1" applyBorder="1" applyAlignment="1">
      <alignment horizontal="left" vertical="center" wrapText="1"/>
    </xf>
    <xf numFmtId="0" fontId="14" fillId="0" borderId="2" xfId="0" applyFont="1" applyFill="1" applyBorder="1" applyAlignment="1">
      <alignment horizontal="center" vertical="center" wrapText="1"/>
    </xf>
    <xf numFmtId="176" fontId="13" fillId="0" borderId="2" xfId="0" applyNumberFormat="1" applyFont="1" applyFill="1" applyBorder="1" applyAlignment="1" applyProtection="1">
      <alignment vertical="center" wrapText="1"/>
      <protection locked="0"/>
    </xf>
    <xf numFmtId="0" fontId="11" fillId="0" borderId="2" xfId="0" applyFont="1" applyFill="1" applyBorder="1" applyAlignment="1" applyProtection="1">
      <alignment horizontal="center" vertical="center" wrapText="1"/>
      <protection locked="0"/>
    </xf>
    <xf numFmtId="178" fontId="11" fillId="0" borderId="2" xfId="0" applyNumberFormat="1" applyFont="1" applyFill="1" applyBorder="1" applyAlignment="1" applyProtection="1">
      <alignment horizontal="center" vertical="center" wrapText="1"/>
      <protection locked="0"/>
    </xf>
    <xf numFmtId="176" fontId="11" fillId="0" borderId="2" xfId="0" applyNumberFormat="1" applyFont="1" applyFill="1" applyBorder="1" applyAlignment="1" applyProtection="1">
      <alignment horizontal="center" vertical="center" wrapText="1"/>
      <protection locked="0"/>
    </xf>
    <xf numFmtId="0" fontId="14" fillId="2" borderId="2" xfId="0" applyFont="1" applyFill="1" applyBorder="1" applyAlignment="1">
      <alignment horizontal="left" vertical="center" wrapText="1"/>
    </xf>
    <xf numFmtId="0" fontId="14" fillId="2" borderId="2" xfId="0" applyFont="1" applyFill="1" applyBorder="1" applyAlignment="1">
      <alignment horizontal="center" vertical="center" wrapText="1"/>
    </xf>
    <xf numFmtId="0" fontId="13" fillId="3" borderId="2" xfId="0" applyFont="1" applyFill="1" applyBorder="1" applyAlignment="1">
      <alignment horizontal="left" vertical="center" wrapText="1"/>
    </xf>
    <xf numFmtId="0" fontId="13" fillId="3" borderId="2" xfId="0" applyFont="1" applyFill="1" applyBorder="1" applyAlignment="1">
      <alignment horizontal="center" vertical="center" wrapText="1"/>
    </xf>
    <xf numFmtId="0" fontId="15" fillId="0" borderId="21" xfId="0" applyFont="1" applyFill="1" applyBorder="1" applyAlignment="1">
      <alignment horizontal="center" vertical="center"/>
    </xf>
    <xf numFmtId="0" fontId="15" fillId="0" borderId="22" xfId="0" applyFont="1" applyFill="1" applyBorder="1" applyAlignment="1">
      <alignment horizontal="center" vertical="center"/>
    </xf>
    <xf numFmtId="176" fontId="15" fillId="0" borderId="2" xfId="0" applyNumberFormat="1" applyFont="1" applyFill="1" applyBorder="1" applyAlignment="1">
      <alignment horizontal="center" vertical="center" wrapText="1"/>
    </xf>
    <xf numFmtId="0" fontId="1" fillId="0" borderId="0" xfId="0" applyNumberFormat="1" applyFont="1" applyFill="1" applyAlignment="1">
      <alignment vertical="center"/>
    </xf>
    <xf numFmtId="0" fontId="11" fillId="0" borderId="11" xfId="0" applyFont="1" applyFill="1" applyBorder="1" applyAlignment="1">
      <alignment horizontal="center" vertical="center" wrapText="1"/>
    </xf>
    <xf numFmtId="0" fontId="11" fillId="0" borderId="12" xfId="0" applyFont="1" applyFill="1" applyBorder="1" applyAlignment="1">
      <alignment horizontal="center" vertical="center" wrapText="1"/>
    </xf>
    <xf numFmtId="0" fontId="11" fillId="0" borderId="13" xfId="0" applyFont="1" applyFill="1" applyBorder="1" applyAlignment="1">
      <alignment horizontal="center" vertical="center" wrapText="1"/>
    </xf>
    <xf numFmtId="0" fontId="11" fillId="0" borderId="23" xfId="0" applyFont="1" applyFill="1" applyBorder="1" applyAlignment="1">
      <alignment horizontal="center" vertical="center" wrapText="1"/>
    </xf>
    <xf numFmtId="0" fontId="11" fillId="0" borderId="24" xfId="0" applyFont="1" applyFill="1" applyBorder="1" applyAlignment="1">
      <alignment horizontal="center" vertical="center" wrapText="1"/>
    </xf>
    <xf numFmtId="0" fontId="13" fillId="0" borderId="2" xfId="0" applyFont="1" applyFill="1" applyBorder="1" applyAlignment="1"/>
    <xf numFmtId="0" fontId="0" fillId="0" borderId="15" xfId="0" applyFont="1" applyFill="1" applyBorder="1" applyAlignment="1"/>
    <xf numFmtId="0" fontId="11" fillId="0" borderId="15" xfId="0" applyFont="1" applyFill="1" applyBorder="1" applyAlignment="1" applyProtection="1">
      <alignment wrapText="1"/>
      <protection locked="0"/>
    </xf>
    <xf numFmtId="0" fontId="16" fillId="0" borderId="2" xfId="0" applyFont="1" applyFill="1" applyBorder="1" applyAlignment="1">
      <alignment horizontal="left" vertical="center" wrapText="1"/>
    </xf>
    <xf numFmtId="0" fontId="11" fillId="0" borderId="25" xfId="0" applyFont="1" applyFill="1" applyBorder="1" applyAlignment="1" applyProtection="1">
      <alignment vertical="center"/>
      <protection locked="0"/>
    </xf>
    <xf numFmtId="0" fontId="0" fillId="0" borderId="15" xfId="0" applyFont="1" applyFill="1" applyBorder="1" applyAlignment="1" applyProtection="1">
      <protection locked="0"/>
    </xf>
    <xf numFmtId="0" fontId="11" fillId="0" borderId="15" xfId="0" applyFont="1" applyFill="1" applyBorder="1" applyAlignment="1" applyProtection="1">
      <protection locked="0"/>
    </xf>
    <xf numFmtId="0" fontId="13" fillId="0" borderId="9" xfId="0" applyFont="1" applyFill="1" applyBorder="1" applyAlignment="1"/>
    <xf numFmtId="0" fontId="13" fillId="0" borderId="22" xfId="0" applyFont="1" applyFill="1" applyBorder="1" applyAlignment="1"/>
    <xf numFmtId="0" fontId="0" fillId="0" borderId="26" xfId="0" applyFont="1" applyFill="1" applyBorder="1" applyAlignment="1"/>
    <xf numFmtId="0" fontId="17" fillId="0" borderId="0" xfId="0" applyFont="1" applyFill="1" applyBorder="1" applyAlignment="1">
      <alignment horizontal="center" vertical="center"/>
    </xf>
    <xf numFmtId="0" fontId="17" fillId="0" borderId="0" xfId="0" applyFont="1" applyFill="1" applyBorder="1" applyAlignment="1">
      <alignment vertical="center"/>
    </xf>
    <xf numFmtId="0" fontId="18" fillId="0" borderId="2" xfId="0" applyFont="1" applyFill="1" applyBorder="1" applyAlignment="1">
      <alignment horizontal="center" vertical="center"/>
    </xf>
    <xf numFmtId="0" fontId="19" fillId="2" borderId="2" xfId="0" applyFont="1" applyFill="1" applyBorder="1" applyAlignment="1">
      <alignment horizontal="center" vertical="center" wrapText="1"/>
    </xf>
    <xf numFmtId="0" fontId="19" fillId="2" borderId="2" xfId="0" applyFont="1" applyFill="1" applyBorder="1" applyAlignment="1">
      <alignment horizontal="center" vertical="center"/>
    </xf>
    <xf numFmtId="0" fontId="19" fillId="0" borderId="2" xfId="0" applyFont="1" applyFill="1" applyBorder="1" applyAlignment="1">
      <alignment horizontal="left" vertical="center"/>
    </xf>
    <xf numFmtId="0" fontId="19" fillId="0" borderId="2" xfId="0" applyFont="1" applyFill="1" applyBorder="1" applyAlignment="1">
      <alignment horizontal="center" vertical="center"/>
    </xf>
    <xf numFmtId="0" fontId="20" fillId="0" borderId="2" xfId="0" applyFont="1" applyFill="1" applyBorder="1" applyAlignment="1">
      <alignment horizontal="center" vertical="center"/>
    </xf>
    <xf numFmtId="49" fontId="19" fillId="0" borderId="2" xfId="0" applyNumberFormat="1" applyFont="1" applyFill="1" applyBorder="1" applyAlignment="1">
      <alignment horizontal="center" vertical="center"/>
    </xf>
    <xf numFmtId="0" fontId="21" fillId="0" borderId="2" xfId="0" applyFont="1" applyFill="1" applyBorder="1" applyAlignment="1">
      <alignment horizontal="center" vertical="center"/>
    </xf>
    <xf numFmtId="0" fontId="16" fillId="0" borderId="2" xfId="0" applyFont="1" applyFill="1" applyBorder="1" applyAlignment="1">
      <alignment horizontal="center" vertical="center"/>
    </xf>
    <xf numFmtId="177" fontId="19" fillId="0" borderId="2" xfId="56" applyNumberFormat="1" applyFont="1" applyFill="1" applyBorder="1" applyAlignment="1">
      <alignment horizontal="center" vertical="center" wrapText="1"/>
    </xf>
    <xf numFmtId="179" fontId="19" fillId="0" borderId="2" xfId="56" applyNumberFormat="1" applyFont="1" applyFill="1" applyBorder="1" applyAlignment="1">
      <alignment horizontal="center" vertical="center" wrapText="1"/>
    </xf>
    <xf numFmtId="0" fontId="19" fillId="2" borderId="2" xfId="0" applyFont="1" applyFill="1" applyBorder="1" applyAlignment="1">
      <alignment horizontal="left" vertical="center"/>
    </xf>
    <xf numFmtId="0" fontId="22" fillId="2" borderId="0" xfId="0" applyFont="1" applyFill="1" applyBorder="1" applyAlignment="1">
      <alignment vertical="center"/>
    </xf>
    <xf numFmtId="0" fontId="23" fillId="2" borderId="0" xfId="0" applyFont="1" applyFill="1" applyBorder="1" applyAlignment="1">
      <alignment horizontal="center"/>
    </xf>
    <xf numFmtId="0" fontId="23" fillId="2" borderId="2" xfId="0" applyFont="1" applyFill="1" applyBorder="1" applyAlignment="1">
      <alignment horizontal="center"/>
    </xf>
    <xf numFmtId="0" fontId="19" fillId="2" borderId="27" xfId="0" applyFont="1" applyFill="1" applyBorder="1" applyAlignment="1">
      <alignment horizontal="center" vertical="center"/>
    </xf>
    <xf numFmtId="0" fontId="19" fillId="2" borderId="28" xfId="0" applyFont="1" applyFill="1" applyBorder="1" applyAlignment="1">
      <alignment horizontal="center" vertical="center"/>
    </xf>
    <xf numFmtId="0" fontId="1" fillId="2" borderId="27" xfId="0" applyFont="1" applyFill="1" applyBorder="1" applyAlignment="1">
      <alignment horizontal="center"/>
    </xf>
    <xf numFmtId="0" fontId="17" fillId="2" borderId="2" xfId="0" applyFont="1" applyFill="1" applyBorder="1" applyAlignment="1">
      <alignment vertical="center"/>
    </xf>
    <xf numFmtId="0" fontId="17" fillId="2" borderId="2" xfId="0" applyFont="1" applyFill="1" applyBorder="1" applyAlignment="1">
      <alignment horizontal="center" vertical="center"/>
    </xf>
    <xf numFmtId="0" fontId="1" fillId="2" borderId="2" xfId="0" applyFont="1" applyFill="1" applyBorder="1" applyAlignment="1">
      <alignment horizontal="center"/>
    </xf>
    <xf numFmtId="0" fontId="11" fillId="0" borderId="0" xfId="0" applyFont="1" applyFill="1" applyAlignment="1">
      <alignment horizontal="left" vertical="center" wrapText="1"/>
    </xf>
    <xf numFmtId="0" fontId="17" fillId="0" borderId="0" xfId="0" applyFont="1" applyFill="1" applyAlignment="1">
      <alignment horizontal="left" vertical="center"/>
    </xf>
    <xf numFmtId="49" fontId="17" fillId="0" borderId="0" xfId="0" applyNumberFormat="1" applyFont="1" applyFill="1" applyBorder="1" applyAlignment="1">
      <alignment horizontal="center" vertical="center"/>
    </xf>
    <xf numFmtId="0" fontId="18" fillId="0" borderId="2" xfId="0" applyFont="1" applyFill="1" applyBorder="1" applyAlignment="1">
      <alignment horizontal="left" vertical="center" wrapText="1"/>
    </xf>
    <xf numFmtId="0" fontId="11" fillId="2" borderId="0" xfId="0" applyFont="1" applyFill="1" applyBorder="1" applyAlignment="1">
      <alignment horizontal="center" vertical="center"/>
    </xf>
    <xf numFmtId="0" fontId="19" fillId="0" borderId="2" xfId="0" applyFont="1" applyFill="1" applyBorder="1" applyAlignment="1">
      <alignment horizontal="left" vertical="center" wrapText="1"/>
    </xf>
    <xf numFmtId="0" fontId="20" fillId="0" borderId="2" xfId="0" applyFont="1" applyFill="1" applyBorder="1" applyAlignment="1">
      <alignment horizontal="left" vertical="center" wrapText="1"/>
    </xf>
    <xf numFmtId="0" fontId="16" fillId="0" borderId="2" xfId="0" applyFont="1" applyFill="1" applyBorder="1" applyAlignment="1">
      <alignment horizontal="left" vertical="center"/>
    </xf>
    <xf numFmtId="179" fontId="19" fillId="0" borderId="2" xfId="51" applyNumberFormat="1" applyFont="1" applyFill="1" applyBorder="1" applyAlignment="1">
      <alignment horizontal="left" vertical="center" wrapText="1"/>
    </xf>
    <xf numFmtId="0" fontId="20" fillId="0" borderId="2" xfId="0" applyFont="1" applyFill="1" applyBorder="1" applyAlignment="1">
      <alignment horizontal="left" vertical="center"/>
    </xf>
    <xf numFmtId="0" fontId="11" fillId="2" borderId="2" xfId="0" applyFont="1" applyFill="1" applyBorder="1" applyAlignment="1">
      <alignment horizontal="left" wrapText="1"/>
    </xf>
    <xf numFmtId="0" fontId="24" fillId="2" borderId="0" xfId="0" applyFont="1" applyFill="1" applyBorder="1" applyAlignment="1">
      <alignment vertical="center"/>
    </xf>
    <xf numFmtId="0" fontId="1" fillId="4" borderId="0" xfId="0" applyFont="1" applyFill="1" applyBorder="1" applyAlignment="1">
      <alignment horizontal="left" vertical="center"/>
    </xf>
    <xf numFmtId="0" fontId="24" fillId="4" borderId="0" xfId="0" applyFont="1" applyFill="1" applyBorder="1" applyAlignment="1">
      <alignment vertical="center"/>
    </xf>
    <xf numFmtId="176" fontId="24" fillId="4" borderId="0" xfId="0" applyNumberFormat="1" applyFont="1" applyFill="1" applyBorder="1" applyAlignment="1">
      <alignment horizontal="center" vertical="center"/>
    </xf>
    <xf numFmtId="0" fontId="1" fillId="2" borderId="2" xfId="0" applyFont="1" applyFill="1" applyBorder="1" applyAlignment="1">
      <alignment horizontal="left" wrapText="1"/>
    </xf>
    <xf numFmtId="0" fontId="24" fillId="4" borderId="0" xfId="0" applyFont="1" applyFill="1" applyBorder="1" applyAlignment="1">
      <alignment horizontal="center" vertical="center"/>
    </xf>
    <xf numFmtId="0" fontId="24" fillId="4" borderId="0" xfId="0" applyFont="1" applyFill="1" applyBorder="1" applyAlignment="1">
      <alignment horizontal="center"/>
    </xf>
    <xf numFmtId="0" fontId="24" fillId="0" borderId="0" xfId="0" applyFont="1" applyAlignment="1">
      <alignment horizontal="center" vertical="center"/>
    </xf>
    <xf numFmtId="0" fontId="24" fillId="0" borderId="0" xfId="0" applyFont="1" applyFill="1" applyAlignment="1">
      <alignment horizontal="center" vertical="center"/>
    </xf>
    <xf numFmtId="0" fontId="25" fillId="0" borderId="0" xfId="0" applyFont="1" applyAlignment="1">
      <alignment horizontal="center" vertical="center"/>
    </xf>
    <xf numFmtId="0" fontId="25" fillId="0" borderId="0" xfId="0" applyFont="1" applyAlignment="1" applyProtection="1">
      <alignment horizontal="center" vertical="center"/>
      <protection locked="0"/>
    </xf>
    <xf numFmtId="0" fontId="24" fillId="0" borderId="0" xfId="0" applyFont="1"/>
    <xf numFmtId="0" fontId="26" fillId="0" borderId="2" xfId="0" applyNumberFormat="1" applyFont="1" applyFill="1" applyBorder="1" applyAlignment="1">
      <alignment horizontal="center" vertical="center" wrapText="1"/>
    </xf>
    <xf numFmtId="0" fontId="27" fillId="0" borderId="2" xfId="0" applyNumberFormat="1" applyFont="1" applyFill="1" applyBorder="1" applyAlignment="1">
      <alignment horizontal="center" vertical="center" wrapText="1"/>
    </xf>
    <xf numFmtId="0" fontId="27" fillId="0" borderId="2" xfId="0" applyNumberFormat="1" applyFont="1" applyFill="1" applyBorder="1" applyAlignment="1" applyProtection="1">
      <alignment horizontal="center" vertical="center" wrapText="1"/>
      <protection locked="0"/>
    </xf>
    <xf numFmtId="0" fontId="27" fillId="0" borderId="27" xfId="0" applyNumberFormat="1" applyFont="1" applyFill="1" applyBorder="1" applyAlignment="1">
      <alignment horizontal="center" vertical="center" wrapText="1"/>
    </xf>
    <xf numFmtId="0" fontId="27" fillId="0" borderId="29" xfId="0" applyNumberFormat="1" applyFont="1" applyFill="1" applyBorder="1" applyAlignment="1">
      <alignment horizontal="center" vertical="center" wrapText="1"/>
    </xf>
    <xf numFmtId="0" fontId="28" fillId="0" borderId="2" xfId="0" applyFont="1" applyFill="1" applyBorder="1" applyAlignment="1">
      <alignment horizontal="center" vertical="center"/>
    </xf>
    <xf numFmtId="0" fontId="29" fillId="0" borderId="2" xfId="0" applyNumberFormat="1" applyFont="1" applyFill="1" applyBorder="1" applyAlignment="1">
      <alignment horizontal="center" vertical="center" wrapText="1"/>
    </xf>
    <xf numFmtId="0" fontId="25" fillId="0" borderId="2" xfId="0" applyFont="1" applyFill="1" applyBorder="1" applyAlignment="1">
      <alignment horizontal="center" vertical="center"/>
    </xf>
    <xf numFmtId="0" fontId="27" fillId="0" borderId="2" xfId="0" applyNumberFormat="1" applyFont="1" applyFill="1" applyBorder="1" applyAlignment="1">
      <alignment horizontal="center" vertical="center"/>
    </xf>
    <xf numFmtId="49" fontId="25" fillId="0" borderId="2" xfId="0" applyNumberFormat="1" applyFont="1" applyFill="1" applyBorder="1" applyAlignment="1">
      <alignment horizontal="center" vertical="center"/>
    </xf>
    <xf numFmtId="0" fontId="28" fillId="0" borderId="2" xfId="0" applyFont="1" applyFill="1" applyBorder="1" applyAlignment="1">
      <alignment horizontal="center"/>
    </xf>
    <xf numFmtId="0" fontId="25" fillId="0" borderId="2" xfId="0" applyFont="1" applyFill="1" applyBorder="1" applyAlignment="1">
      <alignment horizontal="center"/>
    </xf>
    <xf numFmtId="0" fontId="17" fillId="0" borderId="2" xfId="0" applyFont="1" applyFill="1" applyBorder="1" applyAlignment="1">
      <alignment horizontal="center"/>
    </xf>
    <xf numFmtId="0" fontId="27" fillId="0" borderId="28" xfId="0" applyNumberFormat="1" applyFont="1" applyFill="1" applyBorder="1" applyAlignment="1">
      <alignment horizontal="center" vertical="center" wrapText="1"/>
    </xf>
    <xf numFmtId="0" fontId="28" fillId="0" borderId="2" xfId="0" applyFont="1" applyFill="1" applyBorder="1" applyAlignment="1">
      <alignment horizontal="center" wrapText="1"/>
    </xf>
    <xf numFmtId="0" fontId="28" fillId="0" borderId="27" xfId="0" applyFont="1" applyFill="1" applyBorder="1" applyAlignment="1">
      <alignment horizontal="center"/>
    </xf>
    <xf numFmtId="0" fontId="28" fillId="0" borderId="2" xfId="0" applyFont="1" applyFill="1" applyBorder="1" applyAlignment="1" applyProtection="1">
      <alignment horizontal="center" vertical="center" wrapText="1"/>
      <protection locked="0"/>
    </xf>
    <xf numFmtId="0" fontId="28" fillId="0" borderId="2" xfId="0" applyFont="1" applyFill="1" applyBorder="1" applyAlignment="1">
      <alignment horizontal="center" vertical="center" wrapText="1"/>
    </xf>
    <xf numFmtId="0" fontId="28" fillId="0" borderId="2" xfId="39" applyFont="1" applyFill="1" applyBorder="1" applyAlignment="1">
      <alignment horizontal="center" vertical="center" wrapText="1"/>
    </xf>
    <xf numFmtId="0" fontId="2" fillId="0" borderId="2" xfId="0" applyFont="1" applyFill="1" applyBorder="1" applyAlignment="1" applyProtection="1">
      <alignment horizontal="center" vertical="center" wrapText="1"/>
      <protection locked="0"/>
    </xf>
    <xf numFmtId="0" fontId="2" fillId="0" borderId="2" xfId="0" applyFont="1" applyFill="1" applyBorder="1" applyAlignment="1">
      <alignment horizontal="center" vertical="center" wrapText="1"/>
    </xf>
    <xf numFmtId="0" fontId="28" fillId="0" borderId="0" xfId="0" applyFont="1" applyAlignment="1">
      <alignment horizontal="left" vertical="center" wrapText="1"/>
    </xf>
    <xf numFmtId="0" fontId="25" fillId="0" borderId="0" xfId="0" applyFont="1" applyAlignment="1">
      <alignment horizontal="left" vertical="center"/>
    </xf>
    <xf numFmtId="0" fontId="28" fillId="0" borderId="28" xfId="0" applyFont="1" applyFill="1" applyBorder="1" applyAlignment="1">
      <alignment horizontal="center"/>
    </xf>
    <xf numFmtId="0" fontId="23" fillId="0" borderId="0" xfId="0" applyFont="1" applyFill="1" applyAlignment="1" applyProtection="1">
      <alignment vertical="center"/>
      <protection locked="0"/>
    </xf>
    <xf numFmtId="0" fontId="23" fillId="0" borderId="0" xfId="0" applyFont="1" applyFill="1" applyAlignment="1" applyProtection="1">
      <protection locked="0"/>
    </xf>
    <xf numFmtId="0" fontId="30" fillId="0" borderId="0" xfId="0" applyFont="1" applyFill="1" applyAlignment="1" applyProtection="1">
      <alignment vertical="center"/>
      <protection locked="0"/>
    </xf>
    <xf numFmtId="0" fontId="21" fillId="0" borderId="0" xfId="0" applyFont="1" applyFill="1" applyBorder="1" applyAlignment="1" applyProtection="1">
      <protection locked="0"/>
    </xf>
    <xf numFmtId="0" fontId="17" fillId="0" borderId="0" xfId="0" applyFont="1" applyFill="1" applyBorder="1" applyAlignment="1" applyProtection="1">
      <protection locked="0"/>
    </xf>
    <xf numFmtId="0" fontId="17" fillId="0" borderId="0" xfId="0" applyFont="1" applyFill="1" applyAlignment="1" applyProtection="1">
      <protection locked="0"/>
    </xf>
    <xf numFmtId="0" fontId="23" fillId="0" borderId="0" xfId="0" applyFont="1" applyFill="1" applyAlignment="1" applyProtection="1">
      <alignment horizontal="center"/>
    </xf>
    <xf numFmtId="0" fontId="23" fillId="0" borderId="0" xfId="0" applyFont="1" applyFill="1" applyProtection="1"/>
    <xf numFmtId="0" fontId="23" fillId="0" borderId="0" xfId="0" applyFont="1" applyFill="1" applyProtection="1">
      <protection locked="0"/>
    </xf>
    <xf numFmtId="0" fontId="22" fillId="0" borderId="0" xfId="0" applyFont="1" applyFill="1" applyAlignment="1" applyProtection="1">
      <alignment horizontal="center"/>
      <protection locked="0"/>
    </xf>
    <xf numFmtId="0" fontId="9" fillId="0" borderId="0" xfId="0" applyFont="1" applyFill="1" applyAlignment="1" applyProtection="1">
      <alignment horizontal="center" vertical="center" wrapText="1"/>
    </xf>
    <xf numFmtId="0" fontId="9" fillId="0" borderId="0" xfId="0" applyFont="1" applyFill="1" applyAlignment="1" applyProtection="1">
      <alignment horizontal="center" vertical="center" wrapText="1"/>
      <protection locked="0"/>
    </xf>
    <xf numFmtId="0" fontId="31" fillId="0" borderId="0" xfId="0" applyFont="1" applyFill="1" applyAlignment="1" applyProtection="1">
      <alignment horizontal="center" vertical="center" wrapText="1"/>
      <protection locked="0"/>
    </xf>
    <xf numFmtId="0" fontId="4" fillId="0" borderId="2" xfId="0" applyFont="1" applyFill="1" applyBorder="1" applyAlignment="1" applyProtection="1">
      <alignment horizontal="center" vertical="center" wrapText="1"/>
    </xf>
    <xf numFmtId="0" fontId="4" fillId="0" borderId="2" xfId="0" applyFont="1" applyFill="1" applyBorder="1" applyAlignment="1" applyProtection="1">
      <alignment horizontal="center" vertical="center" wrapText="1"/>
      <protection locked="0"/>
    </xf>
    <xf numFmtId="0" fontId="22" fillId="0" borderId="2" xfId="0" applyFont="1" applyFill="1" applyBorder="1" applyAlignment="1" applyProtection="1">
      <alignment horizontal="center" vertical="center" wrapText="1"/>
      <protection locked="0"/>
    </xf>
    <xf numFmtId="0" fontId="4" fillId="0" borderId="2" xfId="0" applyFont="1" applyFill="1" applyBorder="1" applyAlignment="1" applyProtection="1">
      <alignment horizontal="center" vertical="center"/>
    </xf>
    <xf numFmtId="0" fontId="4" fillId="0" borderId="2" xfId="0" applyFont="1" applyFill="1" applyBorder="1" applyAlignment="1" applyProtection="1">
      <alignment vertical="center" wrapText="1"/>
    </xf>
    <xf numFmtId="176" fontId="4" fillId="0" borderId="2" xfId="0" applyNumberFormat="1" applyFont="1" applyFill="1" applyBorder="1" applyAlignment="1" applyProtection="1">
      <alignment vertical="center"/>
    </xf>
    <xf numFmtId="0" fontId="4" fillId="0" borderId="2" xfId="0" applyFont="1" applyFill="1" applyBorder="1" applyAlignment="1" applyProtection="1">
      <alignment vertical="center"/>
      <protection locked="0"/>
    </xf>
    <xf numFmtId="0" fontId="4" fillId="0" borderId="2" xfId="0" applyFont="1" applyFill="1" applyBorder="1" applyAlignment="1" applyProtection="1">
      <alignment horizontal="left" vertical="center" wrapText="1"/>
    </xf>
    <xf numFmtId="176" fontId="4" fillId="0" borderId="2" xfId="0" applyNumberFormat="1" applyFont="1" applyFill="1" applyBorder="1" applyAlignment="1" applyProtection="1">
      <alignment horizontal="center" vertical="center" wrapText="1"/>
    </xf>
    <xf numFmtId="176" fontId="4" fillId="0" borderId="2" xfId="0" applyNumberFormat="1" applyFont="1" applyFill="1" applyBorder="1" applyAlignment="1" applyProtection="1">
      <alignment horizontal="center" vertical="center" wrapText="1"/>
      <protection locked="0"/>
    </xf>
    <xf numFmtId="176" fontId="22" fillId="0" borderId="2" xfId="0" applyNumberFormat="1" applyFont="1" applyFill="1" applyBorder="1" applyAlignment="1" applyProtection="1">
      <alignment horizontal="center" vertical="center" wrapText="1"/>
      <protection locked="0"/>
    </xf>
    <xf numFmtId="0" fontId="4" fillId="0" borderId="2" xfId="0" applyNumberFormat="1" applyFont="1" applyFill="1" applyBorder="1" applyAlignment="1" applyProtection="1">
      <alignment horizontal="center" vertical="center" wrapText="1"/>
      <protection locked="0"/>
    </xf>
    <xf numFmtId="176" fontId="4" fillId="0" borderId="2" xfId="0" applyNumberFormat="1" applyFont="1" applyFill="1" applyBorder="1" applyAlignment="1" applyProtection="1">
      <alignment horizontal="left" vertical="center" wrapText="1"/>
    </xf>
    <xf numFmtId="0" fontId="23" fillId="0" borderId="2" xfId="0" applyFont="1" applyFill="1" applyBorder="1" applyAlignment="1" applyProtection="1">
      <alignment vertical="center" wrapText="1"/>
      <protection locked="0"/>
    </xf>
    <xf numFmtId="176" fontId="4" fillId="0" borderId="2" xfId="0" applyNumberFormat="1" applyFont="1" applyFill="1" applyBorder="1" applyAlignment="1" applyProtection="1">
      <alignment vertical="center"/>
      <protection locked="0"/>
    </xf>
    <xf numFmtId="180" fontId="4" fillId="0" borderId="2" xfId="0" applyNumberFormat="1" applyFont="1" applyFill="1" applyBorder="1" applyAlignment="1" applyProtection="1">
      <alignment horizontal="center" vertical="center" wrapText="1"/>
    </xf>
    <xf numFmtId="176" fontId="32" fillId="0" borderId="2" xfId="0" applyNumberFormat="1" applyFont="1" applyFill="1" applyBorder="1" applyAlignment="1" applyProtection="1">
      <alignment horizontal="center" vertical="center" wrapText="1"/>
    </xf>
    <xf numFmtId="0" fontId="4" fillId="0" borderId="0" xfId="0" applyFont="1" applyFill="1" applyAlignment="1" applyProtection="1">
      <alignment vertical="center"/>
      <protection locked="0"/>
    </xf>
    <xf numFmtId="0" fontId="0" fillId="0" borderId="0" xfId="0" applyFill="1" applyAlignment="1" applyProtection="1">
      <alignment vertical="center"/>
      <protection locked="0"/>
    </xf>
    <xf numFmtId="0" fontId="4" fillId="0" borderId="2" xfId="0" applyFont="1" applyFill="1" applyBorder="1" applyAlignment="1" applyProtection="1">
      <alignment vertical="center" wrapText="1"/>
      <protection locked="0"/>
    </xf>
    <xf numFmtId="0" fontId="23" fillId="0" borderId="2" xfId="0" applyFont="1" applyFill="1" applyBorder="1" applyAlignment="1" applyProtection="1">
      <alignment horizontal="center"/>
    </xf>
    <xf numFmtId="0" fontId="4" fillId="0" borderId="2" xfId="0" applyFont="1" applyFill="1" applyBorder="1" applyProtection="1"/>
    <xf numFmtId="0" fontId="23" fillId="0" borderId="2" xfId="0" applyFont="1" applyFill="1" applyBorder="1" applyProtection="1"/>
    <xf numFmtId="0" fontId="23" fillId="0" borderId="2" xfId="0" applyFont="1" applyFill="1" applyBorder="1" applyProtection="1">
      <protection locked="0"/>
    </xf>
    <xf numFmtId="176" fontId="23" fillId="0" borderId="2" xfId="0" applyNumberFormat="1" applyFont="1" applyFill="1" applyBorder="1" applyProtection="1">
      <protection locked="0"/>
    </xf>
    <xf numFmtId="176" fontId="23" fillId="0" borderId="2" xfId="0" applyNumberFormat="1" applyFont="1" applyFill="1" applyBorder="1" applyAlignment="1" applyProtection="1">
      <alignment horizontal="center" vertical="center"/>
      <protection locked="0"/>
    </xf>
    <xf numFmtId="0" fontId="11" fillId="0" borderId="2" xfId="0" applyFont="1" applyFill="1" applyBorder="1" applyAlignment="1" applyProtection="1">
      <alignment vertical="center"/>
    </xf>
    <xf numFmtId="0" fontId="11" fillId="0" borderId="2" xfId="0" applyFont="1" applyFill="1" applyBorder="1" applyAlignment="1" applyProtection="1">
      <alignment horizontal="left" vertical="center" wrapText="1"/>
    </xf>
    <xf numFmtId="0" fontId="23" fillId="0" borderId="2" xfId="0" applyFont="1" applyFill="1" applyBorder="1" applyAlignment="1" applyProtection="1">
      <alignment horizontal="center" vertical="center"/>
      <protection locked="0"/>
    </xf>
    <xf numFmtId="0" fontId="23" fillId="0" borderId="2" xfId="0" applyFont="1" applyFill="1" applyBorder="1" applyAlignment="1" applyProtection="1">
      <alignment horizontal="center" vertical="center" wrapText="1"/>
      <protection locked="0"/>
    </xf>
    <xf numFmtId="0" fontId="30" fillId="0" borderId="2" xfId="0" applyFont="1" applyFill="1" applyBorder="1" applyAlignment="1" applyProtection="1">
      <alignment vertical="center"/>
    </xf>
    <xf numFmtId="0" fontId="33" fillId="0" borderId="2" xfId="0" applyFont="1" applyFill="1" applyBorder="1" applyAlignment="1" applyProtection="1">
      <alignment vertical="center"/>
    </xf>
    <xf numFmtId="0" fontId="30" fillId="0" borderId="2" xfId="0" applyFont="1" applyFill="1" applyBorder="1" applyAlignment="1" applyProtection="1">
      <alignment horizontal="center" vertical="center"/>
    </xf>
    <xf numFmtId="0" fontId="33" fillId="0" borderId="2" xfId="0" applyFont="1" applyFill="1" applyBorder="1" applyAlignment="1" applyProtection="1">
      <alignment horizontal="center" vertical="center"/>
    </xf>
    <xf numFmtId="0" fontId="30" fillId="0" borderId="2" xfId="0" applyFont="1" applyFill="1" applyBorder="1" applyAlignment="1" applyProtection="1">
      <alignment horizontal="center" vertical="center"/>
      <protection locked="0"/>
    </xf>
    <xf numFmtId="0" fontId="33" fillId="0" borderId="2" xfId="0" applyFont="1" applyFill="1" applyBorder="1" applyAlignment="1" applyProtection="1">
      <alignment vertical="center" wrapText="1"/>
    </xf>
    <xf numFmtId="176" fontId="33" fillId="0" borderId="2" xfId="0" applyNumberFormat="1" applyFont="1" applyFill="1" applyBorder="1" applyAlignment="1" applyProtection="1">
      <alignment horizontal="center" vertical="center"/>
    </xf>
    <xf numFmtId="0" fontId="34" fillId="0" borderId="2" xfId="0" applyFont="1" applyFill="1" applyBorder="1" applyAlignment="1" applyProtection="1">
      <alignment vertical="center"/>
    </xf>
    <xf numFmtId="0" fontId="3" fillId="0" borderId="2" xfId="0" applyFont="1" applyFill="1" applyBorder="1" applyAlignment="1" applyProtection="1">
      <alignment horizontal="left" vertical="center" wrapText="1"/>
    </xf>
    <xf numFmtId="180" fontId="33" fillId="0" borderId="2" xfId="0" applyNumberFormat="1" applyFont="1" applyFill="1" applyBorder="1" applyAlignment="1" applyProtection="1">
      <alignment horizontal="center" vertical="center"/>
    </xf>
    <xf numFmtId="176" fontId="30" fillId="0" borderId="2" xfId="0" applyNumberFormat="1" applyFont="1" applyFill="1" applyBorder="1" applyAlignment="1" applyProtection="1">
      <alignment horizontal="center" vertical="center"/>
      <protection locked="0"/>
    </xf>
    <xf numFmtId="0" fontId="35" fillId="0" borderId="0" xfId="0" applyFont="1" applyFill="1" applyAlignment="1" applyProtection="1">
      <protection locked="0"/>
    </xf>
    <xf numFmtId="0" fontId="30" fillId="0" borderId="2" xfId="0" applyFont="1" applyFill="1" applyBorder="1" applyAlignment="1" applyProtection="1">
      <alignment horizontal="center" vertical="center" wrapText="1"/>
      <protection locked="0"/>
    </xf>
    <xf numFmtId="49" fontId="22" fillId="0" borderId="2" xfId="0" applyNumberFormat="1" applyFont="1" applyFill="1" applyBorder="1" applyAlignment="1" applyProtection="1">
      <alignment horizontal="left" vertical="center" wrapText="1"/>
    </xf>
    <xf numFmtId="0" fontId="4" fillId="0" borderId="2" xfId="0" applyFont="1" applyFill="1" applyBorder="1" applyAlignment="1" applyProtection="1">
      <alignment vertical="center"/>
    </xf>
    <xf numFmtId="0" fontId="11" fillId="0" borderId="2" xfId="0" applyFont="1" applyFill="1" applyBorder="1" applyAlignment="1" applyProtection="1">
      <alignment horizontal="center" vertical="center" wrapText="1"/>
    </xf>
    <xf numFmtId="176" fontId="13" fillId="0" borderId="2" xfId="0" applyNumberFormat="1" applyFont="1" applyFill="1" applyBorder="1" applyAlignment="1" applyProtection="1">
      <alignment horizontal="center" vertical="center" wrapText="1"/>
    </xf>
    <xf numFmtId="180" fontId="13" fillId="0" borderId="2" xfId="0" applyNumberFormat="1" applyFont="1" applyFill="1" applyBorder="1" applyAlignment="1" applyProtection="1">
      <alignment horizontal="center" vertical="center" wrapText="1"/>
    </xf>
    <xf numFmtId="0" fontId="17" fillId="0" borderId="2" xfId="0" applyFont="1" applyFill="1" applyBorder="1" applyAlignment="1" applyProtection="1">
      <alignment vertical="center" wrapText="1"/>
      <protection locked="0"/>
    </xf>
    <xf numFmtId="0" fontId="16" fillId="0" borderId="2" xfId="0" applyFont="1" applyFill="1" applyBorder="1" applyAlignment="1" applyProtection="1">
      <alignment horizontal="left" vertical="center" wrapText="1"/>
      <protection locked="0"/>
    </xf>
    <xf numFmtId="0" fontId="36" fillId="0" borderId="2" xfId="0" applyNumberFormat="1" applyFont="1" applyFill="1" applyBorder="1" applyAlignment="1" applyProtection="1">
      <alignment horizontal="left" vertical="center" wrapText="1"/>
    </xf>
    <xf numFmtId="0" fontId="37" fillId="0" borderId="2" xfId="0" applyNumberFormat="1" applyFont="1" applyFill="1" applyBorder="1" applyAlignment="1" applyProtection="1">
      <alignment horizontal="left" vertical="center" wrapText="1"/>
    </xf>
    <xf numFmtId="0" fontId="3" fillId="0" borderId="2" xfId="0" applyFont="1" applyFill="1" applyBorder="1" applyAlignment="1" applyProtection="1">
      <alignment horizontal="center" vertical="center" wrapText="1"/>
    </xf>
    <xf numFmtId="0" fontId="3" fillId="0" borderId="2" xfId="0" applyFont="1" applyFill="1" applyBorder="1" applyAlignment="1" applyProtection="1">
      <alignment horizontal="center" vertical="center" wrapText="1"/>
      <protection locked="0"/>
    </xf>
    <xf numFmtId="176" fontId="38" fillId="0" borderId="2" xfId="0" applyNumberFormat="1" applyFont="1" applyFill="1" applyBorder="1" applyAlignment="1" applyProtection="1">
      <alignment horizontal="center" vertical="center" wrapText="1"/>
      <protection locked="0"/>
    </xf>
    <xf numFmtId="0" fontId="4" fillId="0" borderId="0" xfId="0" applyFont="1" applyFill="1" applyAlignment="1" applyProtection="1">
      <alignment horizontal="left" vertical="center" wrapText="1"/>
    </xf>
    <xf numFmtId="0" fontId="23" fillId="0" borderId="0" xfId="0" applyFont="1" applyFill="1" applyAlignment="1" applyProtection="1">
      <alignment horizontal="left" vertical="center"/>
    </xf>
    <xf numFmtId="0" fontId="38" fillId="0" borderId="2" xfId="0" applyFont="1" applyFill="1" applyBorder="1" applyAlignment="1" applyProtection="1">
      <alignment horizontal="center" vertical="center" wrapText="1"/>
      <protection locked="0"/>
    </xf>
    <xf numFmtId="0" fontId="38" fillId="0" borderId="2" xfId="0" applyFont="1" applyFill="1" applyBorder="1" applyAlignment="1" applyProtection="1">
      <alignment horizontal="left" vertical="center" wrapText="1"/>
      <protection locked="0"/>
    </xf>
    <xf numFmtId="0" fontId="1" fillId="0" borderId="0" xfId="0" applyFont="1" applyFill="1" applyBorder="1" applyAlignment="1">
      <alignment vertical="center"/>
    </xf>
    <xf numFmtId="0" fontId="1" fillId="0" borderId="0" xfId="0" applyFont="1" applyFill="1" applyBorder="1" applyAlignment="1" applyProtection="1">
      <alignment vertical="center"/>
      <protection locked="0"/>
    </xf>
    <xf numFmtId="0" fontId="9" fillId="0" borderId="0" xfId="0" applyFont="1" applyFill="1" applyBorder="1" applyAlignment="1" applyProtection="1">
      <alignment horizontal="center" vertical="center" wrapText="1"/>
      <protection locked="0"/>
    </xf>
    <xf numFmtId="0" fontId="38" fillId="0" borderId="2"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2" xfId="0" applyFont="1" applyFill="1" applyBorder="1" applyAlignment="1">
      <alignment horizontal="left" vertical="center" wrapText="1"/>
    </xf>
    <xf numFmtId="177" fontId="1" fillId="0" borderId="2" xfId="0" applyNumberFormat="1" applyFont="1" applyFill="1" applyBorder="1" applyAlignment="1" applyProtection="1">
      <alignment horizontal="center" vertical="center" wrapText="1"/>
      <protection locked="0"/>
    </xf>
    <xf numFmtId="0" fontId="1" fillId="0" borderId="27" xfId="0" applyFont="1" applyFill="1" applyBorder="1" applyAlignment="1">
      <alignment horizontal="center" vertical="center" wrapText="1"/>
    </xf>
    <xf numFmtId="0" fontId="1" fillId="0" borderId="28" xfId="0" applyFont="1" applyFill="1" applyBorder="1" applyAlignment="1">
      <alignment horizontal="center" vertical="center" wrapText="1"/>
    </xf>
    <xf numFmtId="0" fontId="1" fillId="0" borderId="0" xfId="0" applyNumberFormat="1" applyFont="1" applyFill="1" applyBorder="1" applyAlignment="1">
      <alignment vertical="center" wrapText="1"/>
    </xf>
    <xf numFmtId="0" fontId="39" fillId="0" borderId="0" xfId="0" applyFont="1" applyFill="1" applyBorder="1" applyAlignment="1">
      <alignment horizontal="center" vertical="center"/>
    </xf>
    <xf numFmtId="0" fontId="40" fillId="0" borderId="2" xfId="0" applyNumberFormat="1" applyFont="1" applyFill="1" applyBorder="1" applyAlignment="1">
      <alignment horizontal="justify" vertical="center" wrapText="1"/>
    </xf>
    <xf numFmtId="0" fontId="40" fillId="0" borderId="0" xfId="0" applyNumberFormat="1" applyFont="1" applyFill="1" applyBorder="1" applyAlignment="1">
      <alignment horizontal="justify" vertical="center" wrapText="1"/>
    </xf>
    <xf numFmtId="0" fontId="1" fillId="0" borderId="0" xfId="0" applyNumberFormat="1" applyFont="1" applyFill="1" applyAlignment="1">
      <alignment horizontal="left" vertical="top" wrapText="1"/>
    </xf>
    <xf numFmtId="0" fontId="40" fillId="0" borderId="2" xfId="0" applyNumberFormat="1" applyFont="1" applyFill="1" applyBorder="1" applyAlignment="1">
      <alignment horizontal="left" vertical="center" wrapText="1"/>
    </xf>
    <xf numFmtId="0" fontId="40" fillId="0" borderId="0" xfId="0" applyNumberFormat="1" applyFont="1" applyFill="1" applyBorder="1" applyAlignment="1">
      <alignment horizontal="left" vertical="center" wrapText="1"/>
    </xf>
  </cellXfs>
  <cellStyles count="57">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常规 53" xfId="39"/>
    <cellStyle name="强调文字颜色 3" xfId="40" builtinId="37"/>
    <cellStyle name="常规 3 2" xfId="41"/>
    <cellStyle name="强调文字颜色 4" xfId="42" builtinId="41"/>
    <cellStyle name="20% - 强调文字颜色 4" xfId="43" builtinId="42"/>
    <cellStyle name="40% - 强调文字颜色 4" xfId="44" builtinId="43"/>
    <cellStyle name="强调文字颜色 5" xfId="45" builtinId="45"/>
    <cellStyle name="40% - 强调文字颜色 5" xfId="46" builtinId="47"/>
    <cellStyle name="60% - 强调文字颜色 5" xfId="47" builtinId="48"/>
    <cellStyle name="强调文字颜色 6" xfId="48" builtinId="49"/>
    <cellStyle name="40% - 强调文字颜色 6" xfId="49" builtinId="51"/>
    <cellStyle name="60% - 强调文字颜色 6" xfId="50" builtinId="52"/>
    <cellStyle name="3232" xfId="51"/>
    <cellStyle name="常规 2" xfId="52"/>
    <cellStyle name="常规 3" xfId="53"/>
    <cellStyle name="常规 5" xfId="54"/>
    <cellStyle name="常规 7" xfId="55"/>
    <cellStyle name="常规_蓝湖郡调拨单统计" xfId="56"/>
  </cellStyles>
  <tableStyles count="0" defaultTableStyle="TableStyleMedium9"/>
  <colors>
    <mruColors>
      <color rgb="00FF0000"/>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theme" Target="theme/theme1.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1" Type="http://schemas.openxmlformats.org/officeDocument/2006/relationships/sharedStrings" Target="sharedStrings.xml"/><Relationship Id="rId10" Type="http://schemas.openxmlformats.org/officeDocument/2006/relationships/styles" Target="styles.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CCE8CF"/>
      </a:lt1>
      <a:dk2>
        <a:srgbClr val="18497B"/>
      </a:dk2>
      <a:lt2>
        <a:srgbClr val="EFEFE7"/>
      </a:lt2>
      <a:accent1>
        <a:srgbClr val="4A82BD"/>
      </a:accent1>
      <a:accent2>
        <a:srgbClr val="C6514A"/>
      </a:accent2>
      <a:accent3>
        <a:srgbClr val="9CBA5A"/>
      </a:accent3>
      <a:accent4>
        <a:srgbClr val="8465A5"/>
      </a:accent4>
      <a:accent5>
        <a:srgbClr val="4AAEC6"/>
      </a:accent5>
      <a:accent6>
        <a:srgbClr val="F79642"/>
      </a:accent6>
      <a:hlink>
        <a:srgbClr val="180CBD"/>
      </a:hlink>
      <a:folHlink>
        <a:srgbClr val="63009C"/>
      </a:folHlink>
    </a:clrScheme>
    <a:fontScheme name="Office">
      <a:majorFont>
        <a:latin typeface="Cambria"/>
        <a:ea typeface=""/>
        <a:cs typeface=""/>
        <a:font script="Jpan" typeface="ＭＳ Ｐゴシック"/>
        <a:font script="Hang" typeface="맑은 고딕"/>
        <a:font script="Hans" typeface="宋体"/>
        <a:font script="Hant" typeface="微軟正黑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minorFont>
    </a:fontScheme>
    <a:fmtScheme name="Office">
      <a:fillStyleLst>
        <a:solidFill>
          <a:schemeClr val="phClr"/>
        </a:solidFill>
        <a:gradFill rotWithShape="1">
          <a:gsLst>
            <a:gs pos="0">
              <a:schemeClr val="phClr">
                <a:tint val="50000"/>
                <a:shade val="98000"/>
                <a:satMod val="300000"/>
              </a:schemeClr>
            </a:gs>
            <a:gs pos="25000">
              <a:schemeClr val="phClr">
                <a:tint val="37000"/>
                <a:shade val="98000"/>
                <a:satMod val="300000"/>
              </a:schemeClr>
            </a:gs>
            <a:gs pos="100000">
              <a:schemeClr val="phClr">
                <a:tint val="5000"/>
                <a:satMod val="350000"/>
              </a:schemeClr>
            </a:gs>
          </a:gsLst>
          <a:lin ang="16200000" scaled="1"/>
        </a:gradFill>
        <a:gradFill rotWithShape="1">
          <a:gsLst>
            <a:gs pos="0">
              <a:schemeClr val="phClr">
                <a:shade val="75000"/>
                <a:satMod val="160000"/>
              </a:schemeClr>
            </a:gs>
            <a:gs pos="62000">
              <a:schemeClr val="phClr">
                <a:satMod val="125000"/>
              </a:schemeClr>
            </a:gs>
            <a:gs pos="100000">
              <a:schemeClr val="phClr">
                <a:tint val="80000"/>
                <a:satMod val="140000"/>
              </a:schemeClr>
            </a:gs>
          </a:gsLst>
          <a:lin ang="16200000" scaled="0"/>
        </a:gradFill>
      </a:fillStyleLst>
      <a:lnStyleLst>
        <a:ln w="6350" cap="rnd" cmpd="sng" algn="ctr">
          <a:solidFill>
            <a:schemeClr val="phClr"/>
          </a:solidFill>
          <a:prstDash val="solid"/>
        </a:ln>
        <a:ln w="25400" cap="rnd" cmpd="sng" algn="ctr">
          <a:solidFill>
            <a:schemeClr val="phClr"/>
          </a:solidFill>
          <a:prstDash val="solid"/>
        </a:ln>
        <a:ln w="34925" cap="rnd" cmpd="sng" algn="ctr">
          <a:solidFill>
            <a:schemeClr val="phClr"/>
          </a:solidFill>
          <a:prstDash val="solid"/>
        </a:ln>
      </a:lnStyleLst>
      <a:effectStyleLst>
        <a:effectStyle>
          <a:effectLst>
            <a:outerShdw blurRad="63500" dist="25400" dir="5400000">
              <a:srgbClr val="000000">
                <a:alpha val="43137"/>
              </a:srgbClr>
            </a:outerShdw>
          </a:effectLst>
        </a:effectStyle>
        <a:effectStyle>
          <a:effectLst>
            <a:outerShdw blurRad="50800" dist="38100" dir="5400000">
              <a:srgbClr val="000000">
                <a:alpha val="45882"/>
              </a:srgbClr>
            </a:outerShdw>
          </a:effectLst>
          <a:scene3d>
            <a:camera prst="orthographicFront" fov="0">
              <a:rot lat="0" lon="0" rev="0"/>
            </a:camera>
            <a:lightRig rig="contrasting" dir="t">
              <a:rot lat="0" lon="0" rev="16500000"/>
            </a:lightRig>
          </a:scene3d>
          <a:sp3d contourW="12700" prstMaterial="powder">
            <a:bevelT h="50800"/>
            <a:contourClr>
              <a:schemeClr val="phClr"/>
            </a:contourClr>
          </a:sp3d>
        </a:effectStyle>
        <a:effectStyle>
          <a:effectLst>
            <a:reflection blurRad="12700" stA="25000" endPos="28000" dist="38100" dir="5400000" sy="-100000"/>
          </a:effectLst>
          <a:scene3d>
            <a:camera prst="orthographicFront" fov="0">
              <a:rot lat="0" lon="0" rev="0"/>
            </a:camera>
            <a:lightRig rig="threePt" dir="t">
              <a:rot lat="0" lon="0" rev="0"/>
            </a:lightRig>
          </a:scene3d>
          <a:sp3d>
            <a:bevelT w="139700" h="38100"/>
            <a:contourClr>
              <a:schemeClr val="phClr"/>
            </a:contourClr>
          </a:sp3d>
        </a:effectStyle>
      </a:effectStyleLst>
      <a:bgFillStyleLst>
        <a:solidFill>
          <a:schemeClr val="phClr"/>
        </a:solidFill>
        <a:gradFill rotWithShape="1">
          <a:gsLst>
            <a:gs pos="0">
              <a:schemeClr val="phClr">
                <a:shade val="75000"/>
                <a:satMod val="250000"/>
              </a:schemeClr>
            </a:gs>
            <a:gs pos="20000">
              <a:schemeClr val="phClr">
                <a:shade val="85000"/>
                <a:satMod val="175000"/>
              </a:schemeClr>
            </a:gs>
            <a:gs pos="100000">
              <a:schemeClr val="phClr">
                <a:tint val="5000"/>
                <a:satMod val="350000"/>
              </a:schemeClr>
            </a:gs>
          </a:gsLst>
          <a:lin ang="16200000" scaled="1"/>
        </a:gradFill>
        <a:gradFill rotWithShape="1">
          <a:gsLst>
            <a:gs pos="0">
              <a:schemeClr val="phClr">
                <a:shade val="50000"/>
                <a:satMod val="145000"/>
              </a:schemeClr>
            </a:gs>
            <a:gs pos="30000">
              <a:schemeClr val="phClr">
                <a:shade val="65000"/>
                <a:satMod val="155000"/>
              </a:schemeClr>
            </a:gs>
            <a:gs pos="100000">
              <a:schemeClr val="phClr">
                <a:tint val="60000"/>
                <a:satMod val="170000"/>
              </a:schemeClr>
            </a:gs>
          </a:gsLst>
          <a:lin ang="16200000" scaled="1"/>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E11"/>
  <sheetViews>
    <sheetView topLeftCell="A4" workbookViewId="0">
      <selection activeCell="E10" sqref="E10"/>
    </sheetView>
  </sheetViews>
  <sheetFormatPr defaultColWidth="10" defaultRowHeight="15.6" outlineLevelCol="4"/>
  <cols>
    <col min="1" max="1" width="98.8518518518518" style="237" customWidth="1"/>
    <col min="2" max="3" width="10.287037037037" style="237"/>
    <col min="4" max="4" width="10.287037037037" style="237" customWidth="1"/>
    <col min="5" max="5" width="58" style="237" customWidth="1"/>
    <col min="6" max="32" width="10.287037037037" style="237"/>
    <col min="33" max="16384" width="10" style="237"/>
  </cols>
  <sheetData>
    <row r="1" ht="48.95" customHeight="1" spans="1:1">
      <c r="A1" s="247" t="s">
        <v>0</v>
      </c>
    </row>
    <row r="2" s="246" customFormat="1" ht="27" customHeight="1" spans="1:4">
      <c r="A2" s="248" t="s">
        <v>1</v>
      </c>
      <c r="D2" s="247"/>
    </row>
    <row r="3" s="246" customFormat="1" ht="42" customHeight="1" spans="1:4">
      <c r="A3" s="248" t="s">
        <v>2</v>
      </c>
      <c r="D3" s="249"/>
    </row>
    <row r="4" s="246" customFormat="1" ht="50.1" customHeight="1" spans="1:5">
      <c r="A4" s="248" t="s">
        <v>3</v>
      </c>
      <c r="D4" s="249"/>
      <c r="E4" s="250"/>
    </row>
    <row r="5" s="246" customFormat="1" ht="36" customHeight="1" spans="1:5">
      <c r="A5" s="248" t="s">
        <v>4</v>
      </c>
      <c r="D5" s="249"/>
      <c r="E5" s="250"/>
    </row>
    <row r="6" s="246" customFormat="1" ht="60.95" customHeight="1" spans="1:5">
      <c r="A6" s="248" t="s">
        <v>5</v>
      </c>
      <c r="D6" s="249"/>
      <c r="E6" s="250"/>
    </row>
    <row r="7" s="246" customFormat="1" ht="57" customHeight="1" spans="1:5">
      <c r="A7" s="248" t="s">
        <v>6</v>
      </c>
      <c r="D7" s="249"/>
      <c r="E7" s="250"/>
    </row>
    <row r="8" s="246" customFormat="1" ht="53.1" customHeight="1" spans="1:4">
      <c r="A8" s="251" t="s">
        <v>7</v>
      </c>
      <c r="D8" s="249"/>
    </row>
    <row r="9" s="246" customFormat="1" ht="30" customHeight="1" spans="1:4">
      <c r="A9" s="251" t="s">
        <v>8</v>
      </c>
      <c r="D9" s="252"/>
    </row>
    <row r="10" ht="39.95" customHeight="1" spans="1:4">
      <c r="A10" s="251" t="s">
        <v>9</v>
      </c>
      <c r="D10" s="252"/>
    </row>
    <row r="11" spans="4:4">
      <c r="D11" s="252"/>
    </row>
  </sheetData>
  <mergeCells count="1">
    <mergeCell ref="E4:E7"/>
  </mergeCell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8"/>
  <sheetViews>
    <sheetView tabSelected="1" view="pageBreakPreview" zoomScaleNormal="100" workbookViewId="0">
      <selection activeCell="E8" sqref="E8"/>
    </sheetView>
  </sheetViews>
  <sheetFormatPr defaultColWidth="10.287037037037" defaultRowHeight="15.6" outlineLevelRow="7" outlineLevelCol="3"/>
  <cols>
    <col min="1" max="1" width="13.8518518518519" style="237" customWidth="1"/>
    <col min="2" max="2" width="29.287037037037" style="237" customWidth="1"/>
    <col min="3" max="3" width="20.8518518518519" style="238" customWidth="1"/>
    <col min="4" max="4" width="47.712962962963" style="237" customWidth="1"/>
    <col min="5" max="5" width="10.712962962963" style="237"/>
    <col min="6" max="16384" width="10.287037037037" style="237"/>
  </cols>
  <sheetData>
    <row r="1" ht="81" customHeight="1" spans="1:4">
      <c r="A1" s="51" t="s">
        <v>10</v>
      </c>
      <c r="B1" s="51"/>
      <c r="C1" s="239"/>
      <c r="D1" s="51"/>
    </row>
    <row r="2" ht="57" customHeight="1" spans="1:4">
      <c r="A2" s="240" t="s">
        <v>11</v>
      </c>
      <c r="B2" s="240" t="s">
        <v>12</v>
      </c>
      <c r="C2" s="235" t="s">
        <v>13</v>
      </c>
      <c r="D2" s="240" t="s">
        <v>14</v>
      </c>
    </row>
    <row r="3" ht="54" customHeight="1" spans="1:4">
      <c r="A3" s="241">
        <v>1</v>
      </c>
      <c r="B3" s="242" t="s">
        <v>15</v>
      </c>
      <c r="C3" s="243">
        <f>硬质景观!H603</f>
        <v>7825969.25707977</v>
      </c>
      <c r="D3" s="241" t="s">
        <v>16</v>
      </c>
    </row>
    <row r="4" ht="54" customHeight="1" spans="1:4">
      <c r="A4" s="241">
        <v>2</v>
      </c>
      <c r="B4" s="242" t="s">
        <v>17</v>
      </c>
      <c r="C4" s="243">
        <f>绿化苗木!E91</f>
        <v>12229415.8</v>
      </c>
      <c r="D4" s="241" t="s">
        <v>18</v>
      </c>
    </row>
    <row r="5" ht="54" customHeight="1" spans="1:4">
      <c r="A5" s="241">
        <v>3</v>
      </c>
      <c r="B5" s="242" t="s">
        <v>19</v>
      </c>
      <c r="C5" s="243">
        <f>电气!H40</f>
        <v>905565.6718</v>
      </c>
      <c r="D5" s="241" t="s">
        <v>16</v>
      </c>
    </row>
    <row r="6" ht="54" customHeight="1" spans="1:4">
      <c r="A6" s="241">
        <v>4</v>
      </c>
      <c r="B6" s="242" t="s">
        <v>20</v>
      </c>
      <c r="C6" s="243">
        <f>'给排水 '!H78</f>
        <v>695580.326</v>
      </c>
      <c r="D6" s="241" t="s">
        <v>16</v>
      </c>
    </row>
    <row r="7" ht="54" customHeight="1" spans="1:4">
      <c r="A7" s="241">
        <v>5</v>
      </c>
      <c r="B7" s="242" t="s">
        <v>21</v>
      </c>
      <c r="C7" s="243">
        <f>雾森系统!H11</f>
        <v>148075.132</v>
      </c>
      <c r="D7" s="241" t="s">
        <v>16</v>
      </c>
    </row>
    <row r="8" ht="57" customHeight="1" spans="1:4">
      <c r="A8" s="244" t="s">
        <v>22</v>
      </c>
      <c r="B8" s="245"/>
      <c r="C8" s="243">
        <f>SUM(C3:C7)</f>
        <v>21804606.1868798</v>
      </c>
      <c r="D8" s="241"/>
    </row>
  </sheetData>
  <sheetProtection selectLockedCells="1"/>
  <mergeCells count="2">
    <mergeCell ref="A1:D1"/>
    <mergeCell ref="A8:B8"/>
  </mergeCells>
  <pageMargins left="0.75" right="0.75" top="1" bottom="1" header="0.5" footer="0.5"/>
  <pageSetup paperSize="9" scale="78" fitToHeight="0"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O605"/>
  <sheetViews>
    <sheetView view="pageBreakPreview" zoomScaleNormal="100" workbookViewId="0">
      <pane ySplit="4" topLeftCell="A571" activePane="bottomLeft" state="frozen"/>
      <selection/>
      <selection pane="bottomLeft" activeCell="F585" sqref="F585"/>
    </sheetView>
  </sheetViews>
  <sheetFormatPr defaultColWidth="9.13888888888889" defaultRowHeight="11.4"/>
  <cols>
    <col min="1" max="1" width="4.85185185185185" style="171" customWidth="1"/>
    <col min="2" max="2" width="28.5740740740741" style="172" customWidth="1"/>
    <col min="3" max="3" width="46.1388888888889" style="172" customWidth="1"/>
    <col min="4" max="4" width="7.42592592592593" style="171" customWidth="1"/>
    <col min="5" max="5" width="13" style="172" customWidth="1"/>
    <col min="6" max="6" width="9.71296296296296" style="173" customWidth="1"/>
    <col min="7" max="7" width="13.8518518518519" style="173" customWidth="1"/>
    <col min="8" max="8" width="15.4259259259259" style="174" customWidth="1"/>
    <col min="9" max="9" width="9.85185185185185" style="173" customWidth="1"/>
    <col min="10" max="10" width="8" style="173" customWidth="1"/>
    <col min="11" max="14" width="9.13888888888889" style="173"/>
    <col min="15" max="15" width="9.57407407407407" style="173"/>
    <col min="16" max="16384" width="9.13888888888889" style="173"/>
  </cols>
  <sheetData>
    <row r="1" ht="30" customHeight="1" spans="1:10">
      <c r="A1" s="175" t="s">
        <v>23</v>
      </c>
      <c r="B1" s="175"/>
      <c r="C1" s="175"/>
      <c r="D1" s="175"/>
      <c r="E1" s="175"/>
      <c r="F1" s="176"/>
      <c r="G1" s="176"/>
      <c r="H1" s="177"/>
      <c r="I1" s="176"/>
      <c r="J1" s="176"/>
    </row>
    <row r="2" s="165" customFormat="1" ht="18" customHeight="1" spans="1:10">
      <c r="A2" s="178" t="s">
        <v>11</v>
      </c>
      <c r="B2" s="178" t="s">
        <v>24</v>
      </c>
      <c r="C2" s="178" t="s">
        <v>25</v>
      </c>
      <c r="D2" s="178" t="s">
        <v>26</v>
      </c>
      <c r="E2" s="178" t="s">
        <v>27</v>
      </c>
      <c r="F2" s="179" t="s">
        <v>28</v>
      </c>
      <c r="G2" s="179"/>
      <c r="H2" s="180"/>
      <c r="I2" s="179"/>
      <c r="J2" s="179"/>
    </row>
    <row r="3" s="165" customFormat="1" ht="18" customHeight="1" spans="1:10">
      <c r="A3" s="178"/>
      <c r="B3" s="178"/>
      <c r="C3" s="178"/>
      <c r="D3" s="178"/>
      <c r="E3" s="178"/>
      <c r="F3" s="179" t="s">
        <v>29</v>
      </c>
      <c r="G3" s="179"/>
      <c r="H3" s="180" t="s">
        <v>30</v>
      </c>
      <c r="I3" s="179" t="s">
        <v>31</v>
      </c>
      <c r="J3" s="179" t="s">
        <v>32</v>
      </c>
    </row>
    <row r="4" s="165" customFormat="1" ht="18.95" customHeight="1" spans="1:10">
      <c r="A4" s="178"/>
      <c r="B4" s="178"/>
      <c r="C4" s="178"/>
      <c r="D4" s="178"/>
      <c r="E4" s="178"/>
      <c r="F4" s="179"/>
      <c r="G4" s="179" t="s">
        <v>33</v>
      </c>
      <c r="H4" s="180"/>
      <c r="I4" s="179"/>
      <c r="J4" s="179"/>
    </row>
    <row r="5" ht="22.7" customHeight="1" spans="1:10">
      <c r="A5" s="181" t="s">
        <v>34</v>
      </c>
      <c r="B5" s="182" t="s">
        <v>35</v>
      </c>
      <c r="C5" s="182"/>
      <c r="D5" s="181"/>
      <c r="E5" s="183"/>
      <c r="F5" s="184"/>
      <c r="G5" s="184"/>
      <c r="H5" s="184"/>
      <c r="I5" s="184"/>
      <c r="J5" s="184"/>
    </row>
    <row r="6" ht="22.7" customHeight="1" outlineLevel="1" spans="1:10">
      <c r="A6" s="181">
        <v>1</v>
      </c>
      <c r="B6" s="182" t="s">
        <v>36</v>
      </c>
      <c r="C6" s="182"/>
      <c r="D6" s="181"/>
      <c r="E6" s="183"/>
      <c r="F6" s="184"/>
      <c r="G6" s="184"/>
      <c r="H6" s="184"/>
      <c r="I6" s="184"/>
      <c r="J6" s="184"/>
    </row>
    <row r="7" ht="27.95" customHeight="1" outlineLevel="2" spans="1:10">
      <c r="A7" s="178"/>
      <c r="B7" s="185" t="s">
        <v>37</v>
      </c>
      <c r="C7" s="185" t="s">
        <v>38</v>
      </c>
      <c r="D7" s="178" t="s">
        <v>39</v>
      </c>
      <c r="E7" s="186">
        <v>1385.78</v>
      </c>
      <c r="F7" s="187">
        <v>200</v>
      </c>
      <c r="G7" s="187">
        <v>55</v>
      </c>
      <c r="H7" s="188">
        <f t="shared" ref="H7:H16" si="0">E7*F7</f>
        <v>277156</v>
      </c>
      <c r="I7" s="191"/>
      <c r="J7" s="191"/>
    </row>
    <row r="8" ht="22.7" customHeight="1" outlineLevel="1" spans="1:10">
      <c r="A8" s="181">
        <v>2</v>
      </c>
      <c r="B8" s="182" t="s">
        <v>40</v>
      </c>
      <c r="C8" s="182"/>
      <c r="D8" s="181"/>
      <c r="E8" s="183"/>
      <c r="F8" s="184"/>
      <c r="G8" s="184"/>
      <c r="H8" s="188">
        <f t="shared" si="0"/>
        <v>0</v>
      </c>
      <c r="I8" s="184"/>
      <c r="J8" s="184"/>
    </row>
    <row r="9" ht="32.1" customHeight="1" outlineLevel="2" spans="1:10">
      <c r="A9" s="178"/>
      <c r="B9" s="185" t="s">
        <v>41</v>
      </c>
      <c r="C9" s="185" t="s">
        <v>42</v>
      </c>
      <c r="D9" s="178" t="s">
        <v>39</v>
      </c>
      <c r="E9" s="186">
        <v>3701.8</v>
      </c>
      <c r="F9" s="187">
        <v>6</v>
      </c>
      <c r="G9" s="179"/>
      <c r="H9" s="188">
        <f t="shared" si="0"/>
        <v>22210.8</v>
      </c>
      <c r="I9" s="191"/>
      <c r="J9" s="191"/>
    </row>
    <row r="10" ht="22.7" customHeight="1" outlineLevel="1" spans="1:10">
      <c r="A10" s="181">
        <v>3</v>
      </c>
      <c r="B10" s="182" t="s">
        <v>43</v>
      </c>
      <c r="C10" s="182"/>
      <c r="D10" s="181"/>
      <c r="E10" s="183"/>
      <c r="F10" s="184"/>
      <c r="G10" s="184"/>
      <c r="H10" s="188">
        <f t="shared" si="0"/>
        <v>0</v>
      </c>
      <c r="I10" s="184"/>
      <c r="J10" s="184"/>
    </row>
    <row r="11" ht="27" customHeight="1" outlineLevel="2" spans="1:10">
      <c r="A11" s="178"/>
      <c r="B11" s="185" t="s">
        <v>41</v>
      </c>
      <c r="C11" s="185" t="s">
        <v>42</v>
      </c>
      <c r="D11" s="178" t="s">
        <v>39</v>
      </c>
      <c r="E11" s="186">
        <f>3000.94-2931.8+1800-74.89-435</f>
        <v>1359.25</v>
      </c>
      <c r="F11" s="187">
        <v>6</v>
      </c>
      <c r="G11" s="179"/>
      <c r="H11" s="188">
        <f t="shared" si="0"/>
        <v>8155.5</v>
      </c>
      <c r="I11" s="191"/>
      <c r="J11" s="191"/>
    </row>
    <row r="12" ht="27" customHeight="1" outlineLevel="2" spans="1:10">
      <c r="A12" s="178"/>
      <c r="B12" s="185" t="s">
        <v>44</v>
      </c>
      <c r="C12" s="185" t="s">
        <v>45</v>
      </c>
      <c r="D12" s="178" t="s">
        <v>46</v>
      </c>
      <c r="E12" s="186">
        <f>E11*0.08</f>
        <v>108.74</v>
      </c>
      <c r="F12" s="187">
        <v>600</v>
      </c>
      <c r="G12" s="187">
        <v>160</v>
      </c>
      <c r="H12" s="188">
        <f t="shared" si="0"/>
        <v>65244</v>
      </c>
      <c r="I12" s="191"/>
      <c r="J12" s="191"/>
    </row>
    <row r="13" ht="51.95" customHeight="1" outlineLevel="2" spans="1:10">
      <c r="A13" s="178"/>
      <c r="B13" s="185" t="s">
        <v>47</v>
      </c>
      <c r="C13" s="185" t="s">
        <v>48</v>
      </c>
      <c r="D13" s="178" t="s">
        <v>46</v>
      </c>
      <c r="E13" s="186">
        <f>E11*0.1</f>
        <v>135.925</v>
      </c>
      <c r="F13" s="187">
        <v>1000</v>
      </c>
      <c r="G13" s="187">
        <v>520</v>
      </c>
      <c r="H13" s="188">
        <f t="shared" si="0"/>
        <v>135925</v>
      </c>
      <c r="I13" s="191"/>
      <c r="J13" s="191"/>
    </row>
    <row r="14" ht="38.1" customHeight="1" outlineLevel="2" spans="1:10">
      <c r="A14" s="178"/>
      <c r="B14" s="185" t="s">
        <v>37</v>
      </c>
      <c r="C14" s="185" t="s">
        <v>49</v>
      </c>
      <c r="D14" s="178" t="s">
        <v>39</v>
      </c>
      <c r="E14" s="186">
        <v>1255.37</v>
      </c>
      <c r="F14" s="187">
        <v>210</v>
      </c>
      <c r="G14" s="187">
        <v>85</v>
      </c>
      <c r="H14" s="188">
        <f t="shared" si="0"/>
        <v>263627.7</v>
      </c>
      <c r="I14" s="191"/>
      <c r="J14" s="191"/>
    </row>
    <row r="15" ht="39" customHeight="1" outlineLevel="2" spans="1:10">
      <c r="A15" s="178"/>
      <c r="B15" s="185" t="s">
        <v>37</v>
      </c>
      <c r="C15" s="185" t="s">
        <v>50</v>
      </c>
      <c r="D15" s="178" t="s">
        <v>39</v>
      </c>
      <c r="E15" s="186">
        <f>1303.87-74.89</f>
        <v>1228.98</v>
      </c>
      <c r="F15" s="187">
        <f>F14</f>
        <v>210</v>
      </c>
      <c r="G15" s="187">
        <f>G14</f>
        <v>85</v>
      </c>
      <c r="H15" s="188">
        <f t="shared" si="0"/>
        <v>258085.8</v>
      </c>
      <c r="I15" s="191"/>
      <c r="J15" s="191"/>
    </row>
    <row r="16" ht="39" customHeight="1" outlineLevel="2" spans="1:10">
      <c r="A16" s="178"/>
      <c r="B16" s="185" t="s">
        <v>37</v>
      </c>
      <c r="C16" s="185" t="s">
        <v>51</v>
      </c>
      <c r="D16" s="178" t="s">
        <v>39</v>
      </c>
      <c r="E16" s="186">
        <v>441.7</v>
      </c>
      <c r="F16" s="187">
        <f>F15</f>
        <v>210</v>
      </c>
      <c r="G16" s="187">
        <f>G15</f>
        <v>85</v>
      </c>
      <c r="H16" s="188">
        <f t="shared" si="0"/>
        <v>92757</v>
      </c>
      <c r="I16" s="191"/>
      <c r="J16" s="191"/>
    </row>
    <row r="17" ht="30.95" customHeight="1" outlineLevel="1" spans="1:10">
      <c r="A17" s="181">
        <v>4</v>
      </c>
      <c r="B17" s="185" t="s">
        <v>52</v>
      </c>
      <c r="C17" s="185"/>
      <c r="D17" s="178"/>
      <c r="E17" s="178"/>
      <c r="F17" s="187"/>
      <c r="G17" s="189"/>
      <c r="H17" s="188">
        <f t="shared" ref="H17:H22" si="1">E17*F17</f>
        <v>0</v>
      </c>
      <c r="I17" s="179"/>
      <c r="J17" s="191"/>
    </row>
    <row r="18" ht="27" customHeight="1" outlineLevel="2" spans="1:10">
      <c r="A18" s="181"/>
      <c r="B18" s="185" t="s">
        <v>41</v>
      </c>
      <c r="C18" s="185" t="s">
        <v>42</v>
      </c>
      <c r="D18" s="178" t="s">
        <v>39</v>
      </c>
      <c r="E18" s="186">
        <f>1451.21-204.15+130.66</f>
        <v>1377.72</v>
      </c>
      <c r="F18" s="187">
        <v>6</v>
      </c>
      <c r="G18" s="189"/>
      <c r="H18" s="188">
        <f t="shared" si="1"/>
        <v>8266.32</v>
      </c>
      <c r="I18" s="179"/>
      <c r="J18" s="191"/>
    </row>
    <row r="19" ht="30.95" customHeight="1" outlineLevel="2" spans="1:10">
      <c r="A19" s="181"/>
      <c r="B19" s="185" t="s">
        <v>44</v>
      </c>
      <c r="C19" s="185" t="s">
        <v>45</v>
      </c>
      <c r="D19" s="178" t="s">
        <v>46</v>
      </c>
      <c r="E19" s="186">
        <f>E18*0.08</f>
        <v>110.2176</v>
      </c>
      <c r="F19" s="187">
        <f>F12</f>
        <v>600</v>
      </c>
      <c r="G19" s="187">
        <f>G12</f>
        <v>160</v>
      </c>
      <c r="H19" s="188">
        <f t="shared" si="1"/>
        <v>66130.56</v>
      </c>
      <c r="I19" s="179"/>
      <c r="J19" s="191"/>
    </row>
    <row r="20" ht="51" customHeight="1" outlineLevel="2" spans="1:10">
      <c r="A20" s="181"/>
      <c r="B20" s="185" t="s">
        <v>47</v>
      </c>
      <c r="C20" s="185" t="s">
        <v>48</v>
      </c>
      <c r="D20" s="178" t="s">
        <v>46</v>
      </c>
      <c r="E20" s="178">
        <f>E18*0.1</f>
        <v>137.772</v>
      </c>
      <c r="F20" s="187">
        <f>F13</f>
        <v>1000</v>
      </c>
      <c r="G20" s="187">
        <f>G13</f>
        <v>520</v>
      </c>
      <c r="H20" s="188">
        <f t="shared" si="1"/>
        <v>137772</v>
      </c>
      <c r="I20" s="179"/>
      <c r="J20" s="191"/>
    </row>
    <row r="21" ht="38.1" customHeight="1" outlineLevel="2" spans="1:10">
      <c r="A21" s="181"/>
      <c r="B21" s="185" t="s">
        <v>37</v>
      </c>
      <c r="C21" s="185" t="s">
        <v>50</v>
      </c>
      <c r="D21" s="178" t="s">
        <v>39</v>
      </c>
      <c r="E21" s="186">
        <f>1451.21-204.15</f>
        <v>1247.06</v>
      </c>
      <c r="F21" s="187">
        <f>F14</f>
        <v>210</v>
      </c>
      <c r="G21" s="187">
        <f>G14</f>
        <v>85</v>
      </c>
      <c r="H21" s="188">
        <f t="shared" si="1"/>
        <v>261882.6</v>
      </c>
      <c r="I21" s="179"/>
      <c r="J21" s="191"/>
    </row>
    <row r="22" ht="38.1" customHeight="1" outlineLevel="2" spans="1:10">
      <c r="A22" s="181"/>
      <c r="B22" s="185" t="s">
        <v>37</v>
      </c>
      <c r="C22" s="185" t="s">
        <v>49</v>
      </c>
      <c r="D22" s="178" t="s">
        <v>39</v>
      </c>
      <c r="E22" s="186">
        <v>130.66</v>
      </c>
      <c r="F22" s="187">
        <f>F21</f>
        <v>210</v>
      </c>
      <c r="G22" s="187">
        <f>G21</f>
        <v>85</v>
      </c>
      <c r="H22" s="188">
        <f t="shared" si="1"/>
        <v>27438.6</v>
      </c>
      <c r="I22" s="179"/>
      <c r="J22" s="191"/>
    </row>
    <row r="23" ht="33.95" customHeight="1" outlineLevel="1" spans="1:10">
      <c r="A23" s="181">
        <v>5</v>
      </c>
      <c r="B23" s="185" t="s">
        <v>53</v>
      </c>
      <c r="C23" s="185"/>
      <c r="D23" s="178"/>
      <c r="E23" s="178"/>
      <c r="F23" s="187"/>
      <c r="G23" s="189"/>
      <c r="H23" s="188">
        <f t="shared" ref="H23:H54" si="2">E23*F23</f>
        <v>0</v>
      </c>
      <c r="I23" s="179"/>
      <c r="J23" s="191"/>
    </row>
    <row r="24" ht="33.95" customHeight="1" outlineLevel="2" spans="1:10">
      <c r="A24" s="181"/>
      <c r="B24" s="185" t="s">
        <v>41</v>
      </c>
      <c r="C24" s="185" t="s">
        <v>54</v>
      </c>
      <c r="D24" s="178" t="s">
        <v>39</v>
      </c>
      <c r="E24" s="178">
        <v>541.66</v>
      </c>
      <c r="F24" s="187">
        <v>6</v>
      </c>
      <c r="G24" s="189"/>
      <c r="H24" s="188">
        <f t="shared" si="2"/>
        <v>3249.96</v>
      </c>
      <c r="I24" s="179"/>
      <c r="J24" s="191"/>
    </row>
    <row r="25" ht="33" customHeight="1" outlineLevel="2" spans="1:10">
      <c r="A25" s="181"/>
      <c r="B25" s="185" t="s">
        <v>44</v>
      </c>
      <c r="C25" s="185" t="s">
        <v>45</v>
      </c>
      <c r="D25" s="178" t="s">
        <v>46</v>
      </c>
      <c r="E25" s="186">
        <f>E24*0.08</f>
        <v>43.3328</v>
      </c>
      <c r="F25" s="187">
        <f>F19</f>
        <v>600</v>
      </c>
      <c r="G25" s="187">
        <f>G19</f>
        <v>160</v>
      </c>
      <c r="H25" s="188">
        <f t="shared" si="2"/>
        <v>25999.68</v>
      </c>
      <c r="I25" s="179"/>
      <c r="J25" s="191"/>
    </row>
    <row r="26" ht="51" customHeight="1" outlineLevel="2" spans="1:10">
      <c r="A26" s="181"/>
      <c r="B26" s="185" t="s">
        <v>47</v>
      </c>
      <c r="C26" s="185" t="s">
        <v>55</v>
      </c>
      <c r="D26" s="178" t="s">
        <v>46</v>
      </c>
      <c r="E26" s="186">
        <f>E24*0.1</f>
        <v>54.166</v>
      </c>
      <c r="F26" s="187">
        <f>F20</f>
        <v>1000</v>
      </c>
      <c r="G26" s="187">
        <f>G20</f>
        <v>520</v>
      </c>
      <c r="H26" s="188">
        <f t="shared" si="2"/>
        <v>54166</v>
      </c>
      <c r="I26" s="179"/>
      <c r="J26" s="191"/>
    </row>
    <row r="27" ht="38.1" customHeight="1" outlineLevel="2" spans="1:10">
      <c r="A27" s="181"/>
      <c r="B27" s="185" t="s">
        <v>37</v>
      </c>
      <c r="C27" s="185" t="s">
        <v>56</v>
      </c>
      <c r="D27" s="178" t="s">
        <v>39</v>
      </c>
      <c r="E27" s="186">
        <v>541.66</v>
      </c>
      <c r="F27" s="187">
        <f>F21</f>
        <v>210</v>
      </c>
      <c r="G27" s="187">
        <f>G21</f>
        <v>85</v>
      </c>
      <c r="H27" s="188">
        <f t="shared" si="2"/>
        <v>113748.6</v>
      </c>
      <c r="I27" s="179"/>
      <c r="J27" s="191"/>
    </row>
    <row r="28" ht="35.1" customHeight="1" outlineLevel="1" spans="1:10">
      <c r="A28" s="181">
        <v>6</v>
      </c>
      <c r="B28" s="185" t="s">
        <v>57</v>
      </c>
      <c r="C28" s="185"/>
      <c r="D28" s="178"/>
      <c r="E28" s="186"/>
      <c r="F28" s="187"/>
      <c r="G28" s="189"/>
      <c r="H28" s="188">
        <f t="shared" si="2"/>
        <v>0</v>
      </c>
      <c r="I28" s="179"/>
      <c r="J28" s="191"/>
    </row>
    <row r="29" ht="35.1" customHeight="1" outlineLevel="2" spans="1:10">
      <c r="A29" s="185">
        <v>6.1</v>
      </c>
      <c r="B29" s="185" t="s">
        <v>58</v>
      </c>
      <c r="C29" s="185"/>
      <c r="D29" s="178"/>
      <c r="E29" s="186"/>
      <c r="F29" s="187"/>
      <c r="G29" s="189"/>
      <c r="H29" s="188">
        <f t="shared" si="2"/>
        <v>0</v>
      </c>
      <c r="I29" s="179"/>
      <c r="J29" s="191"/>
    </row>
    <row r="30" ht="33" customHeight="1" outlineLevel="3" spans="1:10">
      <c r="A30" s="181"/>
      <c r="B30" s="185" t="s">
        <v>41</v>
      </c>
      <c r="C30" s="185" t="s">
        <v>54</v>
      </c>
      <c r="D30" s="178" t="s">
        <v>39</v>
      </c>
      <c r="E30" s="178">
        <v>457.52</v>
      </c>
      <c r="F30" s="187">
        <v>6</v>
      </c>
      <c r="G30" s="189"/>
      <c r="H30" s="188">
        <f t="shared" si="2"/>
        <v>2745.12</v>
      </c>
      <c r="I30" s="179"/>
      <c r="J30" s="191"/>
    </row>
    <row r="31" ht="30" customHeight="1" outlineLevel="3" spans="1:10">
      <c r="A31" s="181"/>
      <c r="B31" s="185" t="s">
        <v>44</v>
      </c>
      <c r="C31" s="185" t="s">
        <v>45</v>
      </c>
      <c r="D31" s="178" t="s">
        <v>46</v>
      </c>
      <c r="E31" s="186">
        <f>E30*0.08</f>
        <v>36.6016</v>
      </c>
      <c r="F31" s="187">
        <f>F25</f>
        <v>600</v>
      </c>
      <c r="G31" s="187">
        <f>G25</f>
        <v>160</v>
      </c>
      <c r="H31" s="188">
        <f t="shared" si="2"/>
        <v>21960.96</v>
      </c>
      <c r="I31" s="179"/>
      <c r="J31" s="191"/>
    </row>
    <row r="32" ht="51" customHeight="1" outlineLevel="3" spans="1:10">
      <c r="A32" s="181"/>
      <c r="B32" s="185" t="s">
        <v>47</v>
      </c>
      <c r="C32" s="185" t="s">
        <v>55</v>
      </c>
      <c r="D32" s="178" t="s">
        <v>46</v>
      </c>
      <c r="E32" s="186">
        <f>E30*0.1</f>
        <v>45.752</v>
      </c>
      <c r="F32" s="187">
        <f>F26</f>
        <v>1000</v>
      </c>
      <c r="G32" s="187">
        <f>G26</f>
        <v>520</v>
      </c>
      <c r="H32" s="188">
        <f t="shared" si="2"/>
        <v>45752</v>
      </c>
      <c r="I32" s="179"/>
      <c r="J32" s="191"/>
    </row>
    <row r="33" ht="41.1" customHeight="1" outlineLevel="3" spans="1:10">
      <c r="A33" s="181"/>
      <c r="B33" s="185" t="s">
        <v>37</v>
      </c>
      <c r="C33" s="185" t="s">
        <v>59</v>
      </c>
      <c r="D33" s="178" t="s">
        <v>39</v>
      </c>
      <c r="E33" s="186">
        <f>2.52*(3*3+5)</f>
        <v>35.28</v>
      </c>
      <c r="F33" s="187">
        <v>230</v>
      </c>
      <c r="G33" s="187">
        <v>105</v>
      </c>
      <c r="H33" s="188">
        <f t="shared" si="2"/>
        <v>8114.4</v>
      </c>
      <c r="I33" s="179"/>
      <c r="J33" s="191"/>
    </row>
    <row r="34" ht="35.1" customHeight="1" outlineLevel="3" spans="1:10">
      <c r="A34" s="181"/>
      <c r="B34" s="185" t="s">
        <v>37</v>
      </c>
      <c r="C34" s="185" t="s">
        <v>60</v>
      </c>
      <c r="D34" s="178" t="s">
        <v>39</v>
      </c>
      <c r="E34" s="186">
        <f>8.23*(3*3+5)</f>
        <v>115.22</v>
      </c>
      <c r="F34" s="187">
        <f>F27</f>
        <v>210</v>
      </c>
      <c r="G34" s="187">
        <f>G27</f>
        <v>85</v>
      </c>
      <c r="H34" s="188">
        <f t="shared" si="2"/>
        <v>24196.2</v>
      </c>
      <c r="I34" s="179"/>
      <c r="J34" s="191"/>
    </row>
    <row r="35" ht="36" customHeight="1" outlineLevel="3" spans="1:10">
      <c r="A35" s="181"/>
      <c r="B35" s="185" t="s">
        <v>37</v>
      </c>
      <c r="C35" s="185" t="s">
        <v>56</v>
      </c>
      <c r="D35" s="178" t="s">
        <v>39</v>
      </c>
      <c r="E35" s="186">
        <f>15.27*(3*3+5)</f>
        <v>213.78</v>
      </c>
      <c r="F35" s="187">
        <f>F34</f>
        <v>210</v>
      </c>
      <c r="G35" s="187">
        <f>G34</f>
        <v>85</v>
      </c>
      <c r="H35" s="188">
        <f t="shared" si="2"/>
        <v>44893.8</v>
      </c>
      <c r="I35" s="179"/>
      <c r="J35" s="191"/>
    </row>
    <row r="36" ht="35.1" customHeight="1" outlineLevel="3" spans="1:10">
      <c r="A36" s="181"/>
      <c r="B36" s="185" t="s">
        <v>37</v>
      </c>
      <c r="C36" s="185" t="s">
        <v>61</v>
      </c>
      <c r="D36" s="178" t="s">
        <v>39</v>
      </c>
      <c r="E36" s="178">
        <f>5.25*(3*3+5)</f>
        <v>73.5</v>
      </c>
      <c r="F36" s="187">
        <f>F35</f>
        <v>210</v>
      </c>
      <c r="G36" s="187">
        <f>G35</f>
        <v>85</v>
      </c>
      <c r="H36" s="188">
        <f t="shared" si="2"/>
        <v>15435</v>
      </c>
      <c r="I36" s="179"/>
      <c r="J36" s="191"/>
    </row>
    <row r="37" ht="36" customHeight="1" outlineLevel="3" spans="1:10">
      <c r="A37" s="181"/>
      <c r="B37" s="185" t="s">
        <v>37</v>
      </c>
      <c r="C37" s="185" t="s">
        <v>62</v>
      </c>
      <c r="D37" s="178" t="s">
        <v>39</v>
      </c>
      <c r="E37" s="186">
        <f>1.41*(3*3+5)</f>
        <v>19.74</v>
      </c>
      <c r="F37" s="187">
        <f>F33</f>
        <v>230</v>
      </c>
      <c r="G37" s="187">
        <f>G33</f>
        <v>105</v>
      </c>
      <c r="H37" s="188">
        <f t="shared" si="2"/>
        <v>4540.2</v>
      </c>
      <c r="I37" s="179"/>
      <c r="J37" s="191"/>
    </row>
    <row r="38" ht="26.1" customHeight="1" outlineLevel="2" spans="1:10">
      <c r="A38" s="185">
        <v>6.2</v>
      </c>
      <c r="B38" s="185" t="s">
        <v>63</v>
      </c>
      <c r="C38" s="185"/>
      <c r="D38" s="178"/>
      <c r="E38" s="186"/>
      <c r="F38" s="187"/>
      <c r="G38" s="189"/>
      <c r="H38" s="188">
        <f t="shared" si="2"/>
        <v>0</v>
      </c>
      <c r="I38" s="179"/>
      <c r="J38" s="191"/>
    </row>
    <row r="39" ht="33.95" customHeight="1" outlineLevel="3" spans="1:10">
      <c r="A39" s="181"/>
      <c r="B39" s="185" t="s">
        <v>41</v>
      </c>
      <c r="C39" s="185" t="s">
        <v>54</v>
      </c>
      <c r="D39" s="178" t="s">
        <v>39</v>
      </c>
      <c r="E39" s="178">
        <v>136.8</v>
      </c>
      <c r="F39" s="187">
        <v>6</v>
      </c>
      <c r="G39" s="189"/>
      <c r="H39" s="188">
        <f t="shared" si="2"/>
        <v>820.8</v>
      </c>
      <c r="I39" s="179"/>
      <c r="J39" s="191"/>
    </row>
    <row r="40" ht="33" customHeight="1" outlineLevel="3" spans="1:10">
      <c r="A40" s="181"/>
      <c r="B40" s="185" t="s">
        <v>44</v>
      </c>
      <c r="C40" s="185" t="s">
        <v>45</v>
      </c>
      <c r="D40" s="178" t="s">
        <v>46</v>
      </c>
      <c r="E40" s="186">
        <f>E39*0.08</f>
        <v>10.944</v>
      </c>
      <c r="F40" s="187">
        <f>F31</f>
        <v>600</v>
      </c>
      <c r="G40" s="187">
        <f>G31</f>
        <v>160</v>
      </c>
      <c r="H40" s="188">
        <f t="shared" si="2"/>
        <v>6566.4</v>
      </c>
      <c r="I40" s="179"/>
      <c r="J40" s="191"/>
    </row>
    <row r="41" ht="51" customHeight="1" outlineLevel="3" spans="1:10">
      <c r="A41" s="181"/>
      <c r="B41" s="185" t="s">
        <v>47</v>
      </c>
      <c r="C41" s="185" t="s">
        <v>55</v>
      </c>
      <c r="D41" s="178" t="s">
        <v>46</v>
      </c>
      <c r="E41" s="186">
        <f>E39*0.1</f>
        <v>13.68</v>
      </c>
      <c r="F41" s="187">
        <f>F32</f>
        <v>1000</v>
      </c>
      <c r="G41" s="187">
        <f>G32</f>
        <v>520</v>
      </c>
      <c r="H41" s="188">
        <f t="shared" si="2"/>
        <v>13680</v>
      </c>
      <c r="I41" s="179"/>
      <c r="J41" s="191"/>
    </row>
    <row r="42" ht="42" customHeight="1" outlineLevel="3" spans="1:10">
      <c r="A42" s="181"/>
      <c r="B42" s="185" t="s">
        <v>37</v>
      </c>
      <c r="C42" s="185" t="s">
        <v>59</v>
      </c>
      <c r="D42" s="178" t="s">
        <v>39</v>
      </c>
      <c r="E42" s="186">
        <f>1.44*8</f>
        <v>11.52</v>
      </c>
      <c r="F42" s="187">
        <f>F33</f>
        <v>230</v>
      </c>
      <c r="G42" s="187">
        <f>G33</f>
        <v>105</v>
      </c>
      <c r="H42" s="188">
        <f t="shared" si="2"/>
        <v>2649.6</v>
      </c>
      <c r="I42" s="179"/>
      <c r="J42" s="191"/>
    </row>
    <row r="43" ht="38.1" customHeight="1" outlineLevel="3" spans="1:10">
      <c r="A43" s="181"/>
      <c r="B43" s="185" t="s">
        <v>37</v>
      </c>
      <c r="C43" s="185" t="s">
        <v>60</v>
      </c>
      <c r="D43" s="178" t="s">
        <v>39</v>
      </c>
      <c r="E43" s="186">
        <f>4.86*8</f>
        <v>38.88</v>
      </c>
      <c r="F43" s="187">
        <f>F34</f>
        <v>210</v>
      </c>
      <c r="G43" s="187">
        <f>G34</f>
        <v>85</v>
      </c>
      <c r="H43" s="188">
        <f t="shared" si="2"/>
        <v>8164.8</v>
      </c>
      <c r="I43" s="179"/>
      <c r="J43" s="191"/>
    </row>
    <row r="44" ht="42" customHeight="1" outlineLevel="3" spans="1:10">
      <c r="A44" s="181"/>
      <c r="B44" s="185" t="s">
        <v>37</v>
      </c>
      <c r="C44" s="185" t="s">
        <v>56</v>
      </c>
      <c r="D44" s="178" t="s">
        <v>39</v>
      </c>
      <c r="E44" s="186">
        <f>7.65*8</f>
        <v>61.2</v>
      </c>
      <c r="F44" s="187">
        <f>F43</f>
        <v>210</v>
      </c>
      <c r="G44" s="187">
        <f>G43</f>
        <v>85</v>
      </c>
      <c r="H44" s="188">
        <f t="shared" si="2"/>
        <v>12852</v>
      </c>
      <c r="I44" s="179"/>
      <c r="J44" s="191"/>
    </row>
    <row r="45" ht="38.1" customHeight="1" outlineLevel="3" spans="1:10">
      <c r="A45" s="181"/>
      <c r="B45" s="185" t="s">
        <v>37</v>
      </c>
      <c r="C45" s="185" t="s">
        <v>61</v>
      </c>
      <c r="D45" s="178" t="s">
        <v>39</v>
      </c>
      <c r="E45" s="178">
        <f>3.15*8</f>
        <v>25.2</v>
      </c>
      <c r="F45" s="187">
        <f>F44</f>
        <v>210</v>
      </c>
      <c r="G45" s="187">
        <f>G44</f>
        <v>85</v>
      </c>
      <c r="H45" s="188">
        <f t="shared" si="2"/>
        <v>5292</v>
      </c>
      <c r="I45" s="179"/>
      <c r="J45" s="191"/>
    </row>
    <row r="46" ht="35.1" customHeight="1" outlineLevel="2" spans="1:10">
      <c r="A46" s="185">
        <v>6.3</v>
      </c>
      <c r="B46" s="185" t="s">
        <v>64</v>
      </c>
      <c r="C46" s="185"/>
      <c r="D46" s="178"/>
      <c r="E46" s="186"/>
      <c r="F46" s="187"/>
      <c r="G46" s="189"/>
      <c r="H46" s="188">
        <f t="shared" si="2"/>
        <v>0</v>
      </c>
      <c r="I46" s="179"/>
      <c r="J46" s="191"/>
    </row>
    <row r="47" ht="27" customHeight="1" outlineLevel="3" spans="1:10">
      <c r="A47" s="181"/>
      <c r="B47" s="185" t="s">
        <v>41</v>
      </c>
      <c r="C47" s="185" t="s">
        <v>54</v>
      </c>
      <c r="D47" s="178" t="s">
        <v>39</v>
      </c>
      <c r="E47" s="178">
        <v>34.1</v>
      </c>
      <c r="F47" s="187">
        <v>6</v>
      </c>
      <c r="G47" s="189"/>
      <c r="H47" s="188">
        <f t="shared" si="2"/>
        <v>204.6</v>
      </c>
      <c r="I47" s="179"/>
      <c r="J47" s="191"/>
    </row>
    <row r="48" ht="26.1" customHeight="1" outlineLevel="3" spans="1:10">
      <c r="A48" s="181"/>
      <c r="B48" s="185" t="s">
        <v>44</v>
      </c>
      <c r="C48" s="185" t="s">
        <v>45</v>
      </c>
      <c r="D48" s="178" t="s">
        <v>46</v>
      </c>
      <c r="E48" s="186">
        <f>34.1*0.08</f>
        <v>2.728</v>
      </c>
      <c r="F48" s="187">
        <f>F40</f>
        <v>600</v>
      </c>
      <c r="G48" s="187">
        <f>G40</f>
        <v>160</v>
      </c>
      <c r="H48" s="188">
        <f t="shared" si="2"/>
        <v>1636.8</v>
      </c>
      <c r="I48" s="179"/>
      <c r="J48" s="191"/>
    </row>
    <row r="49" ht="45" customHeight="1" outlineLevel="3" spans="1:10">
      <c r="A49" s="181"/>
      <c r="B49" s="185" t="s">
        <v>47</v>
      </c>
      <c r="C49" s="185" t="s">
        <v>55</v>
      </c>
      <c r="D49" s="178" t="s">
        <v>46</v>
      </c>
      <c r="E49" s="186">
        <f>34.1*0.1</f>
        <v>3.41</v>
      </c>
      <c r="F49" s="187">
        <f>F41</f>
        <v>1000</v>
      </c>
      <c r="G49" s="187">
        <f>G41</f>
        <v>520</v>
      </c>
      <c r="H49" s="188">
        <f t="shared" si="2"/>
        <v>3410</v>
      </c>
      <c r="I49" s="179"/>
      <c r="J49" s="191"/>
    </row>
    <row r="50" ht="41.1" customHeight="1" outlineLevel="3" spans="1:10">
      <c r="A50" s="181"/>
      <c r="B50" s="185" t="s">
        <v>37</v>
      </c>
      <c r="C50" s="185" t="s">
        <v>59</v>
      </c>
      <c r="D50" s="178" t="s">
        <v>39</v>
      </c>
      <c r="E50" s="186">
        <f>1.44*2</f>
        <v>2.88</v>
      </c>
      <c r="F50" s="187">
        <f>F42</f>
        <v>230</v>
      </c>
      <c r="G50" s="187">
        <f>G42</f>
        <v>105</v>
      </c>
      <c r="H50" s="188">
        <f t="shared" si="2"/>
        <v>662.4</v>
      </c>
      <c r="I50" s="179"/>
      <c r="J50" s="191"/>
    </row>
    <row r="51" ht="38.1" customHeight="1" outlineLevel="3" spans="1:10">
      <c r="A51" s="181"/>
      <c r="B51" s="185" t="s">
        <v>37</v>
      </c>
      <c r="C51" s="185" t="s">
        <v>60</v>
      </c>
      <c r="D51" s="178" t="s">
        <v>39</v>
      </c>
      <c r="E51" s="186">
        <f>4.85*2</f>
        <v>9.7</v>
      </c>
      <c r="F51" s="187">
        <f>F43</f>
        <v>210</v>
      </c>
      <c r="G51" s="187">
        <f>G43</f>
        <v>85</v>
      </c>
      <c r="H51" s="188">
        <f t="shared" si="2"/>
        <v>2037</v>
      </c>
      <c r="I51" s="179"/>
      <c r="J51" s="191"/>
    </row>
    <row r="52" ht="42" customHeight="1" outlineLevel="3" spans="1:10">
      <c r="A52" s="181"/>
      <c r="B52" s="185" t="s">
        <v>37</v>
      </c>
      <c r="C52" s="185" t="s">
        <v>56</v>
      </c>
      <c r="D52" s="178" t="s">
        <v>39</v>
      </c>
      <c r="E52" s="186">
        <f>7.63*2</f>
        <v>15.26</v>
      </c>
      <c r="F52" s="187">
        <f>F51</f>
        <v>210</v>
      </c>
      <c r="G52" s="187">
        <f>G51</f>
        <v>85</v>
      </c>
      <c r="H52" s="188">
        <f t="shared" si="2"/>
        <v>3204.6</v>
      </c>
      <c r="I52" s="179"/>
      <c r="J52" s="191"/>
    </row>
    <row r="53" ht="38.1" customHeight="1" outlineLevel="3" spans="1:10">
      <c r="A53" s="181"/>
      <c r="B53" s="185" t="s">
        <v>37</v>
      </c>
      <c r="C53" s="185" t="s">
        <v>61</v>
      </c>
      <c r="D53" s="178" t="s">
        <v>39</v>
      </c>
      <c r="E53" s="178">
        <f>3.13*2</f>
        <v>6.26</v>
      </c>
      <c r="F53" s="187">
        <f>F52</f>
        <v>210</v>
      </c>
      <c r="G53" s="187">
        <f>G52</f>
        <v>85</v>
      </c>
      <c r="H53" s="188">
        <f t="shared" si="2"/>
        <v>1314.6</v>
      </c>
      <c r="I53" s="179"/>
      <c r="J53" s="191"/>
    </row>
    <row r="54" ht="35.1" customHeight="1" outlineLevel="2" spans="1:10">
      <c r="A54" s="185">
        <v>6.4</v>
      </c>
      <c r="B54" s="185" t="s">
        <v>65</v>
      </c>
      <c r="C54" s="185"/>
      <c r="D54" s="178"/>
      <c r="E54" s="186"/>
      <c r="F54" s="187"/>
      <c r="G54" s="189"/>
      <c r="H54" s="188">
        <f t="shared" si="2"/>
        <v>0</v>
      </c>
      <c r="I54" s="179"/>
      <c r="J54" s="191"/>
    </row>
    <row r="55" ht="33.95" customHeight="1" outlineLevel="4" spans="1:10">
      <c r="A55" s="181"/>
      <c r="B55" s="185" t="s">
        <v>41</v>
      </c>
      <c r="C55" s="185" t="s">
        <v>54</v>
      </c>
      <c r="D55" s="178" t="s">
        <v>39</v>
      </c>
      <c r="E55" s="178">
        <v>56.96</v>
      </c>
      <c r="F55" s="187">
        <v>6</v>
      </c>
      <c r="G55" s="189"/>
      <c r="H55" s="188">
        <f t="shared" ref="H55:H69" si="3">E55*F55</f>
        <v>341.76</v>
      </c>
      <c r="I55" s="179"/>
      <c r="J55" s="191"/>
    </row>
    <row r="56" ht="33" customHeight="1" outlineLevel="4" spans="1:10">
      <c r="A56" s="181"/>
      <c r="B56" s="185" t="s">
        <v>44</v>
      </c>
      <c r="C56" s="185" t="s">
        <v>45</v>
      </c>
      <c r="D56" s="178" t="s">
        <v>46</v>
      </c>
      <c r="E56" s="186">
        <f>E55*0.08</f>
        <v>4.5568</v>
      </c>
      <c r="F56" s="187">
        <f>F48</f>
        <v>600</v>
      </c>
      <c r="G56" s="187">
        <f>G48</f>
        <v>160</v>
      </c>
      <c r="H56" s="188">
        <f t="shared" si="3"/>
        <v>2734.08</v>
      </c>
      <c r="I56" s="179"/>
      <c r="J56" s="191"/>
    </row>
    <row r="57" ht="51" customHeight="1" outlineLevel="4" spans="1:10">
      <c r="A57" s="181"/>
      <c r="B57" s="185" t="s">
        <v>47</v>
      </c>
      <c r="C57" s="185" t="s">
        <v>55</v>
      </c>
      <c r="D57" s="178" t="s">
        <v>46</v>
      </c>
      <c r="E57" s="186">
        <f>E55*0.1</f>
        <v>5.696</v>
      </c>
      <c r="F57" s="187">
        <f>F49</f>
        <v>1000</v>
      </c>
      <c r="G57" s="187">
        <f>G49</f>
        <v>520</v>
      </c>
      <c r="H57" s="188">
        <f t="shared" si="3"/>
        <v>5696</v>
      </c>
      <c r="I57" s="179"/>
      <c r="J57" s="191"/>
    </row>
    <row r="58" ht="38.1" customHeight="1" outlineLevel="4" spans="1:10">
      <c r="A58" s="181"/>
      <c r="B58" s="185" t="s">
        <v>37</v>
      </c>
      <c r="C58" s="185" t="s">
        <v>60</v>
      </c>
      <c r="D58" s="178" t="s">
        <v>39</v>
      </c>
      <c r="E58" s="186">
        <f>7.52*2</f>
        <v>15.04</v>
      </c>
      <c r="F58" s="187">
        <f>F51</f>
        <v>210</v>
      </c>
      <c r="G58" s="187">
        <f>G51</f>
        <v>85</v>
      </c>
      <c r="H58" s="188">
        <f t="shared" si="3"/>
        <v>3158.4</v>
      </c>
      <c r="I58" s="179"/>
      <c r="J58" s="191"/>
    </row>
    <row r="59" ht="42" customHeight="1" outlineLevel="4" spans="1:10">
      <c r="A59" s="181"/>
      <c r="B59" s="185" t="s">
        <v>37</v>
      </c>
      <c r="C59" s="185" t="s">
        <v>56</v>
      </c>
      <c r="D59" s="178" t="s">
        <v>39</v>
      </c>
      <c r="E59" s="186">
        <f>17.54*2</f>
        <v>35.08</v>
      </c>
      <c r="F59" s="187">
        <f>F58</f>
        <v>210</v>
      </c>
      <c r="G59" s="187">
        <f>G58</f>
        <v>85</v>
      </c>
      <c r="H59" s="188">
        <f t="shared" si="3"/>
        <v>7366.8</v>
      </c>
      <c r="I59" s="179"/>
      <c r="J59" s="191"/>
    </row>
    <row r="60" ht="38.1" customHeight="1" outlineLevel="4" spans="1:10">
      <c r="A60" s="181"/>
      <c r="B60" s="185" t="s">
        <v>37</v>
      </c>
      <c r="C60" s="185" t="s">
        <v>61</v>
      </c>
      <c r="D60" s="178" t="s">
        <v>39</v>
      </c>
      <c r="E60" s="178">
        <f>3.42*2</f>
        <v>6.84</v>
      </c>
      <c r="F60" s="187">
        <f>F59</f>
        <v>210</v>
      </c>
      <c r="G60" s="187">
        <f>G59</f>
        <v>85</v>
      </c>
      <c r="H60" s="188">
        <f t="shared" si="3"/>
        <v>1436.4</v>
      </c>
      <c r="I60" s="179"/>
      <c r="J60" s="191"/>
    </row>
    <row r="61" ht="22.7" customHeight="1" outlineLevel="3" spans="1:10">
      <c r="A61" s="181"/>
      <c r="B61" s="182" t="s">
        <v>66</v>
      </c>
      <c r="C61" s="182"/>
      <c r="D61" s="181"/>
      <c r="E61" s="183"/>
      <c r="F61" s="184"/>
      <c r="G61" s="184"/>
      <c r="H61" s="188">
        <f t="shared" si="3"/>
        <v>0</v>
      </c>
      <c r="I61" s="184"/>
      <c r="J61" s="184"/>
    </row>
    <row r="62" ht="27" customHeight="1" outlineLevel="4" spans="1:10">
      <c r="A62" s="181"/>
      <c r="B62" s="190" t="s">
        <v>41</v>
      </c>
      <c r="C62" s="190" t="s">
        <v>42</v>
      </c>
      <c r="D62" s="186" t="s">
        <v>39</v>
      </c>
      <c r="E62" s="186">
        <v>13.13</v>
      </c>
      <c r="F62" s="187">
        <v>6</v>
      </c>
      <c r="G62" s="184"/>
      <c r="H62" s="188">
        <f t="shared" si="3"/>
        <v>78.78</v>
      </c>
      <c r="I62" s="184"/>
      <c r="J62" s="184"/>
    </row>
    <row r="63" ht="26.1" customHeight="1" outlineLevel="4" spans="1:10">
      <c r="A63" s="181"/>
      <c r="B63" s="190" t="s">
        <v>44</v>
      </c>
      <c r="C63" s="190" t="s">
        <v>67</v>
      </c>
      <c r="D63" s="186" t="s">
        <v>46</v>
      </c>
      <c r="E63" s="186">
        <f>1.97/0.15*0.1</f>
        <v>1.31333333333333</v>
      </c>
      <c r="F63" s="187">
        <f>F56</f>
        <v>600</v>
      </c>
      <c r="G63" s="187">
        <f>G56</f>
        <v>160</v>
      </c>
      <c r="H63" s="188">
        <f t="shared" si="3"/>
        <v>787.999999999998</v>
      </c>
      <c r="I63" s="184"/>
      <c r="J63" s="184"/>
    </row>
    <row r="64" ht="54.95" customHeight="1" outlineLevel="4" spans="1:10">
      <c r="A64" s="181"/>
      <c r="B64" s="190" t="s">
        <v>68</v>
      </c>
      <c r="C64" s="190" t="s">
        <v>69</v>
      </c>
      <c r="D64" s="186" t="s">
        <v>39</v>
      </c>
      <c r="E64" s="186">
        <v>13.13</v>
      </c>
      <c r="F64" s="187">
        <v>192.01</v>
      </c>
      <c r="G64" s="184">
        <v>535</v>
      </c>
      <c r="H64" s="188">
        <f t="shared" si="3"/>
        <v>2521.0913</v>
      </c>
      <c r="I64" s="184"/>
      <c r="J64" s="184"/>
    </row>
    <row r="65" ht="45" customHeight="1" outlineLevel="4" spans="1:10">
      <c r="A65" s="181"/>
      <c r="B65" s="190" t="s">
        <v>70</v>
      </c>
      <c r="C65" s="185" t="s">
        <v>71</v>
      </c>
      <c r="D65" s="186" t="s">
        <v>72</v>
      </c>
      <c r="E65" s="186">
        <v>0.1</v>
      </c>
      <c r="F65" s="187">
        <v>9000</v>
      </c>
      <c r="G65" s="184">
        <v>4600</v>
      </c>
      <c r="H65" s="188">
        <f t="shared" si="3"/>
        <v>900</v>
      </c>
      <c r="I65" s="184"/>
      <c r="J65" s="184"/>
    </row>
    <row r="66" ht="39" customHeight="1" outlineLevel="4" spans="1:10">
      <c r="A66" s="181"/>
      <c r="B66" s="190" t="s">
        <v>73</v>
      </c>
      <c r="C66" s="185" t="s">
        <v>74</v>
      </c>
      <c r="D66" s="178" t="s">
        <v>39</v>
      </c>
      <c r="E66" s="186">
        <v>13.13</v>
      </c>
      <c r="F66" s="187">
        <v>352.7</v>
      </c>
      <c r="G66" s="184">
        <v>145</v>
      </c>
      <c r="H66" s="188">
        <f t="shared" si="3"/>
        <v>4630.951</v>
      </c>
      <c r="I66" s="184"/>
      <c r="J66" s="184"/>
    </row>
    <row r="67" ht="44.1" customHeight="1" outlineLevel="4" spans="1:10">
      <c r="A67" s="181"/>
      <c r="B67" s="190" t="s">
        <v>75</v>
      </c>
      <c r="C67" s="185" t="s">
        <v>76</v>
      </c>
      <c r="D67" s="178" t="s">
        <v>39</v>
      </c>
      <c r="E67" s="186">
        <v>3.75</v>
      </c>
      <c r="F67" s="187">
        <v>398.86</v>
      </c>
      <c r="G67" s="184">
        <v>172</v>
      </c>
      <c r="H67" s="188">
        <f t="shared" si="3"/>
        <v>1495.725</v>
      </c>
      <c r="I67" s="184"/>
      <c r="J67" s="184"/>
    </row>
    <row r="68" ht="22.7" customHeight="1" outlineLevel="3" collapsed="1" spans="1:10">
      <c r="A68" s="181"/>
      <c r="B68" s="182" t="s">
        <v>77</v>
      </c>
      <c r="C68" s="182"/>
      <c r="D68" s="181"/>
      <c r="E68" s="183"/>
      <c r="F68" s="184"/>
      <c r="G68" s="184"/>
      <c r="H68" s="188">
        <f t="shared" si="3"/>
        <v>0</v>
      </c>
      <c r="I68" s="184"/>
      <c r="J68" s="184"/>
    </row>
    <row r="69" ht="27" customHeight="1" outlineLevel="3" spans="1:10">
      <c r="A69" s="181"/>
      <c r="B69" s="190" t="s">
        <v>41</v>
      </c>
      <c r="C69" s="190" t="s">
        <v>42</v>
      </c>
      <c r="D69" s="186" t="s">
        <v>39</v>
      </c>
      <c r="E69" s="186">
        <v>16.78</v>
      </c>
      <c r="F69" s="187">
        <v>6</v>
      </c>
      <c r="G69" s="184"/>
      <c r="H69" s="188">
        <f t="shared" si="3"/>
        <v>100.68</v>
      </c>
      <c r="I69" s="184"/>
      <c r="J69" s="184"/>
    </row>
    <row r="70" ht="26.1" customHeight="1" outlineLevel="3" spans="1:10">
      <c r="A70" s="181"/>
      <c r="B70" s="190" t="s">
        <v>44</v>
      </c>
      <c r="C70" s="190" t="s">
        <v>67</v>
      </c>
      <c r="D70" s="186" t="s">
        <v>46</v>
      </c>
      <c r="E70" s="186">
        <f>2.52/0.15*0.1</f>
        <v>1.68</v>
      </c>
      <c r="F70" s="187">
        <f>F63</f>
        <v>600</v>
      </c>
      <c r="G70" s="187">
        <f>G63</f>
        <v>160</v>
      </c>
      <c r="H70" s="188">
        <f t="shared" ref="H70:H133" si="4">E70*F70</f>
        <v>1008</v>
      </c>
      <c r="I70" s="184"/>
      <c r="J70" s="184"/>
    </row>
    <row r="71" ht="54.95" customHeight="1" outlineLevel="3" spans="1:10">
      <c r="A71" s="181"/>
      <c r="B71" s="190" t="s">
        <v>78</v>
      </c>
      <c r="C71" s="190" t="s">
        <v>48</v>
      </c>
      <c r="D71" s="186" t="s">
        <v>46</v>
      </c>
      <c r="E71" s="186">
        <v>1.68</v>
      </c>
      <c r="F71" s="187">
        <f>F57</f>
        <v>1000</v>
      </c>
      <c r="G71" s="192">
        <f>G57</f>
        <v>520</v>
      </c>
      <c r="H71" s="188">
        <f t="shared" si="4"/>
        <v>1680</v>
      </c>
      <c r="I71" s="184"/>
      <c r="J71" s="184"/>
    </row>
    <row r="72" ht="54.95" customHeight="1" outlineLevel="3" spans="1:10">
      <c r="A72" s="181"/>
      <c r="B72" s="190" t="s">
        <v>79</v>
      </c>
      <c r="C72" s="190" t="s">
        <v>80</v>
      </c>
      <c r="D72" s="186" t="s">
        <v>81</v>
      </c>
      <c r="E72" s="186">
        <v>15.6</v>
      </c>
      <c r="F72" s="187">
        <v>500</v>
      </c>
      <c r="G72" s="184">
        <v>175</v>
      </c>
      <c r="H72" s="188">
        <f t="shared" si="4"/>
        <v>7800</v>
      </c>
      <c r="I72" s="184"/>
      <c r="J72" s="184"/>
    </row>
    <row r="73" ht="44.1" customHeight="1" outlineLevel="3" spans="1:10">
      <c r="A73" s="181"/>
      <c r="B73" s="190" t="s">
        <v>82</v>
      </c>
      <c r="C73" s="185" t="s">
        <v>83</v>
      </c>
      <c r="D73" s="178" t="s">
        <v>39</v>
      </c>
      <c r="E73" s="186">
        <v>12.35</v>
      </c>
      <c r="F73" s="187">
        <f>F60</f>
        <v>210</v>
      </c>
      <c r="G73" s="192">
        <f>G60</f>
        <v>85</v>
      </c>
      <c r="H73" s="188">
        <f t="shared" si="4"/>
        <v>2593.5</v>
      </c>
      <c r="I73" s="184"/>
      <c r="J73" s="184"/>
    </row>
    <row r="74" ht="39.95" customHeight="1" outlineLevel="3" spans="1:10">
      <c r="A74" s="181"/>
      <c r="B74" s="190" t="s">
        <v>84</v>
      </c>
      <c r="C74" s="185" t="s">
        <v>85</v>
      </c>
      <c r="D74" s="178" t="s">
        <v>39</v>
      </c>
      <c r="E74" s="186">
        <v>6.67</v>
      </c>
      <c r="F74" s="187">
        <f>F73</f>
        <v>210</v>
      </c>
      <c r="G74" s="192">
        <f>G73</f>
        <v>85</v>
      </c>
      <c r="H74" s="188">
        <f t="shared" si="4"/>
        <v>1400.7</v>
      </c>
      <c r="I74" s="184"/>
      <c r="J74" s="184"/>
    </row>
    <row r="75" ht="35.1" customHeight="1" outlineLevel="2" spans="1:10">
      <c r="A75" s="185">
        <v>6.5</v>
      </c>
      <c r="B75" s="185" t="s">
        <v>86</v>
      </c>
      <c r="C75" s="185"/>
      <c r="D75" s="178"/>
      <c r="E75" s="186"/>
      <c r="F75" s="187"/>
      <c r="G75" s="189"/>
      <c r="H75" s="188">
        <f t="shared" si="4"/>
        <v>0</v>
      </c>
      <c r="I75" s="179"/>
      <c r="J75" s="191"/>
    </row>
    <row r="76" ht="27.95" customHeight="1" outlineLevel="3" spans="1:10">
      <c r="A76" s="181"/>
      <c r="B76" s="185" t="s">
        <v>41</v>
      </c>
      <c r="C76" s="185" t="s">
        <v>54</v>
      </c>
      <c r="D76" s="178" t="s">
        <v>39</v>
      </c>
      <c r="E76" s="178">
        <v>80.36</v>
      </c>
      <c r="F76" s="187">
        <v>6</v>
      </c>
      <c r="G76" s="189"/>
      <c r="H76" s="188">
        <f t="shared" si="4"/>
        <v>482.16</v>
      </c>
      <c r="I76" s="179"/>
      <c r="J76" s="191"/>
    </row>
    <row r="77" ht="33" customHeight="1" outlineLevel="3" spans="1:10">
      <c r="A77" s="181"/>
      <c r="B77" s="185" t="s">
        <v>44</v>
      </c>
      <c r="C77" s="185" t="s">
        <v>45</v>
      </c>
      <c r="D77" s="178" t="s">
        <v>46</v>
      </c>
      <c r="E77" s="186">
        <f>E76*0.08</f>
        <v>6.4288</v>
      </c>
      <c r="F77" s="187">
        <f>F70</f>
        <v>600</v>
      </c>
      <c r="G77" s="187">
        <f>G70</f>
        <v>160</v>
      </c>
      <c r="H77" s="188">
        <f t="shared" si="4"/>
        <v>3857.28</v>
      </c>
      <c r="I77" s="179"/>
      <c r="J77" s="191"/>
    </row>
    <row r="78" ht="51" customHeight="1" outlineLevel="3" spans="1:10">
      <c r="A78" s="181"/>
      <c r="B78" s="185" t="s">
        <v>47</v>
      </c>
      <c r="C78" s="185" t="s">
        <v>55</v>
      </c>
      <c r="D78" s="178" t="s">
        <v>46</v>
      </c>
      <c r="E78" s="186">
        <f>E76*0.1</f>
        <v>8.036</v>
      </c>
      <c r="F78" s="187">
        <f>F71</f>
        <v>1000</v>
      </c>
      <c r="G78" s="187">
        <f>G71</f>
        <v>520</v>
      </c>
      <c r="H78" s="188">
        <f t="shared" si="4"/>
        <v>8036</v>
      </c>
      <c r="I78" s="179"/>
      <c r="J78" s="191"/>
    </row>
    <row r="79" ht="51" customHeight="1" outlineLevel="3" spans="1:10">
      <c r="A79" s="181"/>
      <c r="B79" s="185" t="s">
        <v>37</v>
      </c>
      <c r="C79" s="185" t="s">
        <v>59</v>
      </c>
      <c r="D79" s="178" t="s">
        <v>39</v>
      </c>
      <c r="E79" s="186">
        <f>2.52*2</f>
        <v>5.04</v>
      </c>
      <c r="F79" s="187">
        <f>F50</f>
        <v>230</v>
      </c>
      <c r="G79" s="187">
        <f>G50</f>
        <v>105</v>
      </c>
      <c r="H79" s="188">
        <f t="shared" si="4"/>
        <v>1159.2</v>
      </c>
      <c r="I79" s="179"/>
      <c r="J79" s="191"/>
    </row>
    <row r="80" ht="38.1" customHeight="1" outlineLevel="3" spans="1:10">
      <c r="A80" s="181"/>
      <c r="B80" s="185" t="s">
        <v>37</v>
      </c>
      <c r="C80" s="185" t="s">
        <v>60</v>
      </c>
      <c r="D80" s="178" t="s">
        <v>39</v>
      </c>
      <c r="E80" s="186">
        <f>9.15*2</f>
        <v>18.3</v>
      </c>
      <c r="F80" s="187">
        <f>F74</f>
        <v>210</v>
      </c>
      <c r="G80" s="187">
        <f>G74</f>
        <v>85</v>
      </c>
      <c r="H80" s="188">
        <f t="shared" si="4"/>
        <v>3843</v>
      </c>
      <c r="I80" s="179"/>
      <c r="J80" s="191"/>
    </row>
    <row r="81" ht="42" customHeight="1" outlineLevel="3" spans="1:10">
      <c r="A81" s="181"/>
      <c r="B81" s="185" t="s">
        <v>37</v>
      </c>
      <c r="C81" s="185" t="s">
        <v>56</v>
      </c>
      <c r="D81" s="178" t="s">
        <v>39</v>
      </c>
      <c r="E81" s="186">
        <f>20.68*2</f>
        <v>41.36</v>
      </c>
      <c r="F81" s="187">
        <f>F80</f>
        <v>210</v>
      </c>
      <c r="G81" s="187">
        <f>G80</f>
        <v>85</v>
      </c>
      <c r="H81" s="188">
        <f t="shared" si="4"/>
        <v>8685.6</v>
      </c>
      <c r="I81" s="179"/>
      <c r="J81" s="191"/>
    </row>
    <row r="82" ht="38.1" customHeight="1" outlineLevel="3" spans="1:10">
      <c r="A82" s="181"/>
      <c r="B82" s="185" t="s">
        <v>37</v>
      </c>
      <c r="C82" s="185" t="s">
        <v>61</v>
      </c>
      <c r="D82" s="178" t="s">
        <v>39</v>
      </c>
      <c r="E82" s="178">
        <f>5.71*2</f>
        <v>11.42</v>
      </c>
      <c r="F82" s="187">
        <f>F81</f>
        <v>210</v>
      </c>
      <c r="G82" s="187">
        <f>G81</f>
        <v>85</v>
      </c>
      <c r="H82" s="188">
        <f t="shared" si="4"/>
        <v>2398.2</v>
      </c>
      <c r="I82" s="179"/>
      <c r="J82" s="191"/>
    </row>
    <row r="83" ht="51" customHeight="1" outlineLevel="3" spans="1:10">
      <c r="A83" s="181"/>
      <c r="B83" s="185" t="s">
        <v>37</v>
      </c>
      <c r="C83" s="185" t="s">
        <v>62</v>
      </c>
      <c r="D83" s="178" t="s">
        <v>39</v>
      </c>
      <c r="E83" s="186">
        <f>2.12*2</f>
        <v>4.24</v>
      </c>
      <c r="F83" s="187">
        <f>F79</f>
        <v>230</v>
      </c>
      <c r="G83" s="187">
        <f>G79</f>
        <v>105</v>
      </c>
      <c r="H83" s="188">
        <f t="shared" si="4"/>
        <v>975.2</v>
      </c>
      <c r="I83" s="179"/>
      <c r="J83" s="191"/>
    </row>
    <row r="84" ht="35.1" customHeight="1" outlineLevel="2" collapsed="1" spans="1:10">
      <c r="A84" s="185">
        <v>6.6</v>
      </c>
      <c r="B84" s="185" t="s">
        <v>87</v>
      </c>
      <c r="C84" s="185"/>
      <c r="D84" s="178"/>
      <c r="E84" s="186"/>
      <c r="F84" s="187"/>
      <c r="G84" s="189"/>
      <c r="H84" s="188">
        <f t="shared" si="4"/>
        <v>0</v>
      </c>
      <c r="I84" s="179"/>
      <c r="J84" s="191"/>
    </row>
    <row r="85" ht="33.95" customHeight="1" outlineLevel="2" spans="1:10">
      <c r="A85" s="181"/>
      <c r="B85" s="185" t="s">
        <v>41</v>
      </c>
      <c r="C85" s="185" t="s">
        <v>54</v>
      </c>
      <c r="D85" s="178" t="s">
        <v>39</v>
      </c>
      <c r="E85" s="178">
        <v>73.23</v>
      </c>
      <c r="F85" s="187">
        <v>6</v>
      </c>
      <c r="G85" s="189"/>
      <c r="H85" s="188">
        <f t="shared" si="4"/>
        <v>439.38</v>
      </c>
      <c r="I85" s="179"/>
      <c r="J85" s="191"/>
    </row>
    <row r="86" ht="33" customHeight="1" outlineLevel="2" spans="1:10">
      <c r="A86" s="181"/>
      <c r="B86" s="185" t="s">
        <v>44</v>
      </c>
      <c r="C86" s="185" t="s">
        <v>45</v>
      </c>
      <c r="D86" s="178" t="s">
        <v>46</v>
      </c>
      <c r="E86" s="186">
        <f>E85*0.08</f>
        <v>5.8584</v>
      </c>
      <c r="F86" s="187">
        <f>F77</f>
        <v>600</v>
      </c>
      <c r="G86" s="187">
        <f>G77</f>
        <v>160</v>
      </c>
      <c r="H86" s="188">
        <f t="shared" si="4"/>
        <v>3515.04</v>
      </c>
      <c r="I86" s="179"/>
      <c r="J86" s="191"/>
    </row>
    <row r="87" ht="51" customHeight="1" outlineLevel="2" spans="1:10">
      <c r="A87" s="181"/>
      <c r="B87" s="185" t="s">
        <v>47</v>
      </c>
      <c r="C87" s="185" t="s">
        <v>55</v>
      </c>
      <c r="D87" s="178" t="s">
        <v>46</v>
      </c>
      <c r="E87" s="186">
        <f>E85*0.1</f>
        <v>7.323</v>
      </c>
      <c r="F87" s="187">
        <f>F78</f>
        <v>1000</v>
      </c>
      <c r="G87" s="187">
        <f>G78</f>
        <v>520</v>
      </c>
      <c r="H87" s="188">
        <f t="shared" si="4"/>
        <v>7323</v>
      </c>
      <c r="I87" s="179"/>
      <c r="J87" s="191"/>
    </row>
    <row r="88" ht="38.1" customHeight="1" outlineLevel="2" spans="1:10">
      <c r="A88" s="181"/>
      <c r="B88" s="185" t="s">
        <v>37</v>
      </c>
      <c r="C88" s="185" t="s">
        <v>60</v>
      </c>
      <c r="D88" s="178" t="s">
        <v>39</v>
      </c>
      <c r="E88" s="186">
        <v>48.98</v>
      </c>
      <c r="F88" s="187">
        <f>F82</f>
        <v>210</v>
      </c>
      <c r="G88" s="187">
        <f>G82</f>
        <v>85</v>
      </c>
      <c r="H88" s="188">
        <f t="shared" si="4"/>
        <v>10285.8</v>
      </c>
      <c r="I88" s="179"/>
      <c r="J88" s="191"/>
    </row>
    <row r="89" ht="38.1" customHeight="1" outlineLevel="2" spans="1:10">
      <c r="A89" s="181"/>
      <c r="B89" s="185" t="s">
        <v>37</v>
      </c>
      <c r="C89" s="185" t="s">
        <v>61</v>
      </c>
      <c r="D89" s="178" t="s">
        <v>39</v>
      </c>
      <c r="E89" s="178">
        <v>24.25</v>
      </c>
      <c r="F89" s="187">
        <f>F88</f>
        <v>210</v>
      </c>
      <c r="G89" s="187">
        <f>G88</f>
        <v>85</v>
      </c>
      <c r="H89" s="188">
        <f t="shared" si="4"/>
        <v>5092.5</v>
      </c>
      <c r="I89" s="179"/>
      <c r="J89" s="191"/>
    </row>
    <row r="90" ht="38.1" customHeight="1" outlineLevel="1" collapsed="1" spans="1:10">
      <c r="A90" s="181">
        <v>7</v>
      </c>
      <c r="B90" s="185" t="s">
        <v>88</v>
      </c>
      <c r="C90" s="185"/>
      <c r="D90" s="178"/>
      <c r="E90" s="178"/>
      <c r="F90" s="187"/>
      <c r="G90" s="189"/>
      <c r="H90" s="188">
        <f t="shared" si="4"/>
        <v>0</v>
      </c>
      <c r="I90" s="179"/>
      <c r="J90" s="191"/>
    </row>
    <row r="91" ht="42" customHeight="1" outlineLevel="1" spans="1:10">
      <c r="A91" s="178"/>
      <c r="B91" s="185" t="s">
        <v>41</v>
      </c>
      <c r="C91" s="185" t="s">
        <v>42</v>
      </c>
      <c r="D91" s="178" t="s">
        <v>39</v>
      </c>
      <c r="E91" s="186">
        <f>0.3*0.6*(40+11+14+17+16+7)</f>
        <v>18.9</v>
      </c>
      <c r="F91" s="187">
        <v>6</v>
      </c>
      <c r="G91" s="179"/>
      <c r="H91" s="188">
        <f t="shared" si="4"/>
        <v>113.4</v>
      </c>
      <c r="I91" s="191"/>
      <c r="J91" s="191"/>
    </row>
    <row r="92" ht="42" customHeight="1" outlineLevel="1" spans="1:10">
      <c r="A92" s="178"/>
      <c r="B92" s="185" t="s">
        <v>44</v>
      </c>
      <c r="C92" s="185" t="s">
        <v>45</v>
      </c>
      <c r="D92" s="178" t="s">
        <v>46</v>
      </c>
      <c r="E92" s="186">
        <f>E91*0.08</f>
        <v>1.512</v>
      </c>
      <c r="F92" s="187">
        <f>F86</f>
        <v>600</v>
      </c>
      <c r="G92" s="187">
        <f>G86</f>
        <v>160</v>
      </c>
      <c r="H92" s="188">
        <f t="shared" si="4"/>
        <v>907.2</v>
      </c>
      <c r="I92" s="191"/>
      <c r="J92" s="191"/>
    </row>
    <row r="93" ht="48.95" customHeight="1" outlineLevel="1" spans="1:10">
      <c r="A93" s="178"/>
      <c r="B93" s="185" t="s">
        <v>47</v>
      </c>
      <c r="C93" s="185" t="s">
        <v>48</v>
      </c>
      <c r="D93" s="178" t="s">
        <v>46</v>
      </c>
      <c r="E93" s="186">
        <f>E91*0.1</f>
        <v>1.89</v>
      </c>
      <c r="F93" s="187">
        <f>F87</f>
        <v>1000</v>
      </c>
      <c r="G93" s="187">
        <f>G87</f>
        <v>520</v>
      </c>
      <c r="H93" s="188">
        <f t="shared" si="4"/>
        <v>1890</v>
      </c>
      <c r="I93" s="191"/>
      <c r="J93" s="191"/>
    </row>
    <row r="94" ht="42" customHeight="1" outlineLevel="1" spans="1:10">
      <c r="A94" s="178"/>
      <c r="B94" s="185" t="s">
        <v>89</v>
      </c>
      <c r="C94" s="185" t="s">
        <v>90</v>
      </c>
      <c r="D94" s="178" t="s">
        <v>39</v>
      </c>
      <c r="E94" s="186">
        <f>0.3*0.6*(40+11+14+17+16+7)</f>
        <v>18.9</v>
      </c>
      <c r="F94" s="187">
        <v>215.08</v>
      </c>
      <c r="G94" s="187">
        <v>140</v>
      </c>
      <c r="H94" s="188">
        <f t="shared" si="4"/>
        <v>4065.012</v>
      </c>
      <c r="I94" s="191"/>
      <c r="J94" s="191"/>
    </row>
    <row r="95" ht="29.1" customHeight="1" spans="1:10">
      <c r="A95" s="181" t="s">
        <v>91</v>
      </c>
      <c r="B95" s="182" t="s">
        <v>92</v>
      </c>
      <c r="C95" s="182"/>
      <c r="D95" s="181"/>
      <c r="E95" s="183"/>
      <c r="F95" s="184"/>
      <c r="G95" s="184"/>
      <c r="H95" s="188">
        <f t="shared" si="4"/>
        <v>0</v>
      </c>
      <c r="I95" s="184"/>
      <c r="J95" s="184"/>
    </row>
    <row r="96" ht="36" customHeight="1" outlineLevel="1" spans="1:10">
      <c r="A96" s="178"/>
      <c r="B96" s="185" t="s">
        <v>93</v>
      </c>
      <c r="C96" s="185" t="s">
        <v>94</v>
      </c>
      <c r="D96" s="178" t="s">
        <v>46</v>
      </c>
      <c r="E96" s="186">
        <v>5.47</v>
      </c>
      <c r="F96" s="187">
        <v>30</v>
      </c>
      <c r="G96" s="179"/>
      <c r="H96" s="188">
        <f t="shared" si="4"/>
        <v>164.1</v>
      </c>
      <c r="I96" s="191"/>
      <c r="J96" s="191"/>
    </row>
    <row r="97" ht="38.1" customHeight="1" outlineLevel="1" spans="1:10">
      <c r="A97" s="178"/>
      <c r="B97" s="185" t="s">
        <v>41</v>
      </c>
      <c r="C97" s="185" t="s">
        <v>42</v>
      </c>
      <c r="D97" s="178" t="s">
        <v>39</v>
      </c>
      <c r="E97" s="186">
        <v>10.04</v>
      </c>
      <c r="F97" s="187">
        <v>6</v>
      </c>
      <c r="G97" s="179"/>
      <c r="H97" s="188">
        <f t="shared" si="4"/>
        <v>60.24</v>
      </c>
      <c r="I97" s="191"/>
      <c r="J97" s="191"/>
    </row>
    <row r="98" ht="38.1" customHeight="1" outlineLevel="1" spans="1:10">
      <c r="A98" s="178"/>
      <c r="B98" s="185" t="s">
        <v>44</v>
      </c>
      <c r="C98" s="185" t="s">
        <v>67</v>
      </c>
      <c r="D98" s="178" t="s">
        <v>46</v>
      </c>
      <c r="E98" s="186">
        <f>0.19*8/0.15*0.1</f>
        <v>1.01333333333333</v>
      </c>
      <c r="F98" s="187">
        <f>F92</f>
        <v>600</v>
      </c>
      <c r="G98" s="187">
        <f>G92</f>
        <v>160</v>
      </c>
      <c r="H98" s="188">
        <f t="shared" si="4"/>
        <v>607.999999999998</v>
      </c>
      <c r="I98" s="191"/>
      <c r="J98" s="191"/>
    </row>
    <row r="99" ht="51.95" customHeight="1" outlineLevel="1" spans="1:10">
      <c r="A99" s="178"/>
      <c r="B99" s="185" t="s">
        <v>47</v>
      </c>
      <c r="C99" s="185" t="s">
        <v>48</v>
      </c>
      <c r="D99" s="178" t="s">
        <v>46</v>
      </c>
      <c r="E99" s="186">
        <f>0.08*8</f>
        <v>0.64</v>
      </c>
      <c r="F99" s="187">
        <f>F93</f>
        <v>1000</v>
      </c>
      <c r="G99" s="187">
        <f>G93</f>
        <v>520</v>
      </c>
      <c r="H99" s="188">
        <f t="shared" si="4"/>
        <v>640</v>
      </c>
      <c r="I99" s="191"/>
      <c r="J99" s="191"/>
    </row>
    <row r="100" ht="51.95" customHeight="1" outlineLevel="1" spans="1:10">
      <c r="A100" s="178"/>
      <c r="B100" s="185" t="s">
        <v>95</v>
      </c>
      <c r="C100" s="185" t="s">
        <v>96</v>
      </c>
      <c r="D100" s="178" t="s">
        <v>46</v>
      </c>
      <c r="E100" s="186">
        <f>0.2*8</f>
        <v>1.6</v>
      </c>
      <c r="F100" s="187">
        <v>635.73</v>
      </c>
      <c r="G100" s="187">
        <v>480</v>
      </c>
      <c r="H100" s="188">
        <f t="shared" si="4"/>
        <v>1017.168</v>
      </c>
      <c r="I100" s="191"/>
      <c r="J100" s="191"/>
    </row>
    <row r="101" ht="38.1" customHeight="1" outlineLevel="1" spans="1:10">
      <c r="A101" s="178"/>
      <c r="B101" s="185" t="s">
        <v>37</v>
      </c>
      <c r="C101" s="185" t="s">
        <v>97</v>
      </c>
      <c r="D101" s="178" t="s">
        <v>39</v>
      </c>
      <c r="E101" s="186">
        <f>6.33*8+4.79</f>
        <v>55.43</v>
      </c>
      <c r="F101" s="187">
        <f>F89</f>
        <v>210</v>
      </c>
      <c r="G101" s="187">
        <f>G89</f>
        <v>85</v>
      </c>
      <c r="H101" s="188">
        <f t="shared" si="4"/>
        <v>11640.3</v>
      </c>
      <c r="I101" s="191"/>
      <c r="J101" s="191"/>
    </row>
    <row r="102" ht="38.1" customHeight="1" outlineLevel="1" spans="1:10">
      <c r="A102" s="178"/>
      <c r="B102" s="185" t="s">
        <v>37</v>
      </c>
      <c r="C102" s="185" t="s">
        <v>98</v>
      </c>
      <c r="D102" s="178" t="s">
        <v>39</v>
      </c>
      <c r="E102" s="186">
        <f>2.88*8+4.29</f>
        <v>27.33</v>
      </c>
      <c r="F102" s="187">
        <f>F101</f>
        <v>210</v>
      </c>
      <c r="G102" s="187">
        <f>G101</f>
        <v>85</v>
      </c>
      <c r="H102" s="188">
        <f t="shared" si="4"/>
        <v>5739.3</v>
      </c>
      <c r="I102" s="191"/>
      <c r="J102" s="191"/>
    </row>
    <row r="103" ht="26.1" customHeight="1" spans="1:10">
      <c r="A103" s="181" t="s">
        <v>99</v>
      </c>
      <c r="B103" s="182" t="s">
        <v>100</v>
      </c>
      <c r="C103" s="182"/>
      <c r="D103" s="181"/>
      <c r="E103" s="183"/>
      <c r="F103" s="184"/>
      <c r="G103" s="184"/>
      <c r="H103" s="188">
        <f t="shared" si="4"/>
        <v>0</v>
      </c>
      <c r="I103" s="184"/>
      <c r="J103" s="184"/>
    </row>
    <row r="104" ht="27" customHeight="1" outlineLevel="1" spans="1:10">
      <c r="A104" s="178"/>
      <c r="B104" s="185" t="s">
        <v>41</v>
      </c>
      <c r="C104" s="185" t="s">
        <v>42</v>
      </c>
      <c r="D104" s="178" t="s">
        <v>39</v>
      </c>
      <c r="E104" s="186">
        <v>237.27</v>
      </c>
      <c r="F104" s="187">
        <v>6</v>
      </c>
      <c r="G104" s="179"/>
      <c r="H104" s="188">
        <f t="shared" si="4"/>
        <v>1423.62</v>
      </c>
      <c r="I104" s="191"/>
      <c r="J104" s="191"/>
    </row>
    <row r="105" ht="30" customHeight="1" outlineLevel="1" spans="1:10">
      <c r="A105" s="178"/>
      <c r="B105" s="185" t="s">
        <v>44</v>
      </c>
      <c r="C105" s="185" t="s">
        <v>45</v>
      </c>
      <c r="D105" s="178" t="s">
        <v>46</v>
      </c>
      <c r="E105" s="186">
        <f>237.27*0.08</f>
        <v>18.9816</v>
      </c>
      <c r="F105" s="187">
        <f>F98</f>
        <v>600</v>
      </c>
      <c r="G105" s="187">
        <f>G98</f>
        <v>160</v>
      </c>
      <c r="H105" s="188">
        <f t="shared" si="4"/>
        <v>11388.96</v>
      </c>
      <c r="I105" s="191"/>
      <c r="J105" s="191"/>
    </row>
    <row r="106" ht="54" customHeight="1" outlineLevel="1" spans="1:10">
      <c r="A106" s="178"/>
      <c r="B106" s="185" t="s">
        <v>47</v>
      </c>
      <c r="C106" s="185" t="s">
        <v>48</v>
      </c>
      <c r="D106" s="178" t="s">
        <v>46</v>
      </c>
      <c r="E106" s="186">
        <f>237.27*0.1</f>
        <v>23.727</v>
      </c>
      <c r="F106" s="187">
        <f>F99</f>
        <v>1000</v>
      </c>
      <c r="G106" s="187">
        <f>G99</f>
        <v>520</v>
      </c>
      <c r="H106" s="188">
        <f t="shared" si="4"/>
        <v>23727</v>
      </c>
      <c r="I106" s="191"/>
      <c r="J106" s="191"/>
    </row>
    <row r="107" ht="41.1" customHeight="1" outlineLevel="1" spans="1:10">
      <c r="A107" s="178"/>
      <c r="B107" s="185" t="s">
        <v>37</v>
      </c>
      <c r="C107" s="185" t="s">
        <v>101</v>
      </c>
      <c r="D107" s="178" t="s">
        <v>39</v>
      </c>
      <c r="E107" s="186">
        <f>151.41+52.81</f>
        <v>204.22</v>
      </c>
      <c r="F107" s="187">
        <f>F83</f>
        <v>230</v>
      </c>
      <c r="G107" s="187">
        <f>G83</f>
        <v>105</v>
      </c>
      <c r="H107" s="188">
        <f t="shared" si="4"/>
        <v>46970.6</v>
      </c>
      <c r="I107" s="191"/>
      <c r="J107" s="191"/>
    </row>
    <row r="108" ht="41.1" customHeight="1" outlineLevel="1" spans="1:10">
      <c r="A108" s="178"/>
      <c r="B108" s="185" t="s">
        <v>37</v>
      </c>
      <c r="C108" s="185" t="s">
        <v>102</v>
      </c>
      <c r="D108" s="178" t="s">
        <v>39</v>
      </c>
      <c r="E108" s="186">
        <f>21.41+11.64</f>
        <v>33.05</v>
      </c>
      <c r="F108" s="187">
        <f>F89</f>
        <v>210</v>
      </c>
      <c r="G108" s="187">
        <f>G89</f>
        <v>85</v>
      </c>
      <c r="H108" s="188">
        <f t="shared" si="4"/>
        <v>6940.5</v>
      </c>
      <c r="I108" s="191"/>
      <c r="J108" s="191"/>
    </row>
    <row r="109" ht="30" customHeight="1" spans="1:10">
      <c r="A109" s="181" t="s">
        <v>103</v>
      </c>
      <c r="B109" s="182" t="s">
        <v>104</v>
      </c>
      <c r="C109" s="182"/>
      <c r="D109" s="181"/>
      <c r="E109" s="183"/>
      <c r="F109" s="184"/>
      <c r="G109" s="184"/>
      <c r="H109" s="188">
        <f t="shared" si="4"/>
        <v>0</v>
      </c>
      <c r="I109" s="184"/>
      <c r="J109" s="184"/>
    </row>
    <row r="110" ht="27" customHeight="1" outlineLevel="1" spans="1:10">
      <c r="A110" s="178"/>
      <c r="B110" s="185" t="s">
        <v>41</v>
      </c>
      <c r="C110" s="185" t="s">
        <v>42</v>
      </c>
      <c r="D110" s="178" t="s">
        <v>39</v>
      </c>
      <c r="E110" s="186">
        <f>5265.8-208.45</f>
        <v>5057.35</v>
      </c>
      <c r="F110" s="187">
        <v>6</v>
      </c>
      <c r="G110" s="179"/>
      <c r="H110" s="188">
        <f t="shared" si="4"/>
        <v>30344.1</v>
      </c>
      <c r="I110" s="191"/>
      <c r="J110" s="191"/>
    </row>
    <row r="111" ht="30" customHeight="1" outlineLevel="1" spans="1:10">
      <c r="A111" s="178"/>
      <c r="B111" s="185" t="s">
        <v>44</v>
      </c>
      <c r="C111" s="185" t="s">
        <v>45</v>
      </c>
      <c r="D111" s="178" t="s">
        <v>46</v>
      </c>
      <c r="E111" s="186">
        <f>E110*0.08</f>
        <v>404.588</v>
      </c>
      <c r="F111" s="187">
        <f>F105</f>
        <v>600</v>
      </c>
      <c r="G111" s="187">
        <f>G105</f>
        <v>160</v>
      </c>
      <c r="H111" s="188">
        <f t="shared" si="4"/>
        <v>242752.8</v>
      </c>
      <c r="I111" s="191"/>
      <c r="J111" s="191"/>
    </row>
    <row r="112" ht="48.95" customHeight="1" outlineLevel="1" spans="1:10">
      <c r="A112" s="178"/>
      <c r="B112" s="185" t="s">
        <v>47</v>
      </c>
      <c r="C112" s="185" t="s">
        <v>105</v>
      </c>
      <c r="D112" s="178" t="s">
        <v>46</v>
      </c>
      <c r="E112" s="186">
        <f>E110*0.15</f>
        <v>758.6025</v>
      </c>
      <c r="F112" s="187">
        <f>F106</f>
        <v>1000</v>
      </c>
      <c r="G112" s="187">
        <f>G106</f>
        <v>520</v>
      </c>
      <c r="H112" s="188">
        <f t="shared" si="4"/>
        <v>758602.5</v>
      </c>
      <c r="I112" s="191"/>
      <c r="J112" s="191"/>
    </row>
    <row r="113" ht="27" customHeight="1" spans="1:10">
      <c r="A113" s="178" t="s">
        <v>106</v>
      </c>
      <c r="B113" s="182" t="s">
        <v>107</v>
      </c>
      <c r="C113" s="182"/>
      <c r="D113" s="178"/>
      <c r="E113" s="178"/>
      <c r="F113" s="179"/>
      <c r="G113" s="179"/>
      <c r="H113" s="188">
        <f t="shared" si="4"/>
        <v>0</v>
      </c>
      <c r="I113" s="179"/>
      <c r="J113" s="191"/>
    </row>
    <row r="114" ht="36.95" customHeight="1" outlineLevel="1" spans="1:10">
      <c r="A114" s="178">
        <v>1</v>
      </c>
      <c r="B114" s="185" t="s">
        <v>108</v>
      </c>
      <c r="C114" s="185"/>
      <c r="D114" s="178"/>
      <c r="E114" s="186"/>
      <c r="F114" s="187"/>
      <c r="G114" s="179"/>
      <c r="H114" s="188">
        <f t="shared" si="4"/>
        <v>0</v>
      </c>
      <c r="I114" s="191"/>
      <c r="J114" s="191"/>
    </row>
    <row r="115" ht="32.1" customHeight="1" outlineLevel="2" spans="1:10">
      <c r="A115" s="178"/>
      <c r="B115" s="185" t="s">
        <v>41</v>
      </c>
      <c r="C115" s="185" t="s">
        <v>109</v>
      </c>
      <c r="D115" s="178" t="s">
        <v>39</v>
      </c>
      <c r="E115" s="186">
        <f>1.65*8</f>
        <v>13.2</v>
      </c>
      <c r="F115" s="187">
        <v>6</v>
      </c>
      <c r="G115" s="189"/>
      <c r="H115" s="188">
        <f t="shared" si="4"/>
        <v>79.2</v>
      </c>
      <c r="I115" s="179"/>
      <c r="J115" s="191"/>
    </row>
    <row r="116" ht="32.1" customHeight="1" outlineLevel="2" spans="1:10">
      <c r="A116" s="178"/>
      <c r="B116" s="185" t="s">
        <v>44</v>
      </c>
      <c r="C116" s="185" t="s">
        <v>45</v>
      </c>
      <c r="D116" s="178" t="s">
        <v>46</v>
      </c>
      <c r="E116" s="186">
        <f>0.25*8/0.15*0.08</f>
        <v>1.06666666666667</v>
      </c>
      <c r="F116" s="187">
        <f>F111</f>
        <v>600</v>
      </c>
      <c r="G116" s="187">
        <f>G111</f>
        <v>160</v>
      </c>
      <c r="H116" s="188">
        <f t="shared" si="4"/>
        <v>640.000000000002</v>
      </c>
      <c r="I116" s="179"/>
      <c r="J116" s="191"/>
    </row>
    <row r="117" ht="45.95" customHeight="1" outlineLevel="2" spans="1:10">
      <c r="A117" s="178"/>
      <c r="B117" s="185" t="s">
        <v>47</v>
      </c>
      <c r="C117" s="185" t="s">
        <v>55</v>
      </c>
      <c r="D117" s="178" t="s">
        <v>46</v>
      </c>
      <c r="E117" s="186">
        <f>0.16*8</f>
        <v>1.28</v>
      </c>
      <c r="F117" s="187">
        <f>F112</f>
        <v>1000</v>
      </c>
      <c r="G117" s="187">
        <f>G112</f>
        <v>520</v>
      </c>
      <c r="H117" s="188">
        <f t="shared" si="4"/>
        <v>1280</v>
      </c>
      <c r="I117" s="179"/>
      <c r="J117" s="191"/>
    </row>
    <row r="118" ht="45" customHeight="1" outlineLevel="2" spans="1:10">
      <c r="A118" s="178"/>
      <c r="B118" s="185" t="s">
        <v>110</v>
      </c>
      <c r="C118" s="185" t="s">
        <v>111</v>
      </c>
      <c r="D118" s="178" t="s">
        <v>46</v>
      </c>
      <c r="E118" s="186">
        <f>0.09*8</f>
        <v>0.72</v>
      </c>
      <c r="F118" s="187">
        <v>1000</v>
      </c>
      <c r="G118" s="187">
        <f>G117</f>
        <v>520</v>
      </c>
      <c r="H118" s="188">
        <f t="shared" si="4"/>
        <v>720</v>
      </c>
      <c r="I118" s="179"/>
      <c r="J118" s="191"/>
    </row>
    <row r="119" ht="45" customHeight="1" outlineLevel="2" spans="1:10">
      <c r="A119" s="178"/>
      <c r="B119" s="185" t="s">
        <v>112</v>
      </c>
      <c r="C119" s="185" t="s">
        <v>113</v>
      </c>
      <c r="D119" s="178" t="s">
        <v>46</v>
      </c>
      <c r="E119" s="186">
        <f>0.22*8</f>
        <v>1.76</v>
      </c>
      <c r="F119" s="187">
        <v>650.13</v>
      </c>
      <c r="G119" s="187">
        <f>G100</f>
        <v>480</v>
      </c>
      <c r="H119" s="188">
        <f t="shared" si="4"/>
        <v>1144.2288</v>
      </c>
      <c r="I119" s="179"/>
      <c r="J119" s="191"/>
    </row>
    <row r="120" ht="30.95" customHeight="1" outlineLevel="2" spans="1:10">
      <c r="A120" s="178"/>
      <c r="B120" s="185" t="s">
        <v>114</v>
      </c>
      <c r="C120" s="185" t="s">
        <v>115</v>
      </c>
      <c r="D120" s="178" t="s">
        <v>39</v>
      </c>
      <c r="E120" s="186">
        <f>1.17*8</f>
        <v>9.36</v>
      </c>
      <c r="F120" s="187">
        <v>62.87</v>
      </c>
      <c r="G120" s="189"/>
      <c r="H120" s="188">
        <f t="shared" si="4"/>
        <v>588.4632</v>
      </c>
      <c r="I120" s="179"/>
      <c r="J120" s="191"/>
    </row>
    <row r="121" ht="38.1" customHeight="1" outlineLevel="2" spans="1:10">
      <c r="A121" s="178"/>
      <c r="B121" s="185" t="s">
        <v>116</v>
      </c>
      <c r="C121" s="185" t="s">
        <v>117</v>
      </c>
      <c r="D121" s="178" t="s">
        <v>39</v>
      </c>
      <c r="E121" s="186">
        <f>3.47*8</f>
        <v>27.76</v>
      </c>
      <c r="F121" s="187">
        <f>F107</f>
        <v>230</v>
      </c>
      <c r="G121" s="187">
        <f>G107</f>
        <v>105</v>
      </c>
      <c r="H121" s="188">
        <f t="shared" si="4"/>
        <v>6384.8</v>
      </c>
      <c r="I121" s="179"/>
      <c r="J121" s="191"/>
    </row>
    <row r="122" ht="27" customHeight="1" outlineLevel="1" spans="1:10">
      <c r="A122" s="178">
        <v>2</v>
      </c>
      <c r="B122" s="185" t="s">
        <v>118</v>
      </c>
      <c r="C122" s="185"/>
      <c r="D122" s="178"/>
      <c r="E122" s="186"/>
      <c r="F122" s="187"/>
      <c r="G122" s="189"/>
      <c r="H122" s="188">
        <f t="shared" si="4"/>
        <v>0</v>
      </c>
      <c r="I122" s="179"/>
      <c r="J122" s="191"/>
    </row>
    <row r="123" ht="27.95" customHeight="1" outlineLevel="2" spans="1:10">
      <c r="A123" s="178"/>
      <c r="B123" s="185" t="s">
        <v>41</v>
      </c>
      <c r="C123" s="185" t="s">
        <v>109</v>
      </c>
      <c r="D123" s="178" t="s">
        <v>39</v>
      </c>
      <c r="E123" s="186">
        <v>216.9</v>
      </c>
      <c r="F123" s="187">
        <v>6</v>
      </c>
      <c r="G123" s="189"/>
      <c r="H123" s="188">
        <f t="shared" si="4"/>
        <v>1301.4</v>
      </c>
      <c r="I123" s="179"/>
      <c r="J123" s="191"/>
    </row>
    <row r="124" ht="30" customHeight="1" outlineLevel="2" spans="1:10">
      <c r="A124" s="178"/>
      <c r="B124" s="185" t="s">
        <v>44</v>
      </c>
      <c r="C124" s="185" t="s">
        <v>119</v>
      </c>
      <c r="D124" s="178" t="s">
        <v>46</v>
      </c>
      <c r="E124" s="186">
        <f>E123*0.08</f>
        <v>17.352</v>
      </c>
      <c r="F124" s="187">
        <f>F116</f>
        <v>600</v>
      </c>
      <c r="G124" s="187">
        <f>G116</f>
        <v>160</v>
      </c>
      <c r="H124" s="188">
        <f t="shared" si="4"/>
        <v>10411.2</v>
      </c>
      <c r="I124" s="179"/>
      <c r="J124" s="191"/>
    </row>
    <row r="125" ht="45.95" customHeight="1" outlineLevel="2" spans="1:10">
      <c r="A125" s="178"/>
      <c r="B125" s="185" t="s">
        <v>47</v>
      </c>
      <c r="C125" s="185" t="s">
        <v>55</v>
      </c>
      <c r="D125" s="178" t="s">
        <v>46</v>
      </c>
      <c r="E125" s="186">
        <f>E123*0.1</f>
        <v>21.69</v>
      </c>
      <c r="F125" s="187">
        <f>F117</f>
        <v>1000</v>
      </c>
      <c r="G125" s="187">
        <f>G117</f>
        <v>520</v>
      </c>
      <c r="H125" s="188">
        <f t="shared" si="4"/>
        <v>21690</v>
      </c>
      <c r="I125" s="179"/>
      <c r="J125" s="191"/>
    </row>
    <row r="126" ht="38.1" customHeight="1" outlineLevel="2" spans="1:10">
      <c r="A126" s="178"/>
      <c r="B126" s="185" t="s">
        <v>37</v>
      </c>
      <c r="C126" s="185" t="s">
        <v>120</v>
      </c>
      <c r="D126" s="178" t="s">
        <v>39</v>
      </c>
      <c r="E126" s="186">
        <v>54.3</v>
      </c>
      <c r="F126" s="187">
        <f>F108</f>
        <v>210</v>
      </c>
      <c r="G126" s="187">
        <f>G108</f>
        <v>85</v>
      </c>
      <c r="H126" s="188">
        <f t="shared" si="4"/>
        <v>11403</v>
      </c>
      <c r="I126" s="179"/>
      <c r="J126" s="191"/>
    </row>
    <row r="127" ht="38.1" customHeight="1" outlineLevel="2" spans="1:10">
      <c r="A127" s="178"/>
      <c r="B127" s="185" t="s">
        <v>37</v>
      </c>
      <c r="C127" s="185" t="s">
        <v>60</v>
      </c>
      <c r="D127" s="178" t="s">
        <v>39</v>
      </c>
      <c r="E127" s="186">
        <v>105.6</v>
      </c>
      <c r="F127" s="187">
        <f>F126</f>
        <v>210</v>
      </c>
      <c r="G127" s="187">
        <f>G126</f>
        <v>85</v>
      </c>
      <c r="H127" s="188">
        <f t="shared" si="4"/>
        <v>22176</v>
      </c>
      <c r="I127" s="179"/>
      <c r="J127" s="191"/>
    </row>
    <row r="128" ht="38.1" customHeight="1" outlineLevel="2" spans="1:10">
      <c r="A128" s="178"/>
      <c r="B128" s="185" t="s">
        <v>37</v>
      </c>
      <c r="C128" s="185" t="s">
        <v>61</v>
      </c>
      <c r="D128" s="178" t="s">
        <v>39</v>
      </c>
      <c r="E128" s="186">
        <f>11.72+33.66</f>
        <v>45.38</v>
      </c>
      <c r="F128" s="187">
        <f>F127</f>
        <v>210</v>
      </c>
      <c r="G128" s="187">
        <f>G127</f>
        <v>85</v>
      </c>
      <c r="H128" s="188">
        <f t="shared" si="4"/>
        <v>9529.8</v>
      </c>
      <c r="I128" s="179"/>
      <c r="J128" s="191"/>
    </row>
    <row r="129" ht="48.95" customHeight="1" outlineLevel="2" spans="1:10">
      <c r="A129" s="178"/>
      <c r="B129" s="185" t="s">
        <v>37</v>
      </c>
      <c r="C129" s="185" t="s">
        <v>121</v>
      </c>
      <c r="D129" s="178" t="s">
        <v>39</v>
      </c>
      <c r="E129" s="186">
        <v>23.1</v>
      </c>
      <c r="F129" s="187">
        <v>1128.87</v>
      </c>
      <c r="G129" s="189">
        <v>960</v>
      </c>
      <c r="H129" s="188">
        <f t="shared" si="4"/>
        <v>26076.897</v>
      </c>
      <c r="I129" s="179"/>
      <c r="J129" s="191"/>
    </row>
    <row r="130" ht="33" customHeight="1" outlineLevel="2" spans="1:10">
      <c r="A130" s="178"/>
      <c r="B130" s="185" t="s">
        <v>122</v>
      </c>
      <c r="C130" s="185" t="s">
        <v>123</v>
      </c>
      <c r="D130" s="178" t="s">
        <v>81</v>
      </c>
      <c r="E130" s="186">
        <v>12.8</v>
      </c>
      <c r="F130" s="187">
        <v>36</v>
      </c>
      <c r="G130" s="189"/>
      <c r="H130" s="188">
        <f t="shared" si="4"/>
        <v>460.8</v>
      </c>
      <c r="I130" s="179"/>
      <c r="J130" s="191"/>
    </row>
    <row r="131" ht="32.1" customHeight="1" outlineLevel="2" spans="1:10">
      <c r="A131" s="178"/>
      <c r="B131" s="185" t="s">
        <v>124</v>
      </c>
      <c r="C131" s="185" t="s">
        <v>125</v>
      </c>
      <c r="D131" s="178" t="s">
        <v>126</v>
      </c>
      <c r="E131" s="186">
        <v>1</v>
      </c>
      <c r="F131" s="187">
        <v>4300</v>
      </c>
      <c r="G131" s="189"/>
      <c r="H131" s="188">
        <f t="shared" si="4"/>
        <v>4300</v>
      </c>
      <c r="I131" s="179"/>
      <c r="J131" s="191"/>
    </row>
    <row r="132" ht="38.1" customHeight="1" outlineLevel="2" spans="1:10">
      <c r="A132" s="178"/>
      <c r="B132" s="185" t="s">
        <v>37</v>
      </c>
      <c r="C132" s="185" t="s">
        <v>127</v>
      </c>
      <c r="D132" s="178" t="s">
        <v>39</v>
      </c>
      <c r="E132" s="186">
        <f>13.14+16.3</f>
        <v>29.44</v>
      </c>
      <c r="F132" s="187">
        <f>F128</f>
        <v>210</v>
      </c>
      <c r="G132" s="187">
        <f>G128</f>
        <v>85</v>
      </c>
      <c r="H132" s="188">
        <f t="shared" si="4"/>
        <v>6182.4</v>
      </c>
      <c r="I132" s="179"/>
      <c r="J132" s="191"/>
    </row>
    <row r="133" ht="38.1" customHeight="1" outlineLevel="2" spans="1:10">
      <c r="A133" s="178"/>
      <c r="B133" s="185" t="s">
        <v>37</v>
      </c>
      <c r="C133" s="185" t="s">
        <v>128</v>
      </c>
      <c r="D133" s="178" t="s">
        <v>39</v>
      </c>
      <c r="E133" s="186">
        <v>9.04</v>
      </c>
      <c r="F133" s="187">
        <f>F121</f>
        <v>230</v>
      </c>
      <c r="G133" s="187">
        <f>G121</f>
        <v>105</v>
      </c>
      <c r="H133" s="188">
        <f t="shared" si="4"/>
        <v>2079.2</v>
      </c>
      <c r="I133" s="179"/>
      <c r="J133" s="191"/>
    </row>
    <row r="134" ht="48.95" customHeight="1" outlineLevel="2" spans="1:10">
      <c r="A134" s="178"/>
      <c r="B134" s="185" t="s">
        <v>37</v>
      </c>
      <c r="C134" s="185" t="s">
        <v>56</v>
      </c>
      <c r="D134" s="178" t="s">
        <v>39</v>
      </c>
      <c r="E134" s="186">
        <v>103.14</v>
      </c>
      <c r="F134" s="187">
        <f>F132</f>
        <v>210</v>
      </c>
      <c r="G134" s="187">
        <f>G132</f>
        <v>85</v>
      </c>
      <c r="H134" s="188">
        <f>E134*F134</f>
        <v>21659.4</v>
      </c>
      <c r="I134" s="179"/>
      <c r="J134" s="191"/>
    </row>
    <row r="135" ht="27" customHeight="1" outlineLevel="1" spans="1:10">
      <c r="A135" s="178">
        <v>3</v>
      </c>
      <c r="B135" s="185" t="s">
        <v>129</v>
      </c>
      <c r="C135" s="185"/>
      <c r="D135" s="178"/>
      <c r="E135" s="186"/>
      <c r="F135" s="187"/>
      <c r="G135" s="189"/>
      <c r="H135" s="188">
        <f>E135*F135</f>
        <v>0</v>
      </c>
      <c r="I135" s="179"/>
      <c r="J135" s="191"/>
    </row>
    <row r="136" ht="45" customHeight="1" outlineLevel="2" spans="1:10">
      <c r="A136" s="178"/>
      <c r="B136" s="185" t="s">
        <v>93</v>
      </c>
      <c r="C136" s="185" t="s">
        <v>130</v>
      </c>
      <c r="D136" s="178" t="s">
        <v>46</v>
      </c>
      <c r="E136" s="186">
        <v>26.63</v>
      </c>
      <c r="F136" s="187">
        <f>F96</f>
        <v>30</v>
      </c>
      <c r="G136" s="189"/>
      <c r="H136" s="188">
        <f>E136*F136</f>
        <v>798.9</v>
      </c>
      <c r="I136" s="179"/>
      <c r="J136" s="191"/>
    </row>
    <row r="137" ht="38.1" customHeight="1" outlineLevel="2" spans="1:10">
      <c r="A137" s="178"/>
      <c r="B137" s="185" t="s">
        <v>41</v>
      </c>
      <c r="C137" s="185" t="s">
        <v>109</v>
      </c>
      <c r="D137" s="178" t="s">
        <v>39</v>
      </c>
      <c r="E137" s="186">
        <v>26.8</v>
      </c>
      <c r="F137" s="187">
        <v>6</v>
      </c>
      <c r="G137" s="189"/>
      <c r="H137" s="188">
        <f>E137*F137</f>
        <v>160.8</v>
      </c>
      <c r="I137" s="179"/>
      <c r="J137" s="191"/>
    </row>
    <row r="138" ht="38.1" customHeight="1" outlineLevel="2" spans="1:10">
      <c r="A138" s="178"/>
      <c r="B138" s="185" t="s">
        <v>44</v>
      </c>
      <c r="C138" s="185" t="s">
        <v>131</v>
      </c>
      <c r="D138" s="178" t="s">
        <v>46</v>
      </c>
      <c r="E138" s="186">
        <v>2.81</v>
      </c>
      <c r="F138" s="187">
        <f>F124</f>
        <v>600</v>
      </c>
      <c r="G138" s="187">
        <f>G124</f>
        <v>160</v>
      </c>
      <c r="H138" s="188">
        <f>E138*F138</f>
        <v>1686</v>
      </c>
      <c r="I138" s="179"/>
      <c r="J138" s="191"/>
    </row>
    <row r="139" ht="51" customHeight="1" outlineLevel="2" spans="1:10">
      <c r="A139" s="178"/>
      <c r="B139" s="185" t="s">
        <v>47</v>
      </c>
      <c r="C139" s="185" t="s">
        <v>55</v>
      </c>
      <c r="D139" s="178" t="s">
        <v>46</v>
      </c>
      <c r="E139" s="186">
        <v>1.83</v>
      </c>
      <c r="F139" s="187">
        <f>F125</f>
        <v>1000</v>
      </c>
      <c r="G139" s="187">
        <f>G125</f>
        <v>520</v>
      </c>
      <c r="H139" s="188">
        <f t="shared" ref="H139:H144" si="5">E139*F139</f>
        <v>1830</v>
      </c>
      <c r="I139" s="179"/>
      <c r="J139" s="191"/>
    </row>
    <row r="140" ht="50.1" customHeight="1" outlineLevel="2" spans="1:10">
      <c r="A140" s="178"/>
      <c r="B140" s="185" t="s">
        <v>95</v>
      </c>
      <c r="C140" s="185" t="s">
        <v>132</v>
      </c>
      <c r="D140" s="178" t="s">
        <v>46</v>
      </c>
      <c r="E140" s="186">
        <v>4.67</v>
      </c>
      <c r="F140" s="187">
        <f>F100</f>
        <v>635.73</v>
      </c>
      <c r="G140" s="187">
        <v>480</v>
      </c>
      <c r="H140" s="188">
        <f t="shared" si="5"/>
        <v>2968.8591</v>
      </c>
      <c r="I140" s="179"/>
      <c r="J140" s="191"/>
    </row>
    <row r="141" ht="41.1" customHeight="1" outlineLevel="2" spans="1:10">
      <c r="A141" s="178"/>
      <c r="B141" s="185" t="s">
        <v>110</v>
      </c>
      <c r="C141" s="185" t="s">
        <v>55</v>
      </c>
      <c r="D141" s="178" t="s">
        <v>46</v>
      </c>
      <c r="E141" s="186">
        <v>0.79</v>
      </c>
      <c r="F141" s="187">
        <f>F118</f>
        <v>1000</v>
      </c>
      <c r="G141" s="187">
        <f>G139</f>
        <v>520</v>
      </c>
      <c r="H141" s="188">
        <f t="shared" si="5"/>
        <v>790</v>
      </c>
      <c r="I141" s="179"/>
      <c r="J141" s="191"/>
    </row>
    <row r="142" ht="38.1" customHeight="1" outlineLevel="2" spans="1:10">
      <c r="A142" s="178"/>
      <c r="B142" s="185" t="s">
        <v>133</v>
      </c>
      <c r="C142" s="185" t="s">
        <v>134</v>
      </c>
      <c r="D142" s="178" t="s">
        <v>39</v>
      </c>
      <c r="E142" s="186">
        <v>6.67</v>
      </c>
      <c r="F142" s="187">
        <v>301.05</v>
      </c>
      <c r="G142" s="189">
        <v>115</v>
      </c>
      <c r="H142" s="188">
        <f t="shared" si="5"/>
        <v>2008.0035</v>
      </c>
      <c r="I142" s="179"/>
      <c r="J142" s="191"/>
    </row>
    <row r="143" ht="38.1" customHeight="1" outlineLevel="2" spans="1:10">
      <c r="A143" s="178"/>
      <c r="B143" s="185" t="s">
        <v>135</v>
      </c>
      <c r="C143" s="185" t="s">
        <v>136</v>
      </c>
      <c r="D143" s="178" t="s">
        <v>39</v>
      </c>
      <c r="E143" s="186">
        <v>9.83</v>
      </c>
      <c r="F143" s="187">
        <f>F94</f>
        <v>215.08</v>
      </c>
      <c r="G143" s="187">
        <f>G94</f>
        <v>140</v>
      </c>
      <c r="H143" s="188">
        <f t="shared" si="5"/>
        <v>2114.2364</v>
      </c>
      <c r="I143" s="179"/>
      <c r="J143" s="191"/>
    </row>
    <row r="144" ht="32.4" outlineLevel="2" spans="1:12">
      <c r="A144" s="178"/>
      <c r="B144" s="185" t="s">
        <v>137</v>
      </c>
      <c r="C144" s="185" t="s">
        <v>138</v>
      </c>
      <c r="D144" s="178" t="s">
        <v>72</v>
      </c>
      <c r="E144" s="178">
        <v>0.02</v>
      </c>
      <c r="F144" s="187">
        <f>F65</f>
        <v>9000</v>
      </c>
      <c r="G144" s="187">
        <f>G65</f>
        <v>4600</v>
      </c>
      <c r="H144" s="188">
        <f t="shared" si="5"/>
        <v>180</v>
      </c>
      <c r="I144" s="191"/>
      <c r="J144" s="191"/>
      <c r="L144" s="195"/>
    </row>
    <row r="145" ht="36.95" customHeight="1" outlineLevel="1" collapsed="1" spans="1:10">
      <c r="A145" s="178">
        <v>4</v>
      </c>
      <c r="B145" s="185" t="s">
        <v>139</v>
      </c>
      <c r="C145" s="185"/>
      <c r="D145" s="178"/>
      <c r="E145" s="186"/>
      <c r="F145" s="187"/>
      <c r="G145" s="179"/>
      <c r="H145" s="188">
        <f t="shared" ref="H145:H186" si="6">E145*F145</f>
        <v>0</v>
      </c>
      <c r="I145" s="191"/>
      <c r="J145" s="191"/>
    </row>
    <row r="146" ht="32.1" customHeight="1" outlineLevel="1" spans="1:10">
      <c r="A146" s="178"/>
      <c r="B146" s="185" t="s">
        <v>41</v>
      </c>
      <c r="C146" s="185" t="s">
        <v>109</v>
      </c>
      <c r="D146" s="178" t="s">
        <v>39</v>
      </c>
      <c r="E146" s="186">
        <f>0.281*8</f>
        <v>2.248</v>
      </c>
      <c r="F146" s="187">
        <v>6</v>
      </c>
      <c r="G146" s="189"/>
      <c r="H146" s="188">
        <f t="shared" si="6"/>
        <v>13.488</v>
      </c>
      <c r="I146" s="179"/>
      <c r="J146" s="191"/>
    </row>
    <row r="147" ht="32.1" customHeight="1" outlineLevel="1" spans="1:10">
      <c r="A147" s="178"/>
      <c r="B147" s="185" t="s">
        <v>44</v>
      </c>
      <c r="C147" s="185" t="s">
        <v>45</v>
      </c>
      <c r="D147" s="178" t="s">
        <v>46</v>
      </c>
      <c r="E147" s="193">
        <f>0.046*8/0.1*0.08</f>
        <v>0.2944</v>
      </c>
      <c r="F147" s="187">
        <f>F138</f>
        <v>600</v>
      </c>
      <c r="G147" s="187">
        <f>G138</f>
        <v>160</v>
      </c>
      <c r="H147" s="188">
        <f t="shared" si="6"/>
        <v>176.64</v>
      </c>
      <c r="I147" s="179"/>
      <c r="J147" s="191"/>
    </row>
    <row r="148" ht="45.95" customHeight="1" outlineLevel="1" spans="1:10">
      <c r="A148" s="178"/>
      <c r="B148" s="185" t="s">
        <v>47</v>
      </c>
      <c r="C148" s="185" t="s">
        <v>140</v>
      </c>
      <c r="D148" s="178" t="s">
        <v>46</v>
      </c>
      <c r="E148" s="193">
        <f>0.042*8</f>
        <v>0.336</v>
      </c>
      <c r="F148" s="187">
        <f>F139</f>
        <v>1000</v>
      </c>
      <c r="G148" s="187">
        <f>G139</f>
        <v>520</v>
      </c>
      <c r="H148" s="188">
        <f t="shared" si="6"/>
        <v>336</v>
      </c>
      <c r="I148" s="179"/>
      <c r="J148" s="191"/>
    </row>
    <row r="149" ht="63" customHeight="1" outlineLevel="1" spans="1:10">
      <c r="A149" s="178"/>
      <c r="B149" s="185" t="s">
        <v>110</v>
      </c>
      <c r="C149" s="185" t="s">
        <v>141</v>
      </c>
      <c r="D149" s="178" t="s">
        <v>46</v>
      </c>
      <c r="E149" s="193">
        <f>0.0047*8</f>
        <v>0.0376</v>
      </c>
      <c r="F149" s="187">
        <f>F141</f>
        <v>1000</v>
      </c>
      <c r="G149" s="187">
        <f>G148</f>
        <v>520</v>
      </c>
      <c r="H149" s="188">
        <f t="shared" si="6"/>
        <v>37.6</v>
      </c>
      <c r="I149" s="179"/>
      <c r="J149" s="191"/>
    </row>
    <row r="150" ht="36" customHeight="1" spans="1:10">
      <c r="A150" s="178" t="s">
        <v>142</v>
      </c>
      <c r="B150" s="185" t="s">
        <v>143</v>
      </c>
      <c r="C150" s="185"/>
      <c r="D150" s="178"/>
      <c r="E150" s="186"/>
      <c r="F150" s="187"/>
      <c r="G150" s="179"/>
      <c r="H150" s="188">
        <f t="shared" si="6"/>
        <v>0</v>
      </c>
      <c r="I150" s="191"/>
      <c r="J150" s="191"/>
    </row>
    <row r="151" ht="30.95" customHeight="1" outlineLevel="1" spans="1:10">
      <c r="A151" s="178">
        <v>1</v>
      </c>
      <c r="B151" s="185" t="s">
        <v>144</v>
      </c>
      <c r="C151" s="185"/>
      <c r="D151" s="178"/>
      <c r="E151" s="186"/>
      <c r="F151" s="187"/>
      <c r="G151" s="179"/>
      <c r="H151" s="188">
        <f t="shared" si="6"/>
        <v>0</v>
      </c>
      <c r="I151" s="191"/>
      <c r="J151" s="191"/>
    </row>
    <row r="152" ht="27" customHeight="1" outlineLevel="2" spans="1:10">
      <c r="A152" s="178"/>
      <c r="B152" s="185" t="s">
        <v>41</v>
      </c>
      <c r="C152" s="185" t="s">
        <v>42</v>
      </c>
      <c r="D152" s="178" t="s">
        <v>39</v>
      </c>
      <c r="E152" s="186">
        <f>111.35+88.76</f>
        <v>200.11</v>
      </c>
      <c r="F152" s="187">
        <v>6</v>
      </c>
      <c r="G152" s="179"/>
      <c r="H152" s="188">
        <f t="shared" si="6"/>
        <v>1200.66</v>
      </c>
      <c r="I152" s="191"/>
      <c r="J152" s="191"/>
    </row>
    <row r="153" ht="30" customHeight="1" outlineLevel="2" spans="1:10">
      <c r="A153" s="178"/>
      <c r="B153" s="185" t="s">
        <v>44</v>
      </c>
      <c r="C153" s="185" t="s">
        <v>45</v>
      </c>
      <c r="D153" s="178" t="s">
        <v>46</v>
      </c>
      <c r="E153" s="186">
        <f>200.11*0.08</f>
        <v>16.0088</v>
      </c>
      <c r="F153" s="187">
        <f>F147</f>
        <v>600</v>
      </c>
      <c r="G153" s="187">
        <f>G147</f>
        <v>160</v>
      </c>
      <c r="H153" s="188">
        <f t="shared" si="6"/>
        <v>9605.28</v>
      </c>
      <c r="I153" s="191"/>
      <c r="J153" s="191"/>
    </row>
    <row r="154" ht="54" customHeight="1" outlineLevel="2" spans="1:10">
      <c r="A154" s="178"/>
      <c r="B154" s="185" t="s">
        <v>47</v>
      </c>
      <c r="C154" s="185" t="s">
        <v>145</v>
      </c>
      <c r="D154" s="178" t="s">
        <v>46</v>
      </c>
      <c r="E154" s="186">
        <f>88.76*0.15+111.35*0.1</f>
        <v>24.449</v>
      </c>
      <c r="F154" s="187">
        <f>F148</f>
        <v>1000</v>
      </c>
      <c r="G154" s="187">
        <f>G148</f>
        <v>520</v>
      </c>
      <c r="H154" s="188">
        <f t="shared" si="6"/>
        <v>24449</v>
      </c>
      <c r="I154" s="191"/>
      <c r="J154" s="191"/>
    </row>
    <row r="155" ht="41.1" customHeight="1" outlineLevel="2" spans="1:10">
      <c r="A155" s="178"/>
      <c r="B155" s="185" t="s">
        <v>37</v>
      </c>
      <c r="C155" s="185" t="s">
        <v>146</v>
      </c>
      <c r="D155" s="178" t="s">
        <v>39</v>
      </c>
      <c r="E155" s="186">
        <f>88.76-74.81</f>
        <v>13.95</v>
      </c>
      <c r="F155" s="187">
        <v>361.73</v>
      </c>
      <c r="G155" s="187">
        <v>270</v>
      </c>
      <c r="H155" s="188">
        <f t="shared" si="6"/>
        <v>5046.1335</v>
      </c>
      <c r="I155" s="191"/>
      <c r="J155" s="191"/>
    </row>
    <row r="156" ht="41.1" customHeight="1" outlineLevel="2" spans="1:10">
      <c r="A156" s="178"/>
      <c r="B156" s="185" t="s">
        <v>37</v>
      </c>
      <c r="C156" s="185" t="s">
        <v>147</v>
      </c>
      <c r="D156" s="178" t="s">
        <v>39</v>
      </c>
      <c r="E156" s="186">
        <v>66.13</v>
      </c>
      <c r="F156" s="187">
        <v>280.02</v>
      </c>
      <c r="G156" s="187">
        <v>195</v>
      </c>
      <c r="H156" s="188">
        <f t="shared" si="6"/>
        <v>18517.7226</v>
      </c>
      <c r="I156" s="191"/>
      <c r="J156" s="191"/>
    </row>
    <row r="157" ht="41.1" customHeight="1" outlineLevel="2" spans="1:10">
      <c r="A157" s="178"/>
      <c r="B157" s="185" t="s">
        <v>37</v>
      </c>
      <c r="C157" s="185" t="s">
        <v>148</v>
      </c>
      <c r="D157" s="178" t="s">
        <v>39</v>
      </c>
      <c r="E157" s="186">
        <f>74.81-66.13</f>
        <v>8.68000000000001</v>
      </c>
      <c r="F157" s="187">
        <v>461.79</v>
      </c>
      <c r="G157" s="187">
        <v>360</v>
      </c>
      <c r="H157" s="188">
        <f t="shared" si="6"/>
        <v>4008.3372</v>
      </c>
      <c r="I157" s="191"/>
      <c r="J157" s="191"/>
    </row>
    <row r="158" ht="41.1" customHeight="1" outlineLevel="2" spans="1:10">
      <c r="A158" s="178"/>
      <c r="B158" s="185" t="s">
        <v>37</v>
      </c>
      <c r="C158" s="185" t="s">
        <v>149</v>
      </c>
      <c r="D158" s="178" t="s">
        <v>39</v>
      </c>
      <c r="E158" s="186">
        <f>111.35-18.35</f>
        <v>93</v>
      </c>
      <c r="F158" s="187">
        <f>F134</f>
        <v>210</v>
      </c>
      <c r="G158" s="187">
        <f>G134</f>
        <v>85</v>
      </c>
      <c r="H158" s="188">
        <f t="shared" si="6"/>
        <v>19530</v>
      </c>
      <c r="I158" s="191"/>
      <c r="J158" s="191"/>
    </row>
    <row r="159" ht="41.1" customHeight="1" outlineLevel="2" spans="1:10">
      <c r="A159" s="178"/>
      <c r="B159" s="185" t="s">
        <v>37</v>
      </c>
      <c r="C159" s="185" t="s">
        <v>102</v>
      </c>
      <c r="D159" s="178" t="s">
        <v>39</v>
      </c>
      <c r="E159" s="186">
        <f>(32.54-26.01)+(64.76-52.94)</f>
        <v>18.35</v>
      </c>
      <c r="F159" s="187">
        <f>F158</f>
        <v>210</v>
      </c>
      <c r="G159" s="187">
        <f>G158</f>
        <v>85</v>
      </c>
      <c r="H159" s="188">
        <f t="shared" si="6"/>
        <v>3853.5</v>
      </c>
      <c r="I159" s="191"/>
      <c r="J159" s="191"/>
    </row>
    <row r="160" ht="41.1" customHeight="1" outlineLevel="1" spans="1:10">
      <c r="A160" s="178">
        <v>2</v>
      </c>
      <c r="B160" s="185" t="s">
        <v>150</v>
      </c>
      <c r="C160" s="185"/>
      <c r="D160" s="178"/>
      <c r="E160" s="186"/>
      <c r="F160" s="187"/>
      <c r="G160" s="187"/>
      <c r="H160" s="188">
        <f t="shared" si="6"/>
        <v>0</v>
      </c>
      <c r="I160" s="191"/>
      <c r="J160" s="191"/>
    </row>
    <row r="161" ht="27" customHeight="1" outlineLevel="2" spans="1:10">
      <c r="A161" s="178"/>
      <c r="B161" s="185" t="s">
        <v>41</v>
      </c>
      <c r="C161" s="185" t="s">
        <v>42</v>
      </c>
      <c r="D161" s="178" t="s">
        <v>39</v>
      </c>
      <c r="E161" s="186">
        <f>33.7*0.4</f>
        <v>13.48</v>
      </c>
      <c r="F161" s="187">
        <v>6</v>
      </c>
      <c r="G161" s="179"/>
      <c r="H161" s="188">
        <f t="shared" si="6"/>
        <v>80.88</v>
      </c>
      <c r="I161" s="191"/>
      <c r="J161" s="191"/>
    </row>
    <row r="162" ht="30" customHeight="1" outlineLevel="2" spans="1:10">
      <c r="A162" s="178"/>
      <c r="B162" s="185" t="s">
        <v>44</v>
      </c>
      <c r="C162" s="185" t="s">
        <v>151</v>
      </c>
      <c r="D162" s="178" t="s">
        <v>46</v>
      </c>
      <c r="E162" s="186">
        <f>21.8*0.4*0.1+11.9*0.4*0.08</f>
        <v>1.2528</v>
      </c>
      <c r="F162" s="187">
        <f>F153</f>
        <v>600</v>
      </c>
      <c r="G162" s="187">
        <f>G153</f>
        <v>160</v>
      </c>
      <c r="H162" s="188">
        <f t="shared" si="6"/>
        <v>751.68</v>
      </c>
      <c r="I162" s="191"/>
      <c r="J162" s="191"/>
    </row>
    <row r="163" ht="54" customHeight="1" outlineLevel="2" spans="1:10">
      <c r="A163" s="178"/>
      <c r="B163" s="185" t="s">
        <v>47</v>
      </c>
      <c r="C163" s="185" t="s">
        <v>48</v>
      </c>
      <c r="D163" s="178" t="s">
        <v>46</v>
      </c>
      <c r="E163" s="186">
        <f>33.7*0.4*0.1</f>
        <v>1.348</v>
      </c>
      <c r="F163" s="187">
        <f>F154</f>
        <v>1000</v>
      </c>
      <c r="G163" s="187">
        <f>G154</f>
        <v>520</v>
      </c>
      <c r="H163" s="188">
        <f t="shared" si="6"/>
        <v>1348</v>
      </c>
      <c r="I163" s="191"/>
      <c r="J163" s="191"/>
    </row>
    <row r="164" ht="54" customHeight="1" outlineLevel="2" spans="1:10">
      <c r="A164" s="178"/>
      <c r="B164" s="185" t="s">
        <v>152</v>
      </c>
      <c r="C164" s="185" t="s">
        <v>153</v>
      </c>
      <c r="D164" s="178" t="s">
        <v>46</v>
      </c>
      <c r="E164" s="186">
        <f>11.9*0.1*0.13/2</f>
        <v>0.07735</v>
      </c>
      <c r="F164" s="187">
        <v>1000</v>
      </c>
      <c r="G164" s="187">
        <v>550</v>
      </c>
      <c r="H164" s="188">
        <f t="shared" si="6"/>
        <v>77.35</v>
      </c>
      <c r="I164" s="191"/>
      <c r="J164" s="191"/>
    </row>
    <row r="165" ht="41.1" customHeight="1" outlineLevel="2" spans="1:10">
      <c r="A165" s="178"/>
      <c r="B165" s="185" t="s">
        <v>154</v>
      </c>
      <c r="C165" s="185" t="s">
        <v>155</v>
      </c>
      <c r="D165" s="178" t="s">
        <v>81</v>
      </c>
      <c r="E165" s="186">
        <f>21.8</f>
        <v>21.8</v>
      </c>
      <c r="F165" s="187">
        <v>200</v>
      </c>
      <c r="G165" s="187">
        <v>114</v>
      </c>
      <c r="H165" s="188">
        <f t="shared" si="6"/>
        <v>4360</v>
      </c>
      <c r="I165" s="191"/>
      <c r="J165" s="191"/>
    </row>
    <row r="166" ht="41.1" customHeight="1" outlineLevel="2" spans="1:10">
      <c r="A166" s="178"/>
      <c r="B166" s="185" t="s">
        <v>154</v>
      </c>
      <c r="C166" s="185" t="s">
        <v>156</v>
      </c>
      <c r="D166" s="178" t="s">
        <v>81</v>
      </c>
      <c r="E166" s="186">
        <f>5.95*2</f>
        <v>11.9</v>
      </c>
      <c r="F166" s="187">
        <v>200</v>
      </c>
      <c r="G166" s="187">
        <v>144</v>
      </c>
      <c r="H166" s="188">
        <f t="shared" si="6"/>
        <v>2380</v>
      </c>
      <c r="I166" s="191"/>
      <c r="J166" s="191"/>
    </row>
    <row r="167" ht="57" customHeight="1" outlineLevel="1" spans="1:10">
      <c r="A167" s="178">
        <v>3</v>
      </c>
      <c r="B167" s="185" t="s">
        <v>157</v>
      </c>
      <c r="C167" s="185"/>
      <c r="D167" s="178"/>
      <c r="E167" s="186"/>
      <c r="F167" s="187"/>
      <c r="G167" s="179"/>
      <c r="H167" s="188">
        <f t="shared" si="6"/>
        <v>0</v>
      </c>
      <c r="I167" s="191"/>
      <c r="J167" s="191"/>
    </row>
    <row r="168" ht="57" customHeight="1" outlineLevel="2" spans="1:12">
      <c r="A168" s="178"/>
      <c r="B168" s="185" t="s">
        <v>158</v>
      </c>
      <c r="C168" s="185" t="s">
        <v>159</v>
      </c>
      <c r="D168" s="178" t="s">
        <v>39</v>
      </c>
      <c r="E168" s="186">
        <v>37.92</v>
      </c>
      <c r="F168" s="187">
        <v>618.39</v>
      </c>
      <c r="G168" s="179">
        <v>255</v>
      </c>
      <c r="H168" s="188">
        <f t="shared" si="6"/>
        <v>23449.3488</v>
      </c>
      <c r="I168" s="191"/>
      <c r="J168" s="191"/>
      <c r="L168" s="196"/>
    </row>
    <row r="169" ht="57" customHeight="1" outlineLevel="2" spans="1:12">
      <c r="A169" s="178"/>
      <c r="B169" s="185" t="s">
        <v>158</v>
      </c>
      <c r="C169" s="185" t="s">
        <v>160</v>
      </c>
      <c r="D169" s="178" t="s">
        <v>39</v>
      </c>
      <c r="E169" s="186">
        <v>101.3</v>
      </c>
      <c r="F169" s="187">
        <v>550.62</v>
      </c>
      <c r="G169" s="179">
        <v>180</v>
      </c>
      <c r="H169" s="188">
        <f t="shared" si="6"/>
        <v>55777.806</v>
      </c>
      <c r="I169" s="191"/>
      <c r="J169" s="191"/>
      <c r="L169" s="196"/>
    </row>
    <row r="170" ht="57" customHeight="1" outlineLevel="2" spans="1:12">
      <c r="A170" s="178"/>
      <c r="B170" s="185" t="s">
        <v>158</v>
      </c>
      <c r="C170" s="185" t="s">
        <v>161</v>
      </c>
      <c r="D170" s="178" t="s">
        <v>39</v>
      </c>
      <c r="E170" s="186">
        <v>16.38</v>
      </c>
      <c r="F170" s="187">
        <v>635.13</v>
      </c>
      <c r="G170" s="179">
        <v>285</v>
      </c>
      <c r="H170" s="188">
        <f t="shared" si="6"/>
        <v>10403.4294</v>
      </c>
      <c r="I170" s="191"/>
      <c r="J170" s="191"/>
      <c r="L170" s="196"/>
    </row>
    <row r="171" ht="54.95" customHeight="1" outlineLevel="2" spans="1:12">
      <c r="A171" s="178"/>
      <c r="B171" s="185" t="s">
        <v>162</v>
      </c>
      <c r="C171" s="185" t="s">
        <v>161</v>
      </c>
      <c r="D171" s="178" t="s">
        <v>39</v>
      </c>
      <c r="E171" s="186">
        <v>15.92</v>
      </c>
      <c r="F171" s="187">
        <f>F170</f>
        <v>635.13</v>
      </c>
      <c r="G171" s="187">
        <f>G170</f>
        <v>285</v>
      </c>
      <c r="H171" s="188">
        <f t="shared" si="6"/>
        <v>10111.2696</v>
      </c>
      <c r="I171" s="191"/>
      <c r="J171" s="191"/>
      <c r="L171" s="165"/>
    </row>
    <row r="172" ht="54.95" customHeight="1" outlineLevel="2" spans="1:12">
      <c r="A172" s="178"/>
      <c r="B172" s="185" t="s">
        <v>162</v>
      </c>
      <c r="C172" s="185" t="s">
        <v>160</v>
      </c>
      <c r="D172" s="178" t="s">
        <v>39</v>
      </c>
      <c r="E172" s="186">
        <v>83.75</v>
      </c>
      <c r="F172" s="187">
        <f>F169</f>
        <v>550.62</v>
      </c>
      <c r="G172" s="187">
        <f>G169</f>
        <v>180</v>
      </c>
      <c r="H172" s="188">
        <f t="shared" si="6"/>
        <v>46114.425</v>
      </c>
      <c r="I172" s="191"/>
      <c r="J172" s="191"/>
      <c r="L172" s="165"/>
    </row>
    <row r="173" ht="54.95" customHeight="1" outlineLevel="2" spans="1:12">
      <c r="A173" s="178"/>
      <c r="B173" s="185" t="s">
        <v>163</v>
      </c>
      <c r="C173" s="185" t="s">
        <v>164</v>
      </c>
      <c r="D173" s="178" t="s">
        <v>39</v>
      </c>
      <c r="E173" s="186">
        <v>8.02</v>
      </c>
      <c r="F173" s="187">
        <v>137</v>
      </c>
      <c r="G173" s="187">
        <v>82</v>
      </c>
      <c r="H173" s="188">
        <f t="shared" si="6"/>
        <v>1098.74</v>
      </c>
      <c r="I173" s="191"/>
      <c r="J173" s="191"/>
      <c r="L173" s="165"/>
    </row>
    <row r="174" ht="54.95" customHeight="1" outlineLevel="2" spans="1:12">
      <c r="A174" s="178"/>
      <c r="B174" s="185" t="s">
        <v>163</v>
      </c>
      <c r="C174" s="185" t="s">
        <v>165</v>
      </c>
      <c r="D174" s="178" t="s">
        <v>39</v>
      </c>
      <c r="E174" s="186">
        <v>27.24</v>
      </c>
      <c r="F174" s="187">
        <v>530</v>
      </c>
      <c r="G174" s="187">
        <v>385</v>
      </c>
      <c r="H174" s="188">
        <f t="shared" si="6"/>
        <v>14437.2</v>
      </c>
      <c r="I174" s="191"/>
      <c r="J174" s="191"/>
      <c r="L174" s="165"/>
    </row>
    <row r="175" ht="54.95" customHeight="1" outlineLevel="2" spans="1:12">
      <c r="A175" s="178"/>
      <c r="B175" s="185" t="s">
        <v>163</v>
      </c>
      <c r="C175" s="185" t="s">
        <v>166</v>
      </c>
      <c r="D175" s="178" t="s">
        <v>39</v>
      </c>
      <c r="E175" s="186">
        <v>356.43</v>
      </c>
      <c r="F175" s="187">
        <v>550.23</v>
      </c>
      <c r="G175" s="187">
        <v>275</v>
      </c>
      <c r="H175" s="188">
        <f t="shared" si="6"/>
        <v>196118.4789</v>
      </c>
      <c r="I175" s="191"/>
      <c r="J175" s="191"/>
      <c r="L175" s="165"/>
    </row>
    <row r="176" ht="54.95" customHeight="1" outlineLevel="2" spans="1:12">
      <c r="A176" s="178"/>
      <c r="B176" s="185" t="s">
        <v>167</v>
      </c>
      <c r="C176" s="185" t="s">
        <v>168</v>
      </c>
      <c r="D176" s="178" t="s">
        <v>39</v>
      </c>
      <c r="E176" s="186">
        <v>11.42</v>
      </c>
      <c r="F176" s="187">
        <v>536.42</v>
      </c>
      <c r="G176" s="187">
        <v>245</v>
      </c>
      <c r="H176" s="188">
        <f t="shared" si="6"/>
        <v>6125.9164</v>
      </c>
      <c r="I176" s="197" t="s">
        <v>169</v>
      </c>
      <c r="J176" s="191"/>
      <c r="L176" s="165"/>
    </row>
    <row r="177" ht="54.95" customHeight="1" outlineLevel="2" spans="1:12">
      <c r="A177" s="178"/>
      <c r="B177" s="185" t="s">
        <v>167</v>
      </c>
      <c r="C177" s="185" t="s">
        <v>170</v>
      </c>
      <c r="D177" s="178" t="s">
        <v>39</v>
      </c>
      <c r="E177" s="186">
        <v>68.05</v>
      </c>
      <c r="F177" s="187">
        <v>185</v>
      </c>
      <c r="G177" s="187">
        <v>115</v>
      </c>
      <c r="H177" s="188">
        <f t="shared" si="6"/>
        <v>12589.25</v>
      </c>
      <c r="I177" s="197" t="s">
        <v>169</v>
      </c>
      <c r="J177" s="191"/>
      <c r="L177" s="165"/>
    </row>
    <row r="178" ht="84" customHeight="1" outlineLevel="2" spans="1:12">
      <c r="A178" s="178"/>
      <c r="B178" s="185" t="s">
        <v>171</v>
      </c>
      <c r="C178" s="185" t="s">
        <v>172</v>
      </c>
      <c r="D178" s="178" t="s">
        <v>39</v>
      </c>
      <c r="E178" s="186">
        <f>33.95+47.94</f>
        <v>81.89</v>
      </c>
      <c r="F178" s="187">
        <v>550</v>
      </c>
      <c r="G178" s="187">
        <v>440</v>
      </c>
      <c r="H178" s="188">
        <f t="shared" si="6"/>
        <v>45039.5</v>
      </c>
      <c r="I178" s="191"/>
      <c r="J178" s="191"/>
      <c r="L178" s="165"/>
    </row>
    <row r="179" ht="75.95" customHeight="1" outlineLevel="2" spans="1:12">
      <c r="A179" s="178"/>
      <c r="B179" s="185" t="s">
        <v>173</v>
      </c>
      <c r="C179" s="185" t="s">
        <v>174</v>
      </c>
      <c r="D179" s="178" t="s">
        <v>72</v>
      </c>
      <c r="E179" s="193">
        <v>0.277</v>
      </c>
      <c r="F179" s="187">
        <v>13000</v>
      </c>
      <c r="G179" s="187">
        <v>6400</v>
      </c>
      <c r="H179" s="188">
        <f t="shared" si="6"/>
        <v>3601</v>
      </c>
      <c r="I179" s="191"/>
      <c r="J179" s="191"/>
      <c r="L179" s="165"/>
    </row>
    <row r="180" ht="75.95" customHeight="1" outlineLevel="2" spans="1:12">
      <c r="A180" s="178"/>
      <c r="B180" s="185" t="s">
        <v>175</v>
      </c>
      <c r="C180" s="185" t="s">
        <v>176</v>
      </c>
      <c r="D180" s="178" t="s">
        <v>72</v>
      </c>
      <c r="E180" s="193">
        <v>0.29</v>
      </c>
      <c r="F180" s="187">
        <v>11338.8</v>
      </c>
      <c r="G180" s="187"/>
      <c r="H180" s="188">
        <f t="shared" si="6"/>
        <v>3288.252</v>
      </c>
      <c r="I180" s="191"/>
      <c r="J180" s="191"/>
      <c r="L180" s="165"/>
    </row>
    <row r="181" ht="75.95" customHeight="1" outlineLevel="2" spans="1:12">
      <c r="A181" s="178"/>
      <c r="B181" s="185" t="s">
        <v>177</v>
      </c>
      <c r="C181" s="185" t="s">
        <v>178</v>
      </c>
      <c r="D181" s="178" t="s">
        <v>39</v>
      </c>
      <c r="E181" s="186">
        <v>5.65</v>
      </c>
      <c r="F181" s="187">
        <v>690</v>
      </c>
      <c r="G181" s="187"/>
      <c r="H181" s="188">
        <f t="shared" si="6"/>
        <v>3898.5</v>
      </c>
      <c r="I181" s="191"/>
      <c r="J181" s="191"/>
      <c r="L181" s="165"/>
    </row>
    <row r="182" ht="75.95" customHeight="1" outlineLevel="2" spans="1:12">
      <c r="A182" s="178"/>
      <c r="B182" s="185" t="s">
        <v>179</v>
      </c>
      <c r="C182" s="185" t="s">
        <v>178</v>
      </c>
      <c r="D182" s="178" t="s">
        <v>39</v>
      </c>
      <c r="E182" s="186">
        <v>2.22</v>
      </c>
      <c r="F182" s="187">
        <f>F181</f>
        <v>690</v>
      </c>
      <c r="G182" s="187"/>
      <c r="H182" s="188">
        <f t="shared" si="6"/>
        <v>1531.8</v>
      </c>
      <c r="I182" s="191"/>
      <c r="J182" s="191"/>
      <c r="L182" s="165"/>
    </row>
    <row r="183" ht="75.95" customHeight="1" outlineLevel="2" spans="1:12">
      <c r="A183" s="178"/>
      <c r="B183" s="185" t="s">
        <v>180</v>
      </c>
      <c r="C183" s="185" t="s">
        <v>181</v>
      </c>
      <c r="D183" s="178" t="s">
        <v>39</v>
      </c>
      <c r="E183" s="186">
        <v>33.95</v>
      </c>
      <c r="F183" s="187">
        <v>870</v>
      </c>
      <c r="G183" s="187"/>
      <c r="H183" s="188">
        <f t="shared" si="6"/>
        <v>29536.5</v>
      </c>
      <c r="I183" s="191"/>
      <c r="J183" s="191"/>
      <c r="L183" s="165"/>
    </row>
    <row r="184" ht="75.95" customHeight="1" outlineLevel="2" spans="1:12">
      <c r="A184" s="178"/>
      <c r="B184" s="185" t="s">
        <v>182</v>
      </c>
      <c r="C184" s="185" t="s">
        <v>183</v>
      </c>
      <c r="D184" s="178" t="s">
        <v>39</v>
      </c>
      <c r="E184" s="186">
        <v>6.72</v>
      </c>
      <c r="F184" s="187">
        <v>13000</v>
      </c>
      <c r="G184" s="187"/>
      <c r="H184" s="188">
        <f t="shared" si="6"/>
        <v>87360</v>
      </c>
      <c r="I184" s="191"/>
      <c r="J184" s="191"/>
      <c r="L184" s="165"/>
    </row>
    <row r="185" ht="87" customHeight="1" outlineLevel="2" spans="1:12">
      <c r="A185" s="178"/>
      <c r="B185" s="185" t="s">
        <v>184</v>
      </c>
      <c r="C185" s="185" t="s">
        <v>185</v>
      </c>
      <c r="D185" s="178" t="s">
        <v>39</v>
      </c>
      <c r="E185" s="186">
        <v>29.04</v>
      </c>
      <c r="F185" s="187">
        <v>1200</v>
      </c>
      <c r="G185" s="187"/>
      <c r="H185" s="188">
        <f t="shared" si="6"/>
        <v>34848</v>
      </c>
      <c r="I185" s="191"/>
      <c r="J185" s="191"/>
      <c r="L185" s="165"/>
    </row>
    <row r="186" ht="57" customHeight="1" outlineLevel="1" collapsed="1" spans="1:10">
      <c r="A186" s="178">
        <v>4</v>
      </c>
      <c r="B186" s="185" t="s">
        <v>186</v>
      </c>
      <c r="C186" s="185"/>
      <c r="D186" s="178"/>
      <c r="E186" s="186"/>
      <c r="F186" s="187"/>
      <c r="G186" s="179"/>
      <c r="H186" s="188">
        <f t="shared" si="6"/>
        <v>0</v>
      </c>
      <c r="I186" s="191"/>
      <c r="J186" s="191"/>
    </row>
    <row r="187" ht="60.95" customHeight="1" outlineLevel="1" spans="1:10">
      <c r="A187" s="178"/>
      <c r="B187" s="185" t="s">
        <v>93</v>
      </c>
      <c r="C187" s="185" t="s">
        <v>187</v>
      </c>
      <c r="D187" s="178" t="s">
        <v>46</v>
      </c>
      <c r="E187" s="194">
        <f>15.7*2</f>
        <v>31.4</v>
      </c>
      <c r="F187" s="187">
        <f>F136</f>
        <v>30</v>
      </c>
      <c r="G187" s="189"/>
      <c r="H187" s="188">
        <f t="shared" ref="H187:H210" si="7">E187*F187</f>
        <v>942</v>
      </c>
      <c r="I187" s="191"/>
      <c r="J187" s="191"/>
    </row>
    <row r="188" ht="60" customHeight="1" outlineLevel="1" spans="1:10">
      <c r="A188" s="178"/>
      <c r="B188" s="185" t="s">
        <v>188</v>
      </c>
      <c r="C188" s="185" t="s">
        <v>189</v>
      </c>
      <c r="D188" s="178" t="s">
        <v>46</v>
      </c>
      <c r="E188" s="194">
        <f>6.79*2</f>
        <v>13.58</v>
      </c>
      <c r="F188" s="187">
        <v>10</v>
      </c>
      <c r="G188" s="189"/>
      <c r="H188" s="188">
        <f t="shared" si="7"/>
        <v>135.8</v>
      </c>
      <c r="I188" s="191"/>
      <c r="J188" s="191"/>
    </row>
    <row r="189" ht="33.95" customHeight="1" outlineLevel="1" spans="1:10">
      <c r="A189" s="178"/>
      <c r="B189" s="185" t="s">
        <v>41</v>
      </c>
      <c r="C189" s="185" t="s">
        <v>54</v>
      </c>
      <c r="D189" s="178" t="s">
        <v>39</v>
      </c>
      <c r="E189" s="194">
        <f>15.7*2+1.4*3.6*2</f>
        <v>41.48</v>
      </c>
      <c r="F189" s="187">
        <v>6</v>
      </c>
      <c r="G189" s="189"/>
      <c r="H189" s="188">
        <f t="shared" si="7"/>
        <v>248.88</v>
      </c>
      <c r="I189" s="191"/>
      <c r="J189" s="191"/>
    </row>
    <row r="190" ht="33.95" customHeight="1" outlineLevel="1" spans="1:10">
      <c r="A190" s="178"/>
      <c r="B190" s="185" t="s">
        <v>190</v>
      </c>
      <c r="C190" s="185" t="s">
        <v>191</v>
      </c>
      <c r="D190" s="178" t="s">
        <v>46</v>
      </c>
      <c r="E190" s="186">
        <f>1.62*2</f>
        <v>3.24</v>
      </c>
      <c r="F190" s="187">
        <f>F162</f>
        <v>600</v>
      </c>
      <c r="G190" s="189"/>
      <c r="H190" s="188">
        <f t="shared" si="7"/>
        <v>1944</v>
      </c>
      <c r="I190" s="191"/>
      <c r="J190" s="191"/>
    </row>
    <row r="191" ht="45.95" customHeight="1" outlineLevel="1" spans="1:10">
      <c r="A191" s="178"/>
      <c r="B191" s="185" t="s">
        <v>192</v>
      </c>
      <c r="C191" s="185" t="s">
        <v>67</v>
      </c>
      <c r="D191" s="178" t="s">
        <v>46</v>
      </c>
      <c r="E191" s="186">
        <f>1.6*3.6*0.1*2</f>
        <v>1.152</v>
      </c>
      <c r="F191" s="187">
        <f>F190</f>
        <v>600</v>
      </c>
      <c r="G191" s="187">
        <f>G162</f>
        <v>160</v>
      </c>
      <c r="H191" s="188">
        <f t="shared" si="7"/>
        <v>691.2</v>
      </c>
      <c r="I191" s="191"/>
      <c r="J191" s="191"/>
    </row>
    <row r="192" ht="48.95" customHeight="1" outlineLevel="1" spans="1:10">
      <c r="A192" s="178"/>
      <c r="B192" s="185" t="s">
        <v>47</v>
      </c>
      <c r="C192" s="185" t="s">
        <v>55</v>
      </c>
      <c r="D192" s="178" t="s">
        <v>46</v>
      </c>
      <c r="E192" s="186">
        <f>1.4*0.1*3.6*2+1.57*2</f>
        <v>4.148</v>
      </c>
      <c r="F192" s="187">
        <f>F154</f>
        <v>1000</v>
      </c>
      <c r="G192" s="187">
        <f>G154</f>
        <v>520</v>
      </c>
      <c r="H192" s="188">
        <f t="shared" si="7"/>
        <v>4148</v>
      </c>
      <c r="I192" s="191"/>
      <c r="J192" s="191"/>
    </row>
    <row r="193" ht="48" customHeight="1" outlineLevel="1" spans="1:10">
      <c r="A193" s="178"/>
      <c r="B193" s="185" t="s">
        <v>95</v>
      </c>
      <c r="C193" s="185" t="s">
        <v>132</v>
      </c>
      <c r="D193" s="178" t="s">
        <v>46</v>
      </c>
      <c r="E193" s="186">
        <f>1*2+3.02*2</f>
        <v>8.04</v>
      </c>
      <c r="F193" s="187">
        <f>F140</f>
        <v>635.73</v>
      </c>
      <c r="G193" s="187">
        <v>480</v>
      </c>
      <c r="H193" s="188">
        <f t="shared" si="7"/>
        <v>5111.2692</v>
      </c>
      <c r="I193" s="191"/>
      <c r="J193" s="191"/>
    </row>
    <row r="194" ht="48" customHeight="1" outlineLevel="1" spans="1:10">
      <c r="A194" s="178"/>
      <c r="B194" s="185" t="s">
        <v>193</v>
      </c>
      <c r="C194" s="185" t="s">
        <v>194</v>
      </c>
      <c r="D194" s="178" t="s">
        <v>39</v>
      </c>
      <c r="E194" s="186">
        <f>8.26*0.24*2+14.86*0.24*2</f>
        <v>11.0976</v>
      </c>
      <c r="F194" s="187">
        <f>F120</f>
        <v>62.87</v>
      </c>
      <c r="G194" s="189"/>
      <c r="H194" s="188">
        <f t="shared" si="7"/>
        <v>697.706112</v>
      </c>
      <c r="I194" s="191"/>
      <c r="J194" s="191"/>
    </row>
    <row r="195" ht="48" customHeight="1" outlineLevel="1" spans="1:10">
      <c r="A195" s="178"/>
      <c r="B195" s="185" t="s">
        <v>195</v>
      </c>
      <c r="C195" s="185" t="s">
        <v>196</v>
      </c>
      <c r="D195" s="178" t="s">
        <v>46</v>
      </c>
      <c r="E195" s="186">
        <f>0.62*2+11.21*2</f>
        <v>23.66</v>
      </c>
      <c r="F195" s="187">
        <f>F119</f>
        <v>650.13</v>
      </c>
      <c r="G195" s="187">
        <f>G119</f>
        <v>480</v>
      </c>
      <c r="H195" s="188">
        <f t="shared" si="7"/>
        <v>15382.0758</v>
      </c>
      <c r="I195" s="191"/>
      <c r="J195" s="191"/>
    </row>
    <row r="196" ht="54.95" customHeight="1" outlineLevel="1" spans="1:10">
      <c r="A196" s="178"/>
      <c r="B196" s="185" t="s">
        <v>197</v>
      </c>
      <c r="C196" s="185" t="s">
        <v>198</v>
      </c>
      <c r="D196" s="178" t="s">
        <v>46</v>
      </c>
      <c r="E196" s="186">
        <f>3.16*2</f>
        <v>6.32</v>
      </c>
      <c r="F196" s="187">
        <v>1217.21</v>
      </c>
      <c r="G196" s="187">
        <f>G164</f>
        <v>550</v>
      </c>
      <c r="H196" s="188">
        <f t="shared" si="7"/>
        <v>7692.7672</v>
      </c>
      <c r="I196" s="191"/>
      <c r="J196" s="191"/>
    </row>
    <row r="197" ht="54.95" customHeight="1" outlineLevel="1" spans="1:10">
      <c r="A197" s="178"/>
      <c r="B197" s="185" t="s">
        <v>199</v>
      </c>
      <c r="C197" s="185" t="s">
        <v>200</v>
      </c>
      <c r="D197" s="178" t="s">
        <v>46</v>
      </c>
      <c r="E197" s="186">
        <f>1.75*2</f>
        <v>3.5</v>
      </c>
      <c r="F197" s="187">
        <v>1455.74</v>
      </c>
      <c r="G197" s="187">
        <f>G196</f>
        <v>550</v>
      </c>
      <c r="H197" s="188">
        <f t="shared" si="7"/>
        <v>5095.09</v>
      </c>
      <c r="I197" s="191"/>
      <c r="J197" s="191"/>
    </row>
    <row r="198" ht="54.95" customHeight="1" outlineLevel="1" spans="1:10">
      <c r="A198" s="178"/>
      <c r="B198" s="185" t="s">
        <v>201</v>
      </c>
      <c r="C198" s="185" t="s">
        <v>202</v>
      </c>
      <c r="D198" s="178" t="s">
        <v>46</v>
      </c>
      <c r="E198" s="186">
        <f>1.7*2</f>
        <v>3.4</v>
      </c>
      <c r="F198" s="187">
        <v>1285.08</v>
      </c>
      <c r="G198" s="187">
        <f>G64</f>
        <v>535</v>
      </c>
      <c r="H198" s="188">
        <f t="shared" si="7"/>
        <v>4369.272</v>
      </c>
      <c r="I198" s="191"/>
      <c r="J198" s="191"/>
    </row>
    <row r="199" ht="54.95" customHeight="1" outlineLevel="1" spans="1:10">
      <c r="A199" s="178"/>
      <c r="B199" s="185" t="s">
        <v>203</v>
      </c>
      <c r="C199" s="185" t="s">
        <v>204</v>
      </c>
      <c r="D199" s="178" t="s">
        <v>46</v>
      </c>
      <c r="E199" s="186">
        <f>0.46*2</f>
        <v>0.92</v>
      </c>
      <c r="F199" s="187">
        <f>F141</f>
        <v>1000</v>
      </c>
      <c r="G199" s="187">
        <f>G163</f>
        <v>520</v>
      </c>
      <c r="H199" s="188">
        <f t="shared" si="7"/>
        <v>920</v>
      </c>
      <c r="I199" s="191"/>
      <c r="J199" s="191"/>
    </row>
    <row r="200" ht="54.95" customHeight="1" outlineLevel="1" spans="1:10">
      <c r="A200" s="178"/>
      <c r="B200" s="185" t="s">
        <v>137</v>
      </c>
      <c r="C200" s="185" t="s">
        <v>205</v>
      </c>
      <c r="D200" s="178" t="s">
        <v>72</v>
      </c>
      <c r="E200" s="193">
        <f>(0.385-0.205)*2</f>
        <v>0.36</v>
      </c>
      <c r="F200" s="187">
        <f>F144</f>
        <v>9000</v>
      </c>
      <c r="G200" s="187">
        <f>G144</f>
        <v>4600</v>
      </c>
      <c r="H200" s="188">
        <f t="shared" si="7"/>
        <v>3240</v>
      </c>
      <c r="I200" s="191"/>
      <c r="J200" s="191"/>
    </row>
    <row r="201" ht="42.95" customHeight="1" outlineLevel="1" spans="1:10">
      <c r="A201" s="178"/>
      <c r="B201" s="185" t="s">
        <v>137</v>
      </c>
      <c r="C201" s="185" t="s">
        <v>206</v>
      </c>
      <c r="D201" s="178" t="s">
        <v>72</v>
      </c>
      <c r="E201" s="178">
        <f>0.205*2</f>
        <v>0.41</v>
      </c>
      <c r="F201" s="187">
        <f>F200</f>
        <v>9000</v>
      </c>
      <c r="G201" s="187">
        <f>G200</f>
        <v>4600</v>
      </c>
      <c r="H201" s="188">
        <f t="shared" si="7"/>
        <v>3690</v>
      </c>
      <c r="I201" s="191"/>
      <c r="J201" s="191"/>
    </row>
    <row r="202" ht="54.95" customHeight="1" outlineLevel="1" spans="1:10">
      <c r="A202" s="178"/>
      <c r="B202" s="185" t="s">
        <v>162</v>
      </c>
      <c r="C202" s="185" t="s">
        <v>207</v>
      </c>
      <c r="D202" s="178" t="s">
        <v>39</v>
      </c>
      <c r="E202" s="186">
        <f>62.4*2</f>
        <v>124.8</v>
      </c>
      <c r="F202" s="187">
        <v>207.36</v>
      </c>
      <c r="G202" s="187">
        <v>85</v>
      </c>
      <c r="H202" s="188">
        <f t="shared" si="7"/>
        <v>25878.528</v>
      </c>
      <c r="I202" s="191"/>
      <c r="J202" s="191"/>
    </row>
    <row r="203" ht="54.95" customHeight="1" outlineLevel="1" spans="1:10">
      <c r="A203" s="178"/>
      <c r="B203" s="185" t="s">
        <v>162</v>
      </c>
      <c r="C203" s="185" t="s">
        <v>208</v>
      </c>
      <c r="D203" s="178" t="s">
        <v>39</v>
      </c>
      <c r="E203" s="186">
        <f>48.1*2</f>
        <v>96.2</v>
      </c>
      <c r="F203" s="187">
        <v>143.24</v>
      </c>
      <c r="G203" s="187"/>
      <c r="H203" s="188">
        <f t="shared" si="7"/>
        <v>13779.688</v>
      </c>
      <c r="I203" s="191"/>
      <c r="J203" s="191"/>
    </row>
    <row r="204" ht="54.95" customHeight="1" outlineLevel="1" spans="1:10">
      <c r="A204" s="178"/>
      <c r="B204" s="185" t="s">
        <v>163</v>
      </c>
      <c r="C204" s="185" t="s">
        <v>209</v>
      </c>
      <c r="D204" s="178" t="s">
        <v>81</v>
      </c>
      <c r="E204" s="186">
        <f>22.01*2</f>
        <v>44.02</v>
      </c>
      <c r="F204" s="187">
        <v>57</v>
      </c>
      <c r="G204" s="187">
        <v>32</v>
      </c>
      <c r="H204" s="188">
        <f t="shared" si="7"/>
        <v>2509.14</v>
      </c>
      <c r="I204" s="191"/>
      <c r="J204" s="191"/>
    </row>
    <row r="205" ht="54.95" customHeight="1" outlineLevel="1" spans="1:10">
      <c r="A205" s="178"/>
      <c r="B205" s="185" t="s">
        <v>210</v>
      </c>
      <c r="C205" s="185" t="s">
        <v>211</v>
      </c>
      <c r="D205" s="178" t="s">
        <v>39</v>
      </c>
      <c r="E205" s="186">
        <f>1.26*2</f>
        <v>2.52</v>
      </c>
      <c r="F205" s="187">
        <v>670</v>
      </c>
      <c r="G205" s="187"/>
      <c r="H205" s="188">
        <f t="shared" si="7"/>
        <v>1688.4</v>
      </c>
      <c r="I205" s="191"/>
      <c r="J205" s="191"/>
    </row>
    <row r="206" ht="75.95" customHeight="1" outlineLevel="1" spans="1:10">
      <c r="A206" s="178"/>
      <c r="B206" s="185" t="s">
        <v>212</v>
      </c>
      <c r="C206" s="185" t="s">
        <v>213</v>
      </c>
      <c r="D206" s="178" t="s">
        <v>39</v>
      </c>
      <c r="E206" s="186">
        <f>3.78*2</f>
        <v>7.56</v>
      </c>
      <c r="F206" s="187">
        <v>1000</v>
      </c>
      <c r="G206" s="187">
        <v>470</v>
      </c>
      <c r="H206" s="188">
        <f t="shared" si="7"/>
        <v>7560</v>
      </c>
      <c r="I206" s="191"/>
      <c r="J206" s="191"/>
    </row>
    <row r="207" ht="54.95" customHeight="1" outlineLevel="1" spans="1:10">
      <c r="A207" s="178"/>
      <c r="B207" s="185" t="s">
        <v>214</v>
      </c>
      <c r="C207" s="185" t="s">
        <v>215</v>
      </c>
      <c r="D207" s="178" t="s">
        <v>72</v>
      </c>
      <c r="E207" s="193">
        <f>0.009*2</f>
        <v>0.018</v>
      </c>
      <c r="F207" s="187">
        <v>11338.8</v>
      </c>
      <c r="G207" s="187"/>
      <c r="H207" s="188">
        <f t="shared" si="7"/>
        <v>204.0984</v>
      </c>
      <c r="I207" s="191"/>
      <c r="J207" s="191"/>
    </row>
    <row r="208" ht="57" customHeight="1" outlineLevel="1" spans="1:10">
      <c r="A208" s="178"/>
      <c r="B208" s="185" t="s">
        <v>216</v>
      </c>
      <c r="C208" s="185" t="s">
        <v>217</v>
      </c>
      <c r="D208" s="178" t="s">
        <v>126</v>
      </c>
      <c r="E208" s="186">
        <f>1*2</f>
        <v>2</v>
      </c>
      <c r="F208" s="187">
        <v>3800</v>
      </c>
      <c r="G208" s="179"/>
      <c r="H208" s="188">
        <f t="shared" si="7"/>
        <v>7600</v>
      </c>
      <c r="I208" s="191"/>
      <c r="J208" s="191"/>
    </row>
    <row r="209" ht="29.1" customHeight="1" spans="1:10">
      <c r="A209" s="178" t="s">
        <v>218</v>
      </c>
      <c r="B209" s="185" t="s">
        <v>219</v>
      </c>
      <c r="C209" s="185"/>
      <c r="D209" s="178"/>
      <c r="E209" s="186"/>
      <c r="F209" s="187"/>
      <c r="G209" s="179"/>
      <c r="H209" s="188">
        <f t="shared" si="7"/>
        <v>0</v>
      </c>
      <c r="I209" s="191"/>
      <c r="J209" s="191"/>
    </row>
    <row r="210" ht="36" customHeight="1" outlineLevel="1" spans="1:10">
      <c r="A210" s="178">
        <v>1</v>
      </c>
      <c r="B210" s="185" t="s">
        <v>220</v>
      </c>
      <c r="C210" s="185"/>
      <c r="D210" s="178"/>
      <c r="E210" s="186"/>
      <c r="F210" s="187"/>
      <c r="G210" s="179"/>
      <c r="H210" s="188">
        <f t="shared" si="7"/>
        <v>0</v>
      </c>
      <c r="I210" s="191"/>
      <c r="J210" s="191"/>
    </row>
    <row r="211" ht="66.95" customHeight="1" outlineLevel="2" spans="1:12">
      <c r="A211" s="178"/>
      <c r="B211" s="185" t="s">
        <v>221</v>
      </c>
      <c r="C211" s="185" t="s">
        <v>187</v>
      </c>
      <c r="D211" s="178" t="s">
        <v>46</v>
      </c>
      <c r="E211" s="178">
        <v>52.62</v>
      </c>
      <c r="F211" s="187">
        <f>F187</f>
        <v>30</v>
      </c>
      <c r="G211" s="189"/>
      <c r="H211" s="188">
        <f t="shared" ref="H211:H242" si="8">E211*F211</f>
        <v>1578.6</v>
      </c>
      <c r="I211" s="191"/>
      <c r="J211" s="191"/>
      <c r="L211" s="165"/>
    </row>
    <row r="212" ht="36" customHeight="1" outlineLevel="2" spans="1:12">
      <c r="A212" s="178"/>
      <c r="B212" s="185" t="s">
        <v>41</v>
      </c>
      <c r="C212" s="185" t="s">
        <v>222</v>
      </c>
      <c r="D212" s="178" t="s">
        <v>39</v>
      </c>
      <c r="E212" s="178">
        <v>59.54</v>
      </c>
      <c r="F212" s="187">
        <v>6</v>
      </c>
      <c r="G212" s="189"/>
      <c r="H212" s="188">
        <f t="shared" si="8"/>
        <v>357.24</v>
      </c>
      <c r="I212" s="191"/>
      <c r="J212" s="191"/>
      <c r="L212" s="165"/>
    </row>
    <row r="213" ht="63.95" customHeight="1" outlineLevel="2" spans="1:12">
      <c r="A213" s="178"/>
      <c r="B213" s="185" t="s">
        <v>188</v>
      </c>
      <c r="C213" s="185" t="s">
        <v>189</v>
      </c>
      <c r="D213" s="178" t="s">
        <v>46</v>
      </c>
      <c r="E213" s="178">
        <v>21.29</v>
      </c>
      <c r="F213" s="187">
        <v>10</v>
      </c>
      <c r="G213" s="189"/>
      <c r="H213" s="188">
        <f t="shared" si="8"/>
        <v>212.9</v>
      </c>
      <c r="I213" s="191"/>
      <c r="J213" s="191"/>
      <c r="L213" s="165"/>
    </row>
    <row r="214" ht="63.95" customHeight="1" outlineLevel="2" spans="1:12">
      <c r="A214" s="178"/>
      <c r="B214" s="185" t="s">
        <v>44</v>
      </c>
      <c r="C214" s="185" t="s">
        <v>223</v>
      </c>
      <c r="D214" s="178" t="s">
        <v>46</v>
      </c>
      <c r="E214" s="178">
        <v>3.46</v>
      </c>
      <c r="F214" s="187">
        <f>F191</f>
        <v>600</v>
      </c>
      <c r="G214" s="187">
        <f>G191</f>
        <v>160</v>
      </c>
      <c r="H214" s="188">
        <f t="shared" si="8"/>
        <v>2076</v>
      </c>
      <c r="I214" s="191"/>
      <c r="J214" s="191"/>
      <c r="L214" s="165"/>
    </row>
    <row r="215" ht="57" customHeight="1" outlineLevel="2" spans="1:12">
      <c r="A215" s="178"/>
      <c r="B215" s="185" t="s">
        <v>47</v>
      </c>
      <c r="C215" s="185" t="s">
        <v>224</v>
      </c>
      <c r="D215" s="178" t="s">
        <v>46</v>
      </c>
      <c r="E215" s="178">
        <f>1.75+4.61-1.21</f>
        <v>5.15</v>
      </c>
      <c r="F215" s="187">
        <f>F192</f>
        <v>1000</v>
      </c>
      <c r="G215" s="187">
        <f>G192</f>
        <v>520</v>
      </c>
      <c r="H215" s="188">
        <f t="shared" si="8"/>
        <v>5150</v>
      </c>
      <c r="I215" s="191"/>
      <c r="J215" s="191"/>
      <c r="L215" s="165"/>
    </row>
    <row r="216" ht="59.1" customHeight="1" outlineLevel="2" spans="1:12">
      <c r="A216" s="178"/>
      <c r="B216" s="185" t="s">
        <v>225</v>
      </c>
      <c r="C216" s="185" t="s">
        <v>226</v>
      </c>
      <c r="D216" s="178" t="s">
        <v>46</v>
      </c>
      <c r="E216" s="178">
        <v>5.48</v>
      </c>
      <c r="F216" s="187">
        <v>1500</v>
      </c>
      <c r="G216" s="187">
        <v>550</v>
      </c>
      <c r="H216" s="188">
        <f t="shared" si="8"/>
        <v>8220</v>
      </c>
      <c r="I216" s="191"/>
      <c r="J216" s="191"/>
      <c r="L216" s="165"/>
    </row>
    <row r="217" ht="60" customHeight="1" outlineLevel="2" spans="1:12">
      <c r="A217" s="178"/>
      <c r="B217" s="185" t="s">
        <v>227</v>
      </c>
      <c r="C217" s="185" t="s">
        <v>228</v>
      </c>
      <c r="D217" s="178" t="s">
        <v>46</v>
      </c>
      <c r="E217" s="178">
        <v>4.41</v>
      </c>
      <c r="F217" s="187">
        <v>1500</v>
      </c>
      <c r="G217" s="187">
        <v>565</v>
      </c>
      <c r="H217" s="188">
        <f t="shared" si="8"/>
        <v>6615</v>
      </c>
      <c r="I217" s="191"/>
      <c r="J217" s="191"/>
      <c r="L217" s="195"/>
    </row>
    <row r="218" ht="60" customHeight="1" outlineLevel="2" spans="1:12">
      <c r="A218" s="178"/>
      <c r="B218" s="185" t="s">
        <v>137</v>
      </c>
      <c r="C218" s="185" t="s">
        <v>138</v>
      </c>
      <c r="D218" s="178" t="s">
        <v>72</v>
      </c>
      <c r="E218" s="178">
        <v>0.07</v>
      </c>
      <c r="F218" s="187">
        <f>F201</f>
        <v>9000</v>
      </c>
      <c r="G218" s="187">
        <f>G201</f>
        <v>4600</v>
      </c>
      <c r="H218" s="188">
        <f t="shared" si="8"/>
        <v>630</v>
      </c>
      <c r="I218" s="191"/>
      <c r="J218" s="191"/>
      <c r="L218" s="195"/>
    </row>
    <row r="219" ht="60" customHeight="1" outlineLevel="2" spans="1:12">
      <c r="A219" s="178"/>
      <c r="B219" s="185" t="s">
        <v>137</v>
      </c>
      <c r="C219" s="185" t="s">
        <v>205</v>
      </c>
      <c r="D219" s="178" t="s">
        <v>72</v>
      </c>
      <c r="E219" s="178">
        <v>1.47</v>
      </c>
      <c r="F219" s="187">
        <f>F218</f>
        <v>9000</v>
      </c>
      <c r="G219" s="187">
        <f>G218</f>
        <v>4600</v>
      </c>
      <c r="H219" s="188">
        <f t="shared" si="8"/>
        <v>13230</v>
      </c>
      <c r="I219" s="191"/>
      <c r="J219" s="191"/>
      <c r="L219" s="195"/>
    </row>
    <row r="220" ht="44.1" customHeight="1" outlineLevel="2" spans="1:12">
      <c r="A220" s="178"/>
      <c r="B220" s="185" t="s">
        <v>137</v>
      </c>
      <c r="C220" s="185" t="s">
        <v>229</v>
      </c>
      <c r="D220" s="178" t="s">
        <v>72</v>
      </c>
      <c r="E220" s="193">
        <v>0.39</v>
      </c>
      <c r="F220" s="187">
        <f>F219</f>
        <v>9000</v>
      </c>
      <c r="G220" s="187">
        <f>G219</f>
        <v>4600</v>
      </c>
      <c r="H220" s="188">
        <f t="shared" si="8"/>
        <v>3510</v>
      </c>
      <c r="I220" s="191"/>
      <c r="J220" s="191"/>
      <c r="L220" s="195"/>
    </row>
    <row r="221" ht="53.1" customHeight="1" outlineLevel="2" spans="1:12">
      <c r="A221" s="178"/>
      <c r="B221" s="185" t="s">
        <v>95</v>
      </c>
      <c r="C221" s="185" t="s">
        <v>230</v>
      </c>
      <c r="D221" s="178" t="s">
        <v>46</v>
      </c>
      <c r="E221" s="193">
        <f>3.63-1.58</f>
        <v>2.05</v>
      </c>
      <c r="F221" s="187">
        <f>F193</f>
        <v>635.73</v>
      </c>
      <c r="G221" s="187">
        <f>G193</f>
        <v>480</v>
      </c>
      <c r="H221" s="188">
        <f t="shared" si="8"/>
        <v>1303.2465</v>
      </c>
      <c r="I221" s="191"/>
      <c r="J221" s="191"/>
      <c r="L221" s="165"/>
    </row>
    <row r="222" ht="69" customHeight="1" outlineLevel="2" spans="1:12">
      <c r="A222" s="178"/>
      <c r="B222" s="185" t="s">
        <v>231</v>
      </c>
      <c r="C222" s="185" t="s">
        <v>232</v>
      </c>
      <c r="D222" s="178" t="s">
        <v>46</v>
      </c>
      <c r="E222" s="193">
        <v>0.15</v>
      </c>
      <c r="F222" s="187">
        <f>F217</f>
        <v>1500</v>
      </c>
      <c r="G222" s="187">
        <f>G217</f>
        <v>565</v>
      </c>
      <c r="H222" s="188">
        <f t="shared" si="8"/>
        <v>225</v>
      </c>
      <c r="I222" s="191"/>
      <c r="J222" s="191"/>
      <c r="L222" s="195"/>
    </row>
    <row r="223" ht="69" customHeight="1" outlineLevel="2" spans="1:12">
      <c r="A223" s="178"/>
      <c r="B223" s="185" t="s">
        <v>201</v>
      </c>
      <c r="C223" s="185" t="s">
        <v>233</v>
      </c>
      <c r="D223" s="178" t="s">
        <v>46</v>
      </c>
      <c r="E223" s="193">
        <v>0.17</v>
      </c>
      <c r="F223" s="187">
        <v>1300.08</v>
      </c>
      <c r="G223" s="187">
        <f>G197</f>
        <v>550</v>
      </c>
      <c r="H223" s="188">
        <f t="shared" si="8"/>
        <v>221.0136</v>
      </c>
      <c r="I223" s="191"/>
      <c r="J223" s="191"/>
      <c r="L223" s="165"/>
    </row>
    <row r="224" ht="69" customHeight="1" outlineLevel="2" spans="1:12">
      <c r="A224" s="178"/>
      <c r="B224" s="185" t="s">
        <v>234</v>
      </c>
      <c r="C224" s="185" t="s">
        <v>235</v>
      </c>
      <c r="D224" s="178" t="s">
        <v>46</v>
      </c>
      <c r="E224" s="193">
        <f>0.23-0.05</f>
        <v>0.18</v>
      </c>
      <c r="F224" s="187">
        <v>1114.18</v>
      </c>
      <c r="G224" s="187">
        <f>G198</f>
        <v>535</v>
      </c>
      <c r="H224" s="188">
        <f t="shared" si="8"/>
        <v>200.5524</v>
      </c>
      <c r="I224" s="191"/>
      <c r="J224" s="191"/>
      <c r="L224" s="165"/>
    </row>
    <row r="225" ht="69" customHeight="1" outlineLevel="2" spans="1:12">
      <c r="A225" s="178"/>
      <c r="B225" s="185" t="s">
        <v>197</v>
      </c>
      <c r="C225" s="185" t="s">
        <v>236</v>
      </c>
      <c r="D225" s="178" t="s">
        <v>46</v>
      </c>
      <c r="E225" s="193">
        <v>0.73</v>
      </c>
      <c r="F225" s="187">
        <v>1257.21</v>
      </c>
      <c r="G225" s="189">
        <v>585</v>
      </c>
      <c r="H225" s="188">
        <f t="shared" si="8"/>
        <v>917.7633</v>
      </c>
      <c r="I225" s="191"/>
      <c r="J225" s="191"/>
      <c r="L225" s="165"/>
    </row>
    <row r="226" ht="44.1" customHeight="1" outlineLevel="2" spans="1:12">
      <c r="A226" s="178"/>
      <c r="B226" s="185" t="s">
        <v>237</v>
      </c>
      <c r="C226" s="185" t="s">
        <v>238</v>
      </c>
      <c r="D226" s="178" t="s">
        <v>39</v>
      </c>
      <c r="E226" s="178">
        <v>17.83</v>
      </c>
      <c r="F226" s="187">
        <v>250</v>
      </c>
      <c r="G226" s="189">
        <v>82</v>
      </c>
      <c r="H226" s="188">
        <f t="shared" si="8"/>
        <v>4457.5</v>
      </c>
      <c r="I226" s="191"/>
      <c r="J226" s="191"/>
      <c r="L226" s="165"/>
    </row>
    <row r="227" ht="44.1" customHeight="1" outlineLevel="2" spans="1:12">
      <c r="A227" s="178"/>
      <c r="B227" s="185" t="s">
        <v>239</v>
      </c>
      <c r="C227" s="185" t="s">
        <v>240</v>
      </c>
      <c r="D227" s="178" t="s">
        <v>39</v>
      </c>
      <c r="E227" s="178">
        <v>17.83</v>
      </c>
      <c r="F227" s="187">
        <v>31.25</v>
      </c>
      <c r="G227" s="189"/>
      <c r="H227" s="188">
        <f t="shared" si="8"/>
        <v>557.1875</v>
      </c>
      <c r="I227" s="191"/>
      <c r="J227" s="191"/>
      <c r="L227" s="165"/>
    </row>
    <row r="228" ht="44.1" customHeight="1" outlineLevel="2" spans="1:12">
      <c r="A228" s="178"/>
      <c r="B228" s="185" t="s">
        <v>241</v>
      </c>
      <c r="C228" s="185" t="s">
        <v>242</v>
      </c>
      <c r="D228" s="178" t="s">
        <v>39</v>
      </c>
      <c r="E228" s="178">
        <v>17.83</v>
      </c>
      <c r="F228" s="187">
        <v>80</v>
      </c>
      <c r="G228" s="189">
        <v>35</v>
      </c>
      <c r="H228" s="188">
        <f t="shared" si="8"/>
        <v>1426.4</v>
      </c>
      <c r="I228" s="191"/>
      <c r="J228" s="191"/>
      <c r="L228" s="165"/>
    </row>
    <row r="229" ht="44.1" customHeight="1" outlineLevel="2" spans="1:12">
      <c r="A229" s="178"/>
      <c r="B229" s="185" t="s">
        <v>243</v>
      </c>
      <c r="C229" s="185" t="s">
        <v>244</v>
      </c>
      <c r="D229" s="178" t="s">
        <v>39</v>
      </c>
      <c r="E229" s="178">
        <v>17.83</v>
      </c>
      <c r="F229" s="187">
        <f>F227</f>
        <v>31.25</v>
      </c>
      <c r="G229" s="189"/>
      <c r="H229" s="188">
        <f t="shared" si="8"/>
        <v>557.1875</v>
      </c>
      <c r="I229" s="191"/>
      <c r="J229" s="191"/>
      <c r="L229" s="165"/>
    </row>
    <row r="230" ht="44.1" customHeight="1" outlineLevel="2" spans="1:12">
      <c r="A230" s="178"/>
      <c r="B230" s="185" t="s">
        <v>245</v>
      </c>
      <c r="C230" s="185" t="s">
        <v>238</v>
      </c>
      <c r="D230" s="178" t="s">
        <v>39</v>
      </c>
      <c r="E230" s="178">
        <f t="shared" ref="E230:E233" si="9">5.19+2.83</f>
        <v>8.02</v>
      </c>
      <c r="F230" s="187">
        <v>250</v>
      </c>
      <c r="G230" s="189">
        <f>G226</f>
        <v>82</v>
      </c>
      <c r="H230" s="188">
        <f t="shared" si="8"/>
        <v>2005</v>
      </c>
      <c r="I230" s="191"/>
      <c r="J230" s="191"/>
      <c r="L230" s="165"/>
    </row>
    <row r="231" ht="44.1" customHeight="1" outlineLevel="2" spans="1:12">
      <c r="A231" s="178"/>
      <c r="B231" s="185" t="s">
        <v>239</v>
      </c>
      <c r="C231" s="185" t="s">
        <v>246</v>
      </c>
      <c r="D231" s="178" t="s">
        <v>39</v>
      </c>
      <c r="E231" s="178">
        <f t="shared" si="9"/>
        <v>8.02</v>
      </c>
      <c r="F231" s="187">
        <v>59.87</v>
      </c>
      <c r="G231" s="189"/>
      <c r="H231" s="188">
        <f t="shared" si="8"/>
        <v>480.1574</v>
      </c>
      <c r="I231" s="191"/>
      <c r="J231" s="191"/>
      <c r="L231" s="165"/>
    </row>
    <row r="232" ht="44.1" customHeight="1" outlineLevel="2" spans="1:12">
      <c r="A232" s="178"/>
      <c r="B232" s="185" t="s">
        <v>241</v>
      </c>
      <c r="C232" s="185" t="s">
        <v>247</v>
      </c>
      <c r="D232" s="178" t="s">
        <v>39</v>
      </c>
      <c r="E232" s="178">
        <f t="shared" si="9"/>
        <v>8.02</v>
      </c>
      <c r="F232" s="187">
        <v>80</v>
      </c>
      <c r="G232" s="189">
        <f>G228</f>
        <v>35</v>
      </c>
      <c r="H232" s="188">
        <f t="shared" si="8"/>
        <v>641.6</v>
      </c>
      <c r="I232" s="191"/>
      <c r="J232" s="191"/>
      <c r="L232" s="165"/>
    </row>
    <row r="233" ht="44.1" customHeight="1" outlineLevel="2" spans="1:12">
      <c r="A233" s="178"/>
      <c r="B233" s="185" t="s">
        <v>243</v>
      </c>
      <c r="C233" s="185" t="s">
        <v>248</v>
      </c>
      <c r="D233" s="178" t="s">
        <v>39</v>
      </c>
      <c r="E233" s="178">
        <f t="shared" si="9"/>
        <v>8.02</v>
      </c>
      <c r="F233" s="187">
        <f>F231</f>
        <v>59.87</v>
      </c>
      <c r="G233" s="189"/>
      <c r="H233" s="188">
        <f t="shared" si="8"/>
        <v>480.1574</v>
      </c>
      <c r="I233" s="191"/>
      <c r="J233" s="191"/>
      <c r="L233" s="165"/>
    </row>
    <row r="234" ht="44.1" customHeight="1" outlineLevel="2" spans="1:12">
      <c r="A234" s="178"/>
      <c r="B234" s="185" t="s">
        <v>249</v>
      </c>
      <c r="C234" s="185" t="s">
        <v>250</v>
      </c>
      <c r="D234" s="178" t="s">
        <v>81</v>
      </c>
      <c r="E234" s="178">
        <v>20</v>
      </c>
      <c r="F234" s="187">
        <v>74.7</v>
      </c>
      <c r="G234" s="189">
        <v>47</v>
      </c>
      <c r="H234" s="188">
        <f t="shared" si="8"/>
        <v>1494</v>
      </c>
      <c r="I234" s="191"/>
      <c r="J234" s="191"/>
      <c r="L234" s="165"/>
    </row>
    <row r="235" ht="44.1" customHeight="1" outlineLevel="2" spans="1:12">
      <c r="A235" s="178"/>
      <c r="B235" s="185" t="s">
        <v>251</v>
      </c>
      <c r="C235" s="185" t="s">
        <v>252</v>
      </c>
      <c r="D235" s="178" t="s">
        <v>253</v>
      </c>
      <c r="E235" s="178">
        <v>3</v>
      </c>
      <c r="F235" s="187">
        <v>4000</v>
      </c>
      <c r="G235" s="189"/>
      <c r="H235" s="188">
        <f t="shared" si="8"/>
        <v>12000</v>
      </c>
      <c r="I235" s="191"/>
      <c r="J235" s="191"/>
      <c r="L235" s="165"/>
    </row>
    <row r="236" ht="44.1" customHeight="1" outlineLevel="2" spans="1:12">
      <c r="A236" s="178"/>
      <c r="B236" s="185" t="s">
        <v>37</v>
      </c>
      <c r="C236" s="185" t="s">
        <v>254</v>
      </c>
      <c r="D236" s="178" t="s">
        <v>39</v>
      </c>
      <c r="E236" s="178">
        <v>1.77</v>
      </c>
      <c r="F236" s="187">
        <f>F159</f>
        <v>210</v>
      </c>
      <c r="G236" s="187">
        <f>G159</f>
        <v>85</v>
      </c>
      <c r="H236" s="188">
        <f t="shared" si="8"/>
        <v>371.7</v>
      </c>
      <c r="I236" s="191"/>
      <c r="J236" s="191"/>
      <c r="L236" s="165"/>
    </row>
    <row r="237" ht="71.1" customHeight="1" outlineLevel="2" spans="1:12">
      <c r="A237" s="178"/>
      <c r="B237" s="185" t="s">
        <v>255</v>
      </c>
      <c r="C237" s="185" t="s">
        <v>256</v>
      </c>
      <c r="D237" s="178" t="s">
        <v>39</v>
      </c>
      <c r="E237" s="178">
        <v>0.54</v>
      </c>
      <c r="F237" s="187">
        <v>1760</v>
      </c>
      <c r="G237" s="189"/>
      <c r="H237" s="188">
        <f t="shared" si="8"/>
        <v>950.4</v>
      </c>
      <c r="I237" s="191"/>
      <c r="J237" s="191"/>
      <c r="L237" s="195"/>
    </row>
    <row r="238" ht="71.1" customHeight="1" outlineLevel="2" spans="1:12">
      <c r="A238" s="178"/>
      <c r="B238" s="185" t="s">
        <v>257</v>
      </c>
      <c r="C238" s="185" t="s">
        <v>258</v>
      </c>
      <c r="D238" s="178" t="s">
        <v>39</v>
      </c>
      <c r="E238" s="178">
        <v>0.54</v>
      </c>
      <c r="F238" s="187">
        <f>F236</f>
        <v>210</v>
      </c>
      <c r="G238" s="187">
        <f>G236</f>
        <v>85</v>
      </c>
      <c r="H238" s="188">
        <f t="shared" si="8"/>
        <v>113.4</v>
      </c>
      <c r="I238" s="191"/>
      <c r="J238" s="191"/>
      <c r="L238" s="195"/>
    </row>
    <row r="239" ht="44.1" customHeight="1" outlineLevel="2" spans="1:12">
      <c r="A239" s="178"/>
      <c r="B239" s="185" t="s">
        <v>259</v>
      </c>
      <c r="C239" s="185" t="s">
        <v>260</v>
      </c>
      <c r="D239" s="178" t="s">
        <v>39</v>
      </c>
      <c r="E239" s="186">
        <v>11.29</v>
      </c>
      <c r="F239" s="187">
        <v>1000</v>
      </c>
      <c r="G239" s="187">
        <f>G223</f>
        <v>550</v>
      </c>
      <c r="H239" s="188">
        <f t="shared" si="8"/>
        <v>11290</v>
      </c>
      <c r="I239" s="191"/>
      <c r="J239" s="191"/>
      <c r="L239" s="165"/>
    </row>
    <row r="240" ht="45" customHeight="1" outlineLevel="2" spans="1:12">
      <c r="A240" s="178"/>
      <c r="B240" s="185" t="s">
        <v>243</v>
      </c>
      <c r="C240" s="185" t="s">
        <v>261</v>
      </c>
      <c r="D240" s="178" t="s">
        <v>39</v>
      </c>
      <c r="E240" s="186">
        <v>13.23</v>
      </c>
      <c r="F240" s="187">
        <f>F229</f>
        <v>31.25</v>
      </c>
      <c r="G240" s="189"/>
      <c r="H240" s="188">
        <f t="shared" si="8"/>
        <v>413.4375</v>
      </c>
      <c r="I240" s="191"/>
      <c r="J240" s="191"/>
      <c r="L240" s="195"/>
    </row>
    <row r="241" ht="47.1" customHeight="1" outlineLevel="2" spans="1:12">
      <c r="A241" s="178"/>
      <c r="B241" s="185" t="s">
        <v>241</v>
      </c>
      <c r="C241" s="185" t="s">
        <v>262</v>
      </c>
      <c r="D241" s="178" t="s">
        <v>39</v>
      </c>
      <c r="E241" s="178">
        <v>13.23</v>
      </c>
      <c r="F241" s="187">
        <f>F228</f>
        <v>80</v>
      </c>
      <c r="G241" s="189">
        <f>G228</f>
        <v>35</v>
      </c>
      <c r="H241" s="188">
        <f t="shared" si="8"/>
        <v>1058.4</v>
      </c>
      <c r="I241" s="191"/>
      <c r="J241" s="197"/>
      <c r="L241" s="195"/>
    </row>
    <row r="242" ht="47.1" customHeight="1" outlineLevel="2" spans="1:12">
      <c r="A242" s="178"/>
      <c r="B242" s="185" t="s">
        <v>239</v>
      </c>
      <c r="C242" s="185" t="s">
        <v>263</v>
      </c>
      <c r="D242" s="178" t="s">
        <v>39</v>
      </c>
      <c r="E242" s="178">
        <v>13.23</v>
      </c>
      <c r="F242" s="187">
        <f>F240</f>
        <v>31.25</v>
      </c>
      <c r="G242" s="189"/>
      <c r="H242" s="188">
        <f t="shared" si="8"/>
        <v>413.4375</v>
      </c>
      <c r="I242" s="191"/>
      <c r="J242" s="197"/>
      <c r="L242" s="195"/>
    </row>
    <row r="243" ht="47.1" customHeight="1" outlineLevel="2" spans="1:12">
      <c r="A243" s="178"/>
      <c r="B243" s="185" t="s">
        <v>264</v>
      </c>
      <c r="C243" s="185" t="s">
        <v>265</v>
      </c>
      <c r="D243" s="178" t="s">
        <v>39</v>
      </c>
      <c r="E243" s="178">
        <v>48.29</v>
      </c>
      <c r="F243" s="187">
        <f>F233</f>
        <v>59.87</v>
      </c>
      <c r="G243" s="189"/>
      <c r="H243" s="188">
        <f t="shared" ref="H243:H283" si="10">E243*F243</f>
        <v>2891.1223</v>
      </c>
      <c r="I243" s="191"/>
      <c r="J243" s="197"/>
      <c r="L243" s="195"/>
    </row>
    <row r="244" ht="47.1" customHeight="1" outlineLevel="2" spans="1:12">
      <c r="A244" s="178"/>
      <c r="B244" s="185" t="s">
        <v>266</v>
      </c>
      <c r="C244" s="185" t="s">
        <v>267</v>
      </c>
      <c r="D244" s="178" t="s">
        <v>39</v>
      </c>
      <c r="E244" s="178">
        <v>48.29</v>
      </c>
      <c r="F244" s="187">
        <f>F232</f>
        <v>80</v>
      </c>
      <c r="G244" s="189">
        <f>G241</f>
        <v>35</v>
      </c>
      <c r="H244" s="188">
        <f t="shared" si="10"/>
        <v>3863.2</v>
      </c>
      <c r="I244" s="191"/>
      <c r="J244" s="197"/>
      <c r="L244" s="195"/>
    </row>
    <row r="245" ht="47.1" customHeight="1" outlineLevel="2" spans="1:12">
      <c r="A245" s="178"/>
      <c r="B245" s="185" t="s">
        <v>268</v>
      </c>
      <c r="C245" s="185" t="s">
        <v>269</v>
      </c>
      <c r="D245" s="178" t="s">
        <v>39</v>
      </c>
      <c r="E245" s="178">
        <v>48.29</v>
      </c>
      <c r="F245" s="187">
        <f>F243</f>
        <v>59.87</v>
      </c>
      <c r="G245" s="189"/>
      <c r="H245" s="188">
        <f t="shared" si="10"/>
        <v>2891.1223</v>
      </c>
      <c r="I245" s="191"/>
      <c r="J245" s="197"/>
      <c r="L245" s="195"/>
    </row>
    <row r="246" ht="47.1" customHeight="1" outlineLevel="2" spans="1:12">
      <c r="A246" s="178"/>
      <c r="B246" s="185" t="s">
        <v>270</v>
      </c>
      <c r="C246" s="185" t="s">
        <v>271</v>
      </c>
      <c r="D246" s="178" t="s">
        <v>39</v>
      </c>
      <c r="E246" s="178">
        <v>2.25</v>
      </c>
      <c r="F246" s="187">
        <v>762.64</v>
      </c>
      <c r="G246" s="189">
        <v>630</v>
      </c>
      <c r="H246" s="188">
        <f t="shared" si="10"/>
        <v>1715.94</v>
      </c>
      <c r="I246" s="191"/>
      <c r="J246" s="197"/>
      <c r="L246" s="195"/>
    </row>
    <row r="247" ht="47.1" customHeight="1" outlineLevel="2" spans="1:12">
      <c r="A247" s="178"/>
      <c r="B247" s="185" t="s">
        <v>239</v>
      </c>
      <c r="C247" s="185" t="s">
        <v>272</v>
      </c>
      <c r="D247" s="178" t="s">
        <v>39</v>
      </c>
      <c r="E247" s="178">
        <v>2.25</v>
      </c>
      <c r="F247" s="187">
        <f>F242</f>
        <v>31.25</v>
      </c>
      <c r="G247" s="189"/>
      <c r="H247" s="188">
        <f t="shared" si="10"/>
        <v>70.3125</v>
      </c>
      <c r="I247" s="191"/>
      <c r="J247" s="197"/>
      <c r="L247" s="195"/>
    </row>
    <row r="248" ht="47.1" customHeight="1" outlineLevel="2" spans="1:12">
      <c r="A248" s="178"/>
      <c r="B248" s="185" t="s">
        <v>241</v>
      </c>
      <c r="C248" s="185" t="s">
        <v>273</v>
      </c>
      <c r="D248" s="178" t="s">
        <v>39</v>
      </c>
      <c r="E248" s="178">
        <v>2.25</v>
      </c>
      <c r="F248" s="187">
        <f>F241</f>
        <v>80</v>
      </c>
      <c r="G248" s="189">
        <f>G244</f>
        <v>35</v>
      </c>
      <c r="H248" s="188">
        <f t="shared" si="10"/>
        <v>180</v>
      </c>
      <c r="I248" s="191"/>
      <c r="J248" s="197"/>
      <c r="L248" s="195"/>
    </row>
    <row r="249" ht="47.1" customHeight="1" outlineLevel="2" spans="1:12">
      <c r="A249" s="178"/>
      <c r="B249" s="185" t="s">
        <v>243</v>
      </c>
      <c r="C249" s="185" t="s">
        <v>274</v>
      </c>
      <c r="D249" s="178" t="s">
        <v>39</v>
      </c>
      <c r="E249" s="178">
        <v>2.25</v>
      </c>
      <c r="F249" s="187">
        <f>F247</f>
        <v>31.25</v>
      </c>
      <c r="G249" s="189"/>
      <c r="H249" s="188">
        <f t="shared" si="10"/>
        <v>70.3125</v>
      </c>
      <c r="I249" s="191"/>
      <c r="J249" s="197"/>
      <c r="L249" s="195"/>
    </row>
    <row r="250" ht="47.1" customHeight="1" outlineLevel="2" spans="1:12">
      <c r="A250" s="178"/>
      <c r="B250" s="185" t="s">
        <v>237</v>
      </c>
      <c r="C250" s="185" t="s">
        <v>275</v>
      </c>
      <c r="D250" s="178" t="s">
        <v>39</v>
      </c>
      <c r="E250" s="178">
        <v>3.38</v>
      </c>
      <c r="F250" s="187">
        <f>F226</f>
        <v>250</v>
      </c>
      <c r="G250" s="189">
        <f>G226</f>
        <v>82</v>
      </c>
      <c r="H250" s="188">
        <f t="shared" si="10"/>
        <v>845</v>
      </c>
      <c r="I250" s="191"/>
      <c r="J250" s="197"/>
      <c r="L250" s="195"/>
    </row>
    <row r="251" ht="47.1" customHeight="1" outlineLevel="2" spans="1:12">
      <c r="A251" s="178"/>
      <c r="B251" s="185" t="s">
        <v>239</v>
      </c>
      <c r="C251" s="185" t="s">
        <v>276</v>
      </c>
      <c r="D251" s="178" t="s">
        <v>39</v>
      </c>
      <c r="E251" s="178">
        <v>3.38</v>
      </c>
      <c r="F251" s="187">
        <f>F249</f>
        <v>31.25</v>
      </c>
      <c r="G251" s="189"/>
      <c r="H251" s="188">
        <f t="shared" si="10"/>
        <v>105.625</v>
      </c>
      <c r="I251" s="191"/>
      <c r="J251" s="197"/>
      <c r="L251" s="195"/>
    </row>
    <row r="252" ht="47.1" customHeight="1" outlineLevel="2" spans="1:12">
      <c r="A252" s="178"/>
      <c r="B252" s="185" t="s">
        <v>241</v>
      </c>
      <c r="C252" s="185" t="s">
        <v>277</v>
      </c>
      <c r="D252" s="178" t="s">
        <v>39</v>
      </c>
      <c r="E252" s="178">
        <v>3.38</v>
      </c>
      <c r="F252" s="187">
        <f>F248</f>
        <v>80</v>
      </c>
      <c r="G252" s="189">
        <f>G248</f>
        <v>35</v>
      </c>
      <c r="H252" s="188">
        <f t="shared" si="10"/>
        <v>270.4</v>
      </c>
      <c r="I252" s="191"/>
      <c r="J252" s="197"/>
      <c r="L252" s="195"/>
    </row>
    <row r="253" ht="47.1" customHeight="1" outlineLevel="2" spans="1:12">
      <c r="A253" s="178"/>
      <c r="B253" s="185" t="s">
        <v>243</v>
      </c>
      <c r="C253" s="185" t="s">
        <v>278</v>
      </c>
      <c r="D253" s="178" t="s">
        <v>39</v>
      </c>
      <c r="E253" s="178">
        <v>3.38</v>
      </c>
      <c r="F253" s="187">
        <f>F251</f>
        <v>31.25</v>
      </c>
      <c r="G253" s="189"/>
      <c r="H253" s="188">
        <f t="shared" si="10"/>
        <v>105.625</v>
      </c>
      <c r="I253" s="191"/>
      <c r="J253" s="197"/>
      <c r="L253" s="195"/>
    </row>
    <row r="254" ht="47.1" customHeight="1" outlineLevel="2" spans="1:12">
      <c r="A254" s="178"/>
      <c r="B254" s="185" t="s">
        <v>237</v>
      </c>
      <c r="C254" s="185" t="s">
        <v>238</v>
      </c>
      <c r="D254" s="178" t="s">
        <v>39</v>
      </c>
      <c r="E254" s="178">
        <f t="shared" ref="E254:E257" si="11">1.35+0.14</f>
        <v>1.49</v>
      </c>
      <c r="F254" s="187">
        <f>F250</f>
        <v>250</v>
      </c>
      <c r="G254" s="189">
        <f>G250</f>
        <v>82</v>
      </c>
      <c r="H254" s="188">
        <f t="shared" si="10"/>
        <v>372.5</v>
      </c>
      <c r="I254" s="191"/>
      <c r="J254" s="197"/>
      <c r="L254" s="195"/>
    </row>
    <row r="255" ht="47.1" customHeight="1" outlineLevel="2" spans="1:12">
      <c r="A255" s="178"/>
      <c r="B255" s="185" t="s">
        <v>239</v>
      </c>
      <c r="C255" s="185" t="s">
        <v>279</v>
      </c>
      <c r="D255" s="178" t="s">
        <v>39</v>
      </c>
      <c r="E255" s="178">
        <f t="shared" si="11"/>
        <v>1.49</v>
      </c>
      <c r="F255" s="187">
        <f>F253</f>
        <v>31.25</v>
      </c>
      <c r="G255" s="189"/>
      <c r="H255" s="188">
        <f t="shared" si="10"/>
        <v>46.5625</v>
      </c>
      <c r="I255" s="191"/>
      <c r="J255" s="197"/>
      <c r="L255" s="195"/>
    </row>
    <row r="256" ht="47.1" customHeight="1" outlineLevel="2" spans="1:12">
      <c r="A256" s="178"/>
      <c r="B256" s="185" t="s">
        <v>241</v>
      </c>
      <c r="C256" s="185" t="s">
        <v>280</v>
      </c>
      <c r="D256" s="178" t="s">
        <v>39</v>
      </c>
      <c r="E256" s="178">
        <f t="shared" si="11"/>
        <v>1.49</v>
      </c>
      <c r="F256" s="187">
        <f>F252</f>
        <v>80</v>
      </c>
      <c r="G256" s="189">
        <f>G252</f>
        <v>35</v>
      </c>
      <c r="H256" s="188">
        <f t="shared" si="10"/>
        <v>119.2</v>
      </c>
      <c r="I256" s="191"/>
      <c r="J256" s="197"/>
      <c r="L256" s="195"/>
    </row>
    <row r="257" ht="47.1" customHeight="1" outlineLevel="2" spans="1:12">
      <c r="A257" s="178"/>
      <c r="B257" s="185" t="s">
        <v>243</v>
      </c>
      <c r="C257" s="185" t="s">
        <v>281</v>
      </c>
      <c r="D257" s="178" t="s">
        <v>39</v>
      </c>
      <c r="E257" s="178">
        <f t="shared" si="11"/>
        <v>1.49</v>
      </c>
      <c r="F257" s="187">
        <f>F255</f>
        <v>31.25</v>
      </c>
      <c r="G257" s="189"/>
      <c r="H257" s="188">
        <f t="shared" si="10"/>
        <v>46.5625</v>
      </c>
      <c r="I257" s="191"/>
      <c r="J257" s="197"/>
      <c r="L257" s="195"/>
    </row>
    <row r="258" ht="47.1" customHeight="1" outlineLevel="2" spans="1:12">
      <c r="A258" s="178"/>
      <c r="B258" s="185" t="s">
        <v>282</v>
      </c>
      <c r="C258" s="185" t="s">
        <v>283</v>
      </c>
      <c r="D258" s="178" t="s">
        <v>39</v>
      </c>
      <c r="E258" s="178">
        <v>3.51</v>
      </c>
      <c r="F258" s="187">
        <v>670</v>
      </c>
      <c r="G258" s="189"/>
      <c r="H258" s="188">
        <f t="shared" si="10"/>
        <v>2351.7</v>
      </c>
      <c r="I258" s="191"/>
      <c r="J258" s="197"/>
      <c r="L258" s="195"/>
    </row>
    <row r="259" ht="47.1" customHeight="1" outlineLevel="2" spans="1:12">
      <c r="A259" s="178"/>
      <c r="B259" s="185" t="s">
        <v>284</v>
      </c>
      <c r="C259" s="185" t="s">
        <v>285</v>
      </c>
      <c r="D259" s="178" t="s">
        <v>39</v>
      </c>
      <c r="E259" s="178">
        <v>3.51</v>
      </c>
      <c r="F259" s="187">
        <v>89</v>
      </c>
      <c r="G259" s="189">
        <v>75</v>
      </c>
      <c r="H259" s="188">
        <f t="shared" si="10"/>
        <v>312.39</v>
      </c>
      <c r="I259" s="191"/>
      <c r="J259" s="197"/>
      <c r="L259" s="195"/>
    </row>
    <row r="260" ht="60" customHeight="1" outlineLevel="2" spans="1:12">
      <c r="A260" s="178"/>
      <c r="B260" s="185" t="s">
        <v>286</v>
      </c>
      <c r="C260" s="185" t="s">
        <v>287</v>
      </c>
      <c r="D260" s="178" t="s">
        <v>72</v>
      </c>
      <c r="E260" s="178">
        <f>0.02+0.001</f>
        <v>0.021</v>
      </c>
      <c r="F260" s="187">
        <f>F207</f>
        <v>11338.8</v>
      </c>
      <c r="G260" s="189"/>
      <c r="H260" s="188">
        <f t="shared" si="10"/>
        <v>238.1148</v>
      </c>
      <c r="I260" s="191"/>
      <c r="J260" s="197"/>
      <c r="L260" s="195"/>
    </row>
    <row r="261" ht="47.1" customHeight="1" outlineLevel="2" spans="1:12">
      <c r="A261" s="178"/>
      <c r="B261" s="185" t="s">
        <v>288</v>
      </c>
      <c r="C261" s="185" t="s">
        <v>289</v>
      </c>
      <c r="D261" s="178" t="s">
        <v>39</v>
      </c>
      <c r="E261" s="178">
        <v>0.92</v>
      </c>
      <c r="F261" s="187">
        <f>F205</f>
        <v>670</v>
      </c>
      <c r="G261" s="189"/>
      <c r="H261" s="188">
        <f t="shared" si="10"/>
        <v>616.4</v>
      </c>
      <c r="I261" s="191"/>
      <c r="J261" s="197"/>
      <c r="L261" s="195"/>
    </row>
    <row r="262" ht="24" customHeight="1" outlineLevel="1" collapsed="1" spans="1:12">
      <c r="A262" s="198">
        <v>2</v>
      </c>
      <c r="B262" s="199" t="s">
        <v>290</v>
      </c>
      <c r="C262" s="200"/>
      <c r="D262" s="198"/>
      <c r="E262" s="200"/>
      <c r="F262" s="201"/>
      <c r="G262" s="201"/>
      <c r="H262" s="188">
        <f t="shared" si="10"/>
        <v>0</v>
      </c>
      <c r="I262" s="201"/>
      <c r="J262" s="201"/>
      <c r="L262" s="165"/>
    </row>
    <row r="263" ht="54" outlineLevel="1" spans="1:12">
      <c r="A263" s="198"/>
      <c r="B263" s="185" t="s">
        <v>112</v>
      </c>
      <c r="C263" s="185" t="s">
        <v>291</v>
      </c>
      <c r="D263" s="178" t="s">
        <v>46</v>
      </c>
      <c r="E263" s="193">
        <v>1.18</v>
      </c>
      <c r="F263" s="202">
        <f>F195</f>
        <v>650.13</v>
      </c>
      <c r="G263" s="202">
        <f>G195</f>
        <v>480</v>
      </c>
      <c r="H263" s="188">
        <f t="shared" si="10"/>
        <v>767.1534</v>
      </c>
      <c r="I263" s="201"/>
      <c r="J263" s="201"/>
      <c r="L263" s="165"/>
    </row>
    <row r="264" ht="43.2" outlineLevel="1" spans="1:12">
      <c r="A264" s="198"/>
      <c r="B264" s="185" t="s">
        <v>47</v>
      </c>
      <c r="C264" s="185" t="s">
        <v>224</v>
      </c>
      <c r="D264" s="178" t="s">
        <v>46</v>
      </c>
      <c r="E264" s="178">
        <v>1.21</v>
      </c>
      <c r="F264" s="203">
        <f>F215</f>
        <v>1000</v>
      </c>
      <c r="G264" s="203">
        <f>G216</f>
        <v>550</v>
      </c>
      <c r="H264" s="188">
        <f t="shared" si="10"/>
        <v>1210</v>
      </c>
      <c r="I264" s="201"/>
      <c r="J264" s="201"/>
      <c r="L264" s="165"/>
    </row>
    <row r="265" ht="43.2" outlineLevel="1" spans="1:12">
      <c r="A265" s="198"/>
      <c r="B265" s="185" t="s">
        <v>95</v>
      </c>
      <c r="C265" s="185" t="s">
        <v>230</v>
      </c>
      <c r="D265" s="178" t="s">
        <v>46</v>
      </c>
      <c r="E265" s="193">
        <v>1.58</v>
      </c>
      <c r="F265" s="202">
        <f>F193</f>
        <v>635.73</v>
      </c>
      <c r="G265" s="202">
        <f>G193</f>
        <v>480</v>
      </c>
      <c r="H265" s="188">
        <f t="shared" si="10"/>
        <v>1004.4534</v>
      </c>
      <c r="I265" s="201"/>
      <c r="J265" s="201"/>
      <c r="L265" s="165"/>
    </row>
    <row r="266" ht="54" outlineLevel="1" spans="1:12">
      <c r="A266" s="198"/>
      <c r="B266" s="185" t="s">
        <v>199</v>
      </c>
      <c r="C266" s="185" t="s">
        <v>292</v>
      </c>
      <c r="D266" s="178" t="s">
        <v>46</v>
      </c>
      <c r="E266" s="186">
        <v>0.46</v>
      </c>
      <c r="F266" s="202">
        <f>F197</f>
        <v>1455.74</v>
      </c>
      <c r="G266" s="202">
        <f>G224</f>
        <v>535</v>
      </c>
      <c r="H266" s="188">
        <f t="shared" si="10"/>
        <v>669.6404</v>
      </c>
      <c r="I266" s="201"/>
      <c r="J266" s="201"/>
      <c r="L266" s="165"/>
    </row>
    <row r="267" ht="54" outlineLevel="1" spans="1:12">
      <c r="A267" s="198"/>
      <c r="B267" s="185" t="s">
        <v>293</v>
      </c>
      <c r="C267" s="185" t="s">
        <v>294</v>
      </c>
      <c r="D267" s="178" t="s">
        <v>46</v>
      </c>
      <c r="E267" s="193">
        <v>1.31</v>
      </c>
      <c r="F267" s="201">
        <v>1460.77</v>
      </c>
      <c r="G267" s="202">
        <f>G197</f>
        <v>550</v>
      </c>
      <c r="H267" s="188">
        <f t="shared" si="10"/>
        <v>1913.6087</v>
      </c>
      <c r="I267" s="201"/>
      <c r="J267" s="201"/>
      <c r="L267" s="165"/>
    </row>
    <row r="268" ht="60" outlineLevel="1" spans="1:12">
      <c r="A268" s="198"/>
      <c r="B268" s="204" t="s">
        <v>295</v>
      </c>
      <c r="C268" s="205" t="s">
        <v>296</v>
      </c>
      <c r="D268" s="178" t="s">
        <v>46</v>
      </c>
      <c r="E268" s="193">
        <v>0.92</v>
      </c>
      <c r="F268" s="206">
        <v>1000</v>
      </c>
      <c r="G268" s="203">
        <f>G267</f>
        <v>550</v>
      </c>
      <c r="H268" s="188">
        <f t="shared" si="10"/>
        <v>920</v>
      </c>
      <c r="I268" s="201"/>
      <c r="J268" s="201"/>
      <c r="L268" s="165"/>
    </row>
    <row r="269" ht="54" outlineLevel="1" spans="1:12">
      <c r="A269" s="198"/>
      <c r="B269" s="185" t="s">
        <v>297</v>
      </c>
      <c r="C269" s="185" t="s">
        <v>298</v>
      </c>
      <c r="D269" s="178" t="s">
        <v>46</v>
      </c>
      <c r="E269" s="193">
        <v>0.55</v>
      </c>
      <c r="F269" s="202">
        <f>F198</f>
        <v>1285.08</v>
      </c>
      <c r="G269" s="202">
        <f>G266</f>
        <v>535</v>
      </c>
      <c r="H269" s="188">
        <f t="shared" si="10"/>
        <v>706.794</v>
      </c>
      <c r="I269" s="201"/>
      <c r="J269" s="201"/>
      <c r="L269" s="165"/>
    </row>
    <row r="270" ht="54" outlineLevel="1" spans="1:12">
      <c r="A270" s="198"/>
      <c r="B270" s="185" t="s">
        <v>234</v>
      </c>
      <c r="C270" s="185" t="s">
        <v>235</v>
      </c>
      <c r="D270" s="178" t="s">
        <v>46</v>
      </c>
      <c r="E270" s="193">
        <v>0.05</v>
      </c>
      <c r="F270" s="202">
        <f>F199</f>
        <v>1000</v>
      </c>
      <c r="G270" s="202">
        <f>G269</f>
        <v>535</v>
      </c>
      <c r="H270" s="188">
        <f t="shared" si="10"/>
        <v>50</v>
      </c>
      <c r="I270" s="201"/>
      <c r="J270" s="201"/>
      <c r="L270" s="165"/>
    </row>
    <row r="271" ht="54" outlineLevel="1" spans="1:12">
      <c r="A271" s="198"/>
      <c r="B271" s="185" t="s">
        <v>197</v>
      </c>
      <c r="C271" s="185" t="s">
        <v>296</v>
      </c>
      <c r="D271" s="178" t="s">
        <v>46</v>
      </c>
      <c r="E271" s="193">
        <v>2.42</v>
      </c>
      <c r="F271" s="202">
        <f>F196</f>
        <v>1217.21</v>
      </c>
      <c r="G271" s="202">
        <f>G268</f>
        <v>550</v>
      </c>
      <c r="H271" s="188">
        <f t="shared" si="10"/>
        <v>2945.6482</v>
      </c>
      <c r="I271" s="201"/>
      <c r="J271" s="201"/>
      <c r="L271" s="165"/>
    </row>
    <row r="272" ht="43.2" outlineLevel="1" spans="1:12">
      <c r="A272" s="198"/>
      <c r="B272" s="185" t="s">
        <v>299</v>
      </c>
      <c r="C272" s="185" t="s">
        <v>300</v>
      </c>
      <c r="D272" s="178" t="s">
        <v>39</v>
      </c>
      <c r="E272" s="178">
        <f>11.78+14.93+2.75</f>
        <v>29.46</v>
      </c>
      <c r="F272" s="202">
        <v>308.74</v>
      </c>
      <c r="G272" s="202">
        <v>95</v>
      </c>
      <c r="H272" s="188">
        <f t="shared" si="10"/>
        <v>9095.4804</v>
      </c>
      <c r="I272" s="201"/>
      <c r="J272" s="201"/>
      <c r="L272" s="165"/>
    </row>
    <row r="273" ht="43.2" outlineLevel="1" spans="1:12">
      <c r="A273" s="198"/>
      <c r="B273" s="185" t="s">
        <v>299</v>
      </c>
      <c r="C273" s="185" t="s">
        <v>301</v>
      </c>
      <c r="D273" s="178" t="s">
        <v>39</v>
      </c>
      <c r="E273" s="178">
        <v>2.49</v>
      </c>
      <c r="F273" s="202">
        <f>F205</f>
        <v>670</v>
      </c>
      <c r="G273" s="201"/>
      <c r="H273" s="188">
        <f t="shared" si="10"/>
        <v>1668.3</v>
      </c>
      <c r="I273" s="201"/>
      <c r="J273" s="201"/>
      <c r="L273" s="165"/>
    </row>
    <row r="274" ht="43.2" outlineLevel="1" spans="1:12">
      <c r="A274" s="198"/>
      <c r="B274" s="185" t="s">
        <v>299</v>
      </c>
      <c r="C274" s="185" t="s">
        <v>302</v>
      </c>
      <c r="D274" s="178" t="s">
        <v>39</v>
      </c>
      <c r="E274" s="178">
        <v>25.48</v>
      </c>
      <c r="F274" s="202">
        <f>F176</f>
        <v>536.42</v>
      </c>
      <c r="G274" s="202">
        <f>G176</f>
        <v>245</v>
      </c>
      <c r="H274" s="188">
        <f t="shared" si="10"/>
        <v>13667.9816</v>
      </c>
      <c r="I274" s="201"/>
      <c r="J274" s="201"/>
      <c r="L274" s="165"/>
    </row>
    <row r="275" ht="43.2" outlineLevel="1" spans="1:12">
      <c r="A275" s="198"/>
      <c r="B275" s="182" t="s">
        <v>303</v>
      </c>
      <c r="C275" s="182" t="s">
        <v>304</v>
      </c>
      <c r="D275" s="178" t="s">
        <v>72</v>
      </c>
      <c r="E275" s="178">
        <f>0.04+0.07+0.063</f>
        <v>0.173</v>
      </c>
      <c r="F275" s="187">
        <f>F179</f>
        <v>13000</v>
      </c>
      <c r="G275" s="187">
        <f>G179</f>
        <v>6400</v>
      </c>
      <c r="H275" s="188">
        <f t="shared" si="10"/>
        <v>2249</v>
      </c>
      <c r="I275" s="191"/>
      <c r="J275" s="197"/>
      <c r="L275" s="165"/>
    </row>
    <row r="276" ht="43.2" outlineLevel="1" spans="1:12">
      <c r="A276" s="198"/>
      <c r="B276" s="182" t="s">
        <v>305</v>
      </c>
      <c r="C276" s="182" t="s">
        <v>306</v>
      </c>
      <c r="D276" s="178" t="s">
        <v>72</v>
      </c>
      <c r="E276" s="178">
        <v>0.049</v>
      </c>
      <c r="F276" s="187">
        <f>F275</f>
        <v>13000</v>
      </c>
      <c r="G276" s="187">
        <f>G275</f>
        <v>6400</v>
      </c>
      <c r="H276" s="188">
        <f t="shared" si="10"/>
        <v>637</v>
      </c>
      <c r="I276" s="191"/>
      <c r="J276" s="197"/>
      <c r="L276" s="165"/>
    </row>
    <row r="277" ht="21.6" outlineLevel="1" spans="1:12">
      <c r="A277" s="198"/>
      <c r="B277" s="185" t="s">
        <v>299</v>
      </c>
      <c r="C277" s="185" t="s">
        <v>307</v>
      </c>
      <c r="D277" s="178" t="s">
        <v>39</v>
      </c>
      <c r="E277" s="178">
        <f>3.18</f>
        <v>3.18</v>
      </c>
      <c r="F277" s="187">
        <f>F273</f>
        <v>670</v>
      </c>
      <c r="G277" s="189"/>
      <c r="H277" s="188">
        <f t="shared" si="10"/>
        <v>2130.6</v>
      </c>
      <c r="I277" s="191"/>
      <c r="J277" s="197"/>
      <c r="L277" s="165"/>
    </row>
    <row r="278" ht="21.6" outlineLevel="1" spans="1:12">
      <c r="A278" s="198"/>
      <c r="B278" s="185" t="s">
        <v>299</v>
      </c>
      <c r="C278" s="185" t="s">
        <v>308</v>
      </c>
      <c r="D278" s="178" t="s">
        <v>39</v>
      </c>
      <c r="E278" s="178">
        <v>2.55</v>
      </c>
      <c r="F278" s="187">
        <f>F277</f>
        <v>670</v>
      </c>
      <c r="G278" s="189"/>
      <c r="H278" s="188">
        <f t="shared" si="10"/>
        <v>1708.5</v>
      </c>
      <c r="I278" s="191"/>
      <c r="J278" s="197"/>
      <c r="L278" s="165"/>
    </row>
    <row r="279" ht="32.4" outlineLevel="1" spans="1:12">
      <c r="A279" s="198"/>
      <c r="B279" s="185" t="s">
        <v>214</v>
      </c>
      <c r="C279" s="185" t="s">
        <v>309</v>
      </c>
      <c r="D279" s="178" t="s">
        <v>72</v>
      </c>
      <c r="E279" s="178">
        <f>0.005+0.006+0.003+0.004+0.001</f>
        <v>0.019</v>
      </c>
      <c r="F279" s="187">
        <f>F207</f>
        <v>11338.8</v>
      </c>
      <c r="G279" s="189"/>
      <c r="H279" s="188">
        <f t="shared" si="10"/>
        <v>215.4372</v>
      </c>
      <c r="I279" s="191"/>
      <c r="J279" s="197"/>
      <c r="L279" s="165"/>
    </row>
    <row r="280" ht="21.6" outlineLevel="1" spans="1:12">
      <c r="A280" s="198"/>
      <c r="B280" s="185" t="s">
        <v>310</v>
      </c>
      <c r="C280" s="185" t="s">
        <v>311</v>
      </c>
      <c r="D280" s="178" t="s">
        <v>81</v>
      </c>
      <c r="E280" s="178">
        <v>129.15</v>
      </c>
      <c r="F280" s="187">
        <v>43</v>
      </c>
      <c r="G280" s="189">
        <v>17</v>
      </c>
      <c r="H280" s="188">
        <f t="shared" si="10"/>
        <v>5553.45</v>
      </c>
      <c r="I280" s="191"/>
      <c r="J280" s="197"/>
      <c r="L280" s="165"/>
    </row>
    <row r="281" ht="32.4" outlineLevel="1" spans="1:12">
      <c r="A281" s="198"/>
      <c r="B281" s="185" t="s">
        <v>312</v>
      </c>
      <c r="C281" s="185" t="s">
        <v>313</v>
      </c>
      <c r="D281" s="178" t="s">
        <v>39</v>
      </c>
      <c r="E281" s="178">
        <v>24.96</v>
      </c>
      <c r="F281" s="187">
        <f>F245</f>
        <v>59.87</v>
      </c>
      <c r="G281" s="189"/>
      <c r="H281" s="188">
        <f t="shared" si="10"/>
        <v>1494.3552</v>
      </c>
      <c r="I281" s="191"/>
      <c r="J281" s="197"/>
      <c r="L281" s="165"/>
    </row>
    <row r="282" ht="32.4" outlineLevel="1" spans="1:12">
      <c r="A282" s="198"/>
      <c r="B282" s="185" t="s">
        <v>314</v>
      </c>
      <c r="C282" s="185" t="s">
        <v>315</v>
      </c>
      <c r="D282" s="178" t="s">
        <v>39</v>
      </c>
      <c r="E282" s="178">
        <v>8.72</v>
      </c>
      <c r="F282" s="187">
        <v>630</v>
      </c>
      <c r="G282" s="189"/>
      <c r="H282" s="188">
        <f t="shared" si="10"/>
        <v>5493.6</v>
      </c>
      <c r="I282" s="197"/>
      <c r="J282" s="197"/>
      <c r="L282" s="165"/>
    </row>
    <row r="283" ht="21.6" outlineLevel="1" spans="1:12">
      <c r="A283" s="198"/>
      <c r="B283" s="185" t="s">
        <v>316</v>
      </c>
      <c r="C283" s="185" t="s">
        <v>307</v>
      </c>
      <c r="D283" s="178" t="s">
        <v>39</v>
      </c>
      <c r="E283" s="178">
        <v>6.83</v>
      </c>
      <c r="F283" s="187">
        <v>1350</v>
      </c>
      <c r="G283" s="189"/>
      <c r="H283" s="188">
        <f t="shared" si="10"/>
        <v>9220.5</v>
      </c>
      <c r="I283" s="197"/>
      <c r="J283" s="197"/>
      <c r="L283" s="165"/>
    </row>
    <row r="284" ht="26.1" customHeight="1" spans="1:10">
      <c r="A284" s="178" t="s">
        <v>317</v>
      </c>
      <c r="B284" s="182" t="s">
        <v>318</v>
      </c>
      <c r="C284" s="182"/>
      <c r="D284" s="178"/>
      <c r="E284" s="178"/>
      <c r="F284" s="187"/>
      <c r="G284" s="189"/>
      <c r="H284" s="188">
        <f t="shared" ref="H284:H330" si="12">E284*F284</f>
        <v>0</v>
      </c>
      <c r="I284" s="179"/>
      <c r="J284" s="191"/>
    </row>
    <row r="285" s="166" customFormat="1" ht="32.1" customHeight="1" outlineLevel="1" spans="1:10">
      <c r="A285" s="178">
        <v>1</v>
      </c>
      <c r="B285" s="185" t="s">
        <v>319</v>
      </c>
      <c r="C285" s="185"/>
      <c r="D285" s="178"/>
      <c r="E285" s="178"/>
      <c r="F285" s="187"/>
      <c r="G285" s="189"/>
      <c r="H285" s="188">
        <f t="shared" si="12"/>
        <v>0</v>
      </c>
      <c r="I285" s="179"/>
      <c r="J285" s="207"/>
    </row>
    <row r="286" s="166" customFormat="1" ht="32.1" customHeight="1" outlineLevel="2" spans="1:10">
      <c r="A286" s="178">
        <v>1.1</v>
      </c>
      <c r="B286" s="185" t="s">
        <v>320</v>
      </c>
      <c r="C286" s="185"/>
      <c r="D286" s="178"/>
      <c r="E286" s="178"/>
      <c r="F286" s="187"/>
      <c r="G286" s="189"/>
      <c r="H286" s="188">
        <f t="shared" si="12"/>
        <v>0</v>
      </c>
      <c r="I286" s="179"/>
      <c r="J286" s="207"/>
    </row>
    <row r="287" s="166" customFormat="1" ht="60" customHeight="1" outlineLevel="3" spans="1:10">
      <c r="A287" s="178"/>
      <c r="B287" s="185" t="s">
        <v>221</v>
      </c>
      <c r="C287" s="185" t="s">
        <v>187</v>
      </c>
      <c r="D287" s="178" t="s">
        <v>46</v>
      </c>
      <c r="E287" s="178">
        <f>86.01+13.82</f>
        <v>99.83</v>
      </c>
      <c r="F287" s="187">
        <v>30</v>
      </c>
      <c r="G287" s="189"/>
      <c r="H287" s="188">
        <f t="shared" si="12"/>
        <v>2994.9</v>
      </c>
      <c r="I287" s="207"/>
      <c r="J287" s="207"/>
    </row>
    <row r="288" s="166" customFormat="1" ht="36.95" customHeight="1" outlineLevel="3" spans="1:10">
      <c r="A288" s="178"/>
      <c r="B288" s="185" t="s">
        <v>41</v>
      </c>
      <c r="C288" s="185" t="s">
        <v>222</v>
      </c>
      <c r="D288" s="178" t="s">
        <v>39</v>
      </c>
      <c r="E288" s="178">
        <f>85.36+20.92</f>
        <v>106.28</v>
      </c>
      <c r="F288" s="187">
        <v>6</v>
      </c>
      <c r="G288" s="189"/>
      <c r="H288" s="188">
        <f t="shared" si="12"/>
        <v>637.68</v>
      </c>
      <c r="I288" s="207"/>
      <c r="J288" s="207"/>
    </row>
    <row r="289" s="166" customFormat="1" ht="69" customHeight="1" outlineLevel="3" spans="1:10">
      <c r="A289" s="178"/>
      <c r="B289" s="185" t="s">
        <v>188</v>
      </c>
      <c r="C289" s="185" t="s">
        <v>189</v>
      </c>
      <c r="D289" s="178" t="s">
        <v>46</v>
      </c>
      <c r="E289" s="186">
        <f>46.22+10.09-0.67*0.3*1.3*3</f>
        <v>55.5261</v>
      </c>
      <c r="F289" s="187">
        <v>10</v>
      </c>
      <c r="G289" s="189"/>
      <c r="H289" s="188">
        <f t="shared" si="12"/>
        <v>555.261</v>
      </c>
      <c r="I289" s="207"/>
      <c r="J289" s="207"/>
    </row>
    <row r="290" s="166" customFormat="1" ht="33" customHeight="1" outlineLevel="3" spans="1:10">
      <c r="A290" s="178"/>
      <c r="B290" s="185" t="s">
        <v>44</v>
      </c>
      <c r="C290" s="185" t="s">
        <v>67</v>
      </c>
      <c r="D290" s="178" t="s">
        <v>46</v>
      </c>
      <c r="E290" s="178">
        <v>8.61</v>
      </c>
      <c r="F290" s="187">
        <v>600</v>
      </c>
      <c r="G290" s="187">
        <v>160</v>
      </c>
      <c r="H290" s="188">
        <f t="shared" si="12"/>
        <v>5166</v>
      </c>
      <c r="I290" s="207"/>
      <c r="J290" s="207"/>
    </row>
    <row r="291" s="166" customFormat="1" ht="47.1" customHeight="1" outlineLevel="3" spans="1:10">
      <c r="A291" s="178"/>
      <c r="B291" s="185" t="s">
        <v>47</v>
      </c>
      <c r="C291" s="185" t="s">
        <v>224</v>
      </c>
      <c r="D291" s="178" t="s">
        <v>46</v>
      </c>
      <c r="E291" s="178">
        <v>9.24</v>
      </c>
      <c r="F291" s="187">
        <v>1000</v>
      </c>
      <c r="G291" s="187">
        <v>520</v>
      </c>
      <c r="H291" s="188">
        <f t="shared" si="12"/>
        <v>9240</v>
      </c>
      <c r="I291" s="207"/>
      <c r="J291" s="207"/>
    </row>
    <row r="292" s="166" customFormat="1" ht="51" customHeight="1" outlineLevel="3" spans="1:10">
      <c r="A292" s="178"/>
      <c r="B292" s="185" t="s">
        <v>321</v>
      </c>
      <c r="C292" s="185" t="s">
        <v>322</v>
      </c>
      <c r="D292" s="178" t="s">
        <v>46</v>
      </c>
      <c r="E292" s="178">
        <f>11.85+0.66</f>
        <v>12.51</v>
      </c>
      <c r="F292" s="187">
        <v>1500</v>
      </c>
      <c r="G292" s="187">
        <v>550</v>
      </c>
      <c r="H292" s="188">
        <f t="shared" si="12"/>
        <v>18765</v>
      </c>
      <c r="I292" s="207"/>
      <c r="J292" s="207"/>
    </row>
    <row r="293" s="166" customFormat="1" ht="54" customHeight="1" outlineLevel="3" spans="1:10">
      <c r="A293" s="178"/>
      <c r="B293" s="185" t="s">
        <v>323</v>
      </c>
      <c r="C293" s="185" t="s">
        <v>322</v>
      </c>
      <c r="D293" s="178" t="s">
        <v>46</v>
      </c>
      <c r="E293" s="178">
        <f>11.25+0.2</f>
        <v>11.45</v>
      </c>
      <c r="F293" s="187">
        <v>1500</v>
      </c>
      <c r="G293" s="187">
        <v>550</v>
      </c>
      <c r="H293" s="188">
        <f t="shared" si="12"/>
        <v>17175</v>
      </c>
      <c r="I293" s="207"/>
      <c r="J293" s="207"/>
    </row>
    <row r="294" s="166" customFormat="1" ht="45" customHeight="1" outlineLevel="3" spans="1:10">
      <c r="A294" s="178"/>
      <c r="B294" s="185" t="s">
        <v>324</v>
      </c>
      <c r="C294" s="185" t="s">
        <v>325</v>
      </c>
      <c r="D294" s="178" t="s">
        <v>46</v>
      </c>
      <c r="E294" s="178">
        <v>3.02</v>
      </c>
      <c r="F294" s="187">
        <v>1129.84</v>
      </c>
      <c r="G294" s="187">
        <v>550</v>
      </c>
      <c r="H294" s="188">
        <f t="shared" si="12"/>
        <v>3412.1168</v>
      </c>
      <c r="I294" s="207"/>
      <c r="J294" s="207"/>
    </row>
    <row r="295" s="166" customFormat="1" ht="53.1" customHeight="1" outlineLevel="3" spans="1:10">
      <c r="A295" s="178"/>
      <c r="B295" s="185" t="s">
        <v>326</v>
      </c>
      <c r="C295" s="185" t="s">
        <v>327</v>
      </c>
      <c r="D295" s="178" t="s">
        <v>46</v>
      </c>
      <c r="E295" s="178">
        <f>0.18+0.27</f>
        <v>0.45</v>
      </c>
      <c r="F295" s="187">
        <v>1129.84</v>
      </c>
      <c r="G295" s="187">
        <v>550</v>
      </c>
      <c r="H295" s="188">
        <f t="shared" si="12"/>
        <v>508.428</v>
      </c>
      <c r="I295" s="207"/>
      <c r="J295" s="207"/>
    </row>
    <row r="296" s="166" customFormat="1" ht="48" customHeight="1" outlineLevel="3" spans="1:10">
      <c r="A296" s="178"/>
      <c r="B296" s="185" t="s">
        <v>328</v>
      </c>
      <c r="C296" s="185" t="s">
        <v>329</v>
      </c>
      <c r="D296" s="178" t="s">
        <v>46</v>
      </c>
      <c r="E296" s="186">
        <f>23.98*0.1</f>
        <v>2.398</v>
      </c>
      <c r="F296" s="187">
        <v>801.18</v>
      </c>
      <c r="G296" s="189">
        <v>535</v>
      </c>
      <c r="H296" s="188">
        <f t="shared" si="12"/>
        <v>1921.22964</v>
      </c>
      <c r="I296" s="207"/>
      <c r="J296" s="207"/>
    </row>
    <row r="297" s="166" customFormat="1" ht="36" customHeight="1" outlineLevel="3" spans="1:10">
      <c r="A297" s="178"/>
      <c r="B297" s="185" t="s">
        <v>137</v>
      </c>
      <c r="C297" s="185" t="s">
        <v>138</v>
      </c>
      <c r="D297" s="178" t="s">
        <v>72</v>
      </c>
      <c r="E297" s="193">
        <v>0.035</v>
      </c>
      <c r="F297" s="187">
        <v>9000</v>
      </c>
      <c r="G297" s="189">
        <v>4600</v>
      </c>
      <c r="H297" s="188">
        <f t="shared" si="12"/>
        <v>315</v>
      </c>
      <c r="I297" s="207"/>
      <c r="J297" s="207"/>
    </row>
    <row r="298" s="166" customFormat="1" ht="33.95" customHeight="1" outlineLevel="3" spans="1:10">
      <c r="A298" s="178"/>
      <c r="B298" s="185" t="s">
        <v>137</v>
      </c>
      <c r="C298" s="185" t="s">
        <v>330</v>
      </c>
      <c r="D298" s="178" t="s">
        <v>72</v>
      </c>
      <c r="E298" s="193">
        <f>3.262+0.617*10*23.98/1000</f>
        <v>3.4099566</v>
      </c>
      <c r="F298" s="187">
        <v>9000</v>
      </c>
      <c r="G298" s="189">
        <v>4600</v>
      </c>
      <c r="H298" s="188">
        <f t="shared" si="12"/>
        <v>30689.6094</v>
      </c>
      <c r="I298" s="207"/>
      <c r="J298" s="207"/>
    </row>
    <row r="299" s="166" customFormat="1" ht="48" customHeight="1" outlineLevel="3" spans="1:10">
      <c r="A299" s="178"/>
      <c r="B299" s="185" t="s">
        <v>95</v>
      </c>
      <c r="C299" s="185" t="s">
        <v>132</v>
      </c>
      <c r="D299" s="178" t="s">
        <v>46</v>
      </c>
      <c r="E299" s="186">
        <f>3.39+0.67*0.3*1.3*3</f>
        <v>4.1739</v>
      </c>
      <c r="F299" s="187">
        <v>635.73</v>
      </c>
      <c r="G299" s="189">
        <v>480</v>
      </c>
      <c r="H299" s="188">
        <f t="shared" si="12"/>
        <v>2653.473447</v>
      </c>
      <c r="I299" s="207"/>
      <c r="J299" s="207"/>
    </row>
    <row r="300" s="166" customFormat="1" ht="42.95" customHeight="1" outlineLevel="3" spans="1:10">
      <c r="A300" s="178"/>
      <c r="B300" s="185" t="s">
        <v>331</v>
      </c>
      <c r="C300" s="185" t="s">
        <v>332</v>
      </c>
      <c r="D300" s="178" t="s">
        <v>46</v>
      </c>
      <c r="E300" s="186">
        <f>0.47*0.12*0.24*87+0.06*0.12*45*3</f>
        <v>2.149632</v>
      </c>
      <c r="F300" s="187">
        <v>650.13</v>
      </c>
      <c r="G300" s="189">
        <v>480</v>
      </c>
      <c r="H300" s="188">
        <f t="shared" si="12"/>
        <v>1397.54025216</v>
      </c>
      <c r="I300" s="207"/>
      <c r="J300" s="207"/>
    </row>
    <row r="301" s="166" customFormat="1" ht="30" customHeight="1" outlineLevel="2" spans="1:10">
      <c r="A301" s="178">
        <v>1.2</v>
      </c>
      <c r="B301" s="185" t="s">
        <v>333</v>
      </c>
      <c r="C301" s="185"/>
      <c r="D301" s="178"/>
      <c r="E301" s="193"/>
      <c r="F301" s="187"/>
      <c r="G301" s="189"/>
      <c r="H301" s="188">
        <f t="shared" si="12"/>
        <v>0</v>
      </c>
      <c r="I301" s="207"/>
      <c r="J301" s="207"/>
    </row>
    <row r="302" s="166" customFormat="1" ht="45" customHeight="1" outlineLevel="3" spans="1:10">
      <c r="A302" s="178"/>
      <c r="B302" s="185" t="s">
        <v>243</v>
      </c>
      <c r="C302" s="185" t="s">
        <v>334</v>
      </c>
      <c r="D302" s="178" t="s">
        <v>39</v>
      </c>
      <c r="E302" s="186">
        <v>64.1</v>
      </c>
      <c r="F302" s="187">
        <v>31.25</v>
      </c>
      <c r="G302" s="189"/>
      <c r="H302" s="188">
        <f t="shared" si="12"/>
        <v>2003.125</v>
      </c>
      <c r="I302" s="207"/>
      <c r="J302" s="207"/>
    </row>
    <row r="303" s="166" customFormat="1" ht="42" customHeight="1" outlineLevel="3" spans="1:10">
      <c r="A303" s="178"/>
      <c r="B303" s="185" t="s">
        <v>335</v>
      </c>
      <c r="C303" s="185" t="s">
        <v>336</v>
      </c>
      <c r="D303" s="178" t="s">
        <v>39</v>
      </c>
      <c r="E303" s="186">
        <f>E302</f>
        <v>64.1</v>
      </c>
      <c r="F303" s="187">
        <v>55.03</v>
      </c>
      <c r="G303" s="189">
        <v>35</v>
      </c>
      <c r="H303" s="188">
        <f t="shared" si="12"/>
        <v>3527.423</v>
      </c>
      <c r="I303" s="207"/>
      <c r="J303" s="207"/>
    </row>
    <row r="304" s="166" customFormat="1" ht="48.95" customHeight="1" outlineLevel="3" spans="1:10">
      <c r="A304" s="178"/>
      <c r="B304" s="185" t="s">
        <v>337</v>
      </c>
      <c r="C304" s="185" t="s">
        <v>338</v>
      </c>
      <c r="D304" s="178" t="s">
        <v>39</v>
      </c>
      <c r="E304" s="186">
        <f>E302</f>
        <v>64.1</v>
      </c>
      <c r="F304" s="187">
        <v>31.25</v>
      </c>
      <c r="G304" s="189"/>
      <c r="H304" s="188">
        <f t="shared" si="12"/>
        <v>2003.125</v>
      </c>
      <c r="I304" s="207"/>
      <c r="J304" s="207"/>
    </row>
    <row r="305" s="166" customFormat="1" ht="54" customHeight="1" outlineLevel="3" spans="1:10">
      <c r="A305" s="178"/>
      <c r="B305" s="185" t="s">
        <v>339</v>
      </c>
      <c r="C305" s="185" t="s">
        <v>340</v>
      </c>
      <c r="D305" s="178" t="s">
        <v>39</v>
      </c>
      <c r="E305" s="186">
        <f>E302</f>
        <v>64.1</v>
      </c>
      <c r="F305" s="187">
        <v>61.28</v>
      </c>
      <c r="G305" s="189">
        <v>585</v>
      </c>
      <c r="H305" s="188">
        <f t="shared" si="12"/>
        <v>3928.048</v>
      </c>
      <c r="I305" s="207"/>
      <c r="J305" s="207"/>
    </row>
    <row r="306" s="166" customFormat="1" ht="45" customHeight="1" outlineLevel="3" spans="1:10">
      <c r="A306" s="178"/>
      <c r="B306" s="185" t="s">
        <v>268</v>
      </c>
      <c r="C306" s="185" t="s">
        <v>341</v>
      </c>
      <c r="D306" s="178" t="s">
        <v>39</v>
      </c>
      <c r="E306" s="186">
        <f>95.21+2.98+0.3*3+49.7*0.15</f>
        <v>106.545</v>
      </c>
      <c r="F306" s="187">
        <v>59.87</v>
      </c>
      <c r="G306" s="189"/>
      <c r="H306" s="188">
        <f t="shared" si="12"/>
        <v>6378.84915</v>
      </c>
      <c r="I306" s="207"/>
      <c r="J306" s="207"/>
    </row>
    <row r="307" s="166" customFormat="1" ht="36.95" customHeight="1" outlineLevel="3" spans="1:10">
      <c r="A307" s="178"/>
      <c r="B307" s="185" t="s">
        <v>342</v>
      </c>
      <c r="C307" s="185" t="s">
        <v>343</v>
      </c>
      <c r="D307" s="178" t="s">
        <v>39</v>
      </c>
      <c r="E307" s="186">
        <f>E306</f>
        <v>106.545</v>
      </c>
      <c r="F307" s="187">
        <v>68.41</v>
      </c>
      <c r="G307" s="189">
        <v>35</v>
      </c>
      <c r="H307" s="188">
        <f t="shared" si="12"/>
        <v>7288.74345</v>
      </c>
      <c r="I307" s="207"/>
      <c r="J307" s="207"/>
    </row>
    <row r="308" s="166" customFormat="1" ht="42.95" customHeight="1" outlineLevel="3" spans="1:10">
      <c r="A308" s="178"/>
      <c r="B308" s="185" t="s">
        <v>344</v>
      </c>
      <c r="C308" s="185" t="s">
        <v>341</v>
      </c>
      <c r="D308" s="178" t="s">
        <v>39</v>
      </c>
      <c r="E308" s="186">
        <f>E306</f>
        <v>106.545</v>
      </c>
      <c r="F308" s="187">
        <v>59.87</v>
      </c>
      <c r="G308" s="189"/>
      <c r="H308" s="188">
        <f t="shared" si="12"/>
        <v>6378.84915</v>
      </c>
      <c r="I308" s="207"/>
      <c r="J308" s="207"/>
    </row>
    <row r="309" s="166" customFormat="1" ht="42.95" customHeight="1" outlineLevel="3" spans="1:10">
      <c r="A309" s="178"/>
      <c r="B309" s="185" t="s">
        <v>345</v>
      </c>
      <c r="C309" s="185" t="s">
        <v>346</v>
      </c>
      <c r="D309" s="178" t="s">
        <v>81</v>
      </c>
      <c r="E309" s="186">
        <v>51.1</v>
      </c>
      <c r="F309" s="187">
        <v>89.4</v>
      </c>
      <c r="G309" s="189">
        <v>55</v>
      </c>
      <c r="H309" s="188">
        <f t="shared" si="12"/>
        <v>4568.34</v>
      </c>
      <c r="I309" s="207"/>
      <c r="J309" s="207"/>
    </row>
    <row r="310" s="166" customFormat="1" ht="42.95" customHeight="1" outlineLevel="3" spans="1:10">
      <c r="A310" s="178"/>
      <c r="B310" s="185" t="s">
        <v>347</v>
      </c>
      <c r="C310" s="185" t="s">
        <v>348</v>
      </c>
      <c r="D310" s="178" t="s">
        <v>39</v>
      </c>
      <c r="E310" s="186">
        <v>23.98</v>
      </c>
      <c r="F310" s="187">
        <v>267.89</v>
      </c>
      <c r="G310" s="189">
        <v>185</v>
      </c>
      <c r="H310" s="188">
        <f t="shared" si="12"/>
        <v>6424.0022</v>
      </c>
      <c r="I310" s="179"/>
      <c r="J310" s="207"/>
    </row>
    <row r="311" s="166" customFormat="1" ht="56.1" customHeight="1" outlineLevel="3" spans="1:10">
      <c r="A311" s="178"/>
      <c r="B311" s="185" t="s">
        <v>347</v>
      </c>
      <c r="C311" s="185" t="s">
        <v>349</v>
      </c>
      <c r="D311" s="178" t="s">
        <v>39</v>
      </c>
      <c r="E311" s="186">
        <f>55.1*0.1</f>
        <v>5.51</v>
      </c>
      <c r="F311" s="187">
        <f>F310</f>
        <v>267.89</v>
      </c>
      <c r="G311" s="189">
        <f>G310</f>
        <v>185</v>
      </c>
      <c r="H311" s="188">
        <f t="shared" si="12"/>
        <v>1476.0739</v>
      </c>
      <c r="I311" s="179"/>
      <c r="J311" s="207"/>
    </row>
    <row r="312" s="166" customFormat="1" ht="42.95" customHeight="1" outlineLevel="3" spans="1:10">
      <c r="A312" s="178"/>
      <c r="B312" s="185" t="s">
        <v>350</v>
      </c>
      <c r="C312" s="185" t="s">
        <v>351</v>
      </c>
      <c r="D312" s="178" t="s">
        <v>81</v>
      </c>
      <c r="E312" s="186">
        <v>51.1</v>
      </c>
      <c r="F312" s="187">
        <v>200</v>
      </c>
      <c r="G312" s="189">
        <v>95</v>
      </c>
      <c r="H312" s="188">
        <f t="shared" si="12"/>
        <v>10220</v>
      </c>
      <c r="I312" s="207"/>
      <c r="J312" s="207"/>
    </row>
    <row r="313" s="166" customFormat="1" ht="48" customHeight="1" outlineLevel="3" spans="1:10">
      <c r="A313" s="178"/>
      <c r="B313" s="185" t="s">
        <v>347</v>
      </c>
      <c r="C313" s="185" t="s">
        <v>352</v>
      </c>
      <c r="D313" s="178" t="s">
        <v>39</v>
      </c>
      <c r="E313" s="186">
        <f>51.1*0.15</f>
        <v>7.665</v>
      </c>
      <c r="F313" s="187">
        <v>267.89</v>
      </c>
      <c r="G313" s="189">
        <v>185</v>
      </c>
      <c r="H313" s="188">
        <f t="shared" si="12"/>
        <v>2053.37685</v>
      </c>
      <c r="I313" s="179"/>
      <c r="J313" s="207"/>
    </row>
    <row r="314" s="166" customFormat="1" ht="62.1" customHeight="1" outlineLevel="3" spans="1:10">
      <c r="A314" s="178"/>
      <c r="B314" s="185" t="s">
        <v>353</v>
      </c>
      <c r="C314" s="185" t="s">
        <v>354</v>
      </c>
      <c r="D314" s="178" t="s">
        <v>39</v>
      </c>
      <c r="E314" s="186">
        <v>2.96</v>
      </c>
      <c r="F314" s="187">
        <v>840.06</v>
      </c>
      <c r="G314" s="189">
        <v>710</v>
      </c>
      <c r="H314" s="188">
        <f t="shared" si="12"/>
        <v>2486.5776</v>
      </c>
      <c r="I314" s="179"/>
      <c r="J314" s="207"/>
    </row>
    <row r="315" s="166" customFormat="1" ht="60.95" customHeight="1" outlineLevel="3" spans="1:10">
      <c r="A315" s="178"/>
      <c r="B315" s="185" t="s">
        <v>355</v>
      </c>
      <c r="C315" s="185" t="s">
        <v>356</v>
      </c>
      <c r="D315" s="178" t="s">
        <v>39</v>
      </c>
      <c r="E315" s="186">
        <f>41.69-E314</f>
        <v>38.73</v>
      </c>
      <c r="F315" s="187">
        <f>F314</f>
        <v>840.06</v>
      </c>
      <c r="G315" s="189">
        <f>G314</f>
        <v>710</v>
      </c>
      <c r="H315" s="188">
        <f t="shared" si="12"/>
        <v>32535.5238</v>
      </c>
      <c r="I315" s="179"/>
      <c r="J315" s="207"/>
    </row>
    <row r="316" s="166" customFormat="1" ht="35.1" customHeight="1" outlineLevel="2" collapsed="1" spans="1:10">
      <c r="A316" s="178">
        <v>1.3</v>
      </c>
      <c r="B316" s="185" t="s">
        <v>357</v>
      </c>
      <c r="C316" s="185"/>
      <c r="D316" s="178"/>
      <c r="E316" s="186"/>
      <c r="F316" s="187"/>
      <c r="G316" s="179"/>
      <c r="H316" s="188">
        <f t="shared" si="12"/>
        <v>0</v>
      </c>
      <c r="I316" s="207"/>
      <c r="J316" s="207"/>
    </row>
    <row r="317" s="166" customFormat="1" ht="68.1" customHeight="1" outlineLevel="2" spans="1:10">
      <c r="A317" s="178"/>
      <c r="B317" s="185" t="s">
        <v>221</v>
      </c>
      <c r="C317" s="185" t="s">
        <v>187</v>
      </c>
      <c r="D317" s="178" t="s">
        <v>46</v>
      </c>
      <c r="E317" s="186">
        <f>E319+E320</f>
        <v>45.2574</v>
      </c>
      <c r="F317" s="187">
        <v>30</v>
      </c>
      <c r="G317" s="179"/>
      <c r="H317" s="188">
        <f t="shared" si="12"/>
        <v>1357.722</v>
      </c>
      <c r="I317" s="207"/>
      <c r="J317" s="207"/>
    </row>
    <row r="318" s="166" customFormat="1" ht="35.1" customHeight="1" outlineLevel="2" spans="1:10">
      <c r="A318" s="178"/>
      <c r="B318" s="185" t="s">
        <v>41</v>
      </c>
      <c r="C318" s="185" t="s">
        <v>222</v>
      </c>
      <c r="D318" s="178" t="s">
        <v>39</v>
      </c>
      <c r="E318" s="178">
        <v>251.43</v>
      </c>
      <c r="F318" s="187">
        <v>6</v>
      </c>
      <c r="G318" s="179"/>
      <c r="H318" s="188">
        <f t="shared" si="12"/>
        <v>1508.58</v>
      </c>
      <c r="I318" s="207"/>
      <c r="J318" s="207"/>
    </row>
    <row r="319" s="166" customFormat="1" ht="35.1" customHeight="1" outlineLevel="2" spans="1:10">
      <c r="A319" s="178"/>
      <c r="B319" s="185" t="s">
        <v>44</v>
      </c>
      <c r="C319" s="185" t="s">
        <v>45</v>
      </c>
      <c r="D319" s="178" t="s">
        <v>46</v>
      </c>
      <c r="E319" s="186">
        <f>E320/0.1*0.08</f>
        <v>20.1144</v>
      </c>
      <c r="F319" s="187">
        <v>600</v>
      </c>
      <c r="G319" s="187">
        <v>160</v>
      </c>
      <c r="H319" s="188">
        <f t="shared" si="12"/>
        <v>12068.64</v>
      </c>
      <c r="I319" s="207"/>
      <c r="J319" s="207"/>
    </row>
    <row r="320" s="166" customFormat="1" ht="51" customHeight="1" outlineLevel="2" spans="1:10">
      <c r="A320" s="178"/>
      <c r="B320" s="185" t="s">
        <v>47</v>
      </c>
      <c r="C320" s="185" t="s">
        <v>358</v>
      </c>
      <c r="D320" s="178" t="s">
        <v>46</v>
      </c>
      <c r="E320" s="186">
        <f>251.43*0.1</f>
        <v>25.143</v>
      </c>
      <c r="F320" s="187">
        <v>1000</v>
      </c>
      <c r="G320" s="179">
        <v>520</v>
      </c>
      <c r="H320" s="188">
        <f t="shared" si="12"/>
        <v>25143</v>
      </c>
      <c r="I320" s="207"/>
      <c r="J320" s="207"/>
    </row>
    <row r="321" s="166" customFormat="1" ht="35.1" customHeight="1" outlineLevel="2" spans="1:10">
      <c r="A321" s="178"/>
      <c r="B321" s="185" t="s">
        <v>359</v>
      </c>
      <c r="C321" s="185" t="s">
        <v>360</v>
      </c>
      <c r="D321" s="178" t="s">
        <v>39</v>
      </c>
      <c r="E321" s="186">
        <v>8.75</v>
      </c>
      <c r="F321" s="187">
        <v>368</v>
      </c>
      <c r="G321" s="179">
        <v>240</v>
      </c>
      <c r="H321" s="188">
        <f t="shared" si="12"/>
        <v>3220</v>
      </c>
      <c r="I321" s="207"/>
      <c r="J321" s="207"/>
    </row>
    <row r="322" s="166" customFormat="1" ht="35.1" customHeight="1" outlineLevel="2" spans="1:10">
      <c r="A322" s="178"/>
      <c r="B322" s="185" t="s">
        <v>361</v>
      </c>
      <c r="C322" s="185" t="s">
        <v>362</v>
      </c>
      <c r="D322" s="178" t="s">
        <v>39</v>
      </c>
      <c r="E322" s="186">
        <f>38.41+38.43</f>
        <v>76.84</v>
      </c>
      <c r="F322" s="187">
        <v>253</v>
      </c>
      <c r="G322" s="179">
        <v>125</v>
      </c>
      <c r="H322" s="188">
        <f t="shared" si="12"/>
        <v>19440.52</v>
      </c>
      <c r="I322" s="179"/>
      <c r="J322" s="207"/>
    </row>
    <row r="323" s="167" customFormat="1" ht="50.1" customHeight="1" outlineLevel="2" spans="1:10">
      <c r="A323" s="208"/>
      <c r="B323" s="209" t="s">
        <v>37</v>
      </c>
      <c r="C323" s="185" t="s">
        <v>363</v>
      </c>
      <c r="D323" s="210" t="s">
        <v>39</v>
      </c>
      <c r="E323" s="211">
        <v>20.7</v>
      </c>
      <c r="F323" s="212">
        <v>210</v>
      </c>
      <c r="G323" s="212">
        <v>85</v>
      </c>
      <c r="H323" s="188">
        <f t="shared" si="12"/>
        <v>4347</v>
      </c>
      <c r="I323" s="212"/>
      <c r="J323" s="212"/>
    </row>
    <row r="324" s="167" customFormat="1" ht="42" customHeight="1" outlineLevel="2" spans="1:10">
      <c r="A324" s="208"/>
      <c r="B324" s="209" t="s">
        <v>37</v>
      </c>
      <c r="C324" s="185" t="s">
        <v>364</v>
      </c>
      <c r="D324" s="210" t="s">
        <v>39</v>
      </c>
      <c r="E324" s="211">
        <v>38.94</v>
      </c>
      <c r="F324" s="212">
        <f>F323</f>
        <v>210</v>
      </c>
      <c r="G324" s="212">
        <f>G323</f>
        <v>85</v>
      </c>
      <c r="H324" s="188">
        <f t="shared" si="12"/>
        <v>8177.4</v>
      </c>
      <c r="I324" s="212"/>
      <c r="J324" s="212"/>
    </row>
    <row r="325" s="167" customFormat="1" ht="42" customHeight="1" outlineLevel="2" spans="1:10">
      <c r="A325" s="208"/>
      <c r="B325" s="209" t="s">
        <v>37</v>
      </c>
      <c r="C325" s="185" t="s">
        <v>365</v>
      </c>
      <c r="D325" s="210" t="s">
        <v>39</v>
      </c>
      <c r="E325" s="211">
        <v>106.2</v>
      </c>
      <c r="F325" s="212">
        <f>F324</f>
        <v>210</v>
      </c>
      <c r="G325" s="212">
        <f>G324</f>
        <v>85</v>
      </c>
      <c r="H325" s="188">
        <f t="shared" si="12"/>
        <v>22302</v>
      </c>
      <c r="I325" s="212"/>
      <c r="J325" s="212"/>
    </row>
    <row r="326" s="167" customFormat="1" ht="36" customHeight="1" outlineLevel="1" collapsed="1" spans="1:10">
      <c r="A326" s="178">
        <v>2</v>
      </c>
      <c r="B326" s="185" t="s">
        <v>366</v>
      </c>
      <c r="C326" s="209"/>
      <c r="D326" s="210"/>
      <c r="E326" s="211"/>
      <c r="F326" s="212"/>
      <c r="G326" s="212"/>
      <c r="H326" s="188">
        <f t="shared" si="12"/>
        <v>0</v>
      </c>
      <c r="I326" s="212"/>
      <c r="J326" s="212"/>
    </row>
    <row r="327" s="167" customFormat="1" ht="36" customHeight="1" outlineLevel="1" spans="1:10">
      <c r="A327" s="178">
        <v>2.1</v>
      </c>
      <c r="B327" s="209" t="s">
        <v>367</v>
      </c>
      <c r="C327" s="209"/>
      <c r="D327" s="210"/>
      <c r="E327" s="211"/>
      <c r="F327" s="212"/>
      <c r="G327" s="212"/>
      <c r="H327" s="188">
        <f t="shared" si="12"/>
        <v>0</v>
      </c>
      <c r="I327" s="212"/>
      <c r="J327" s="212"/>
    </row>
    <row r="328" s="166" customFormat="1" ht="57.95" customHeight="1" outlineLevel="2" spans="1:11">
      <c r="A328" s="178"/>
      <c r="B328" s="185" t="s">
        <v>368</v>
      </c>
      <c r="C328" s="185" t="s">
        <v>187</v>
      </c>
      <c r="D328" s="178" t="s">
        <v>46</v>
      </c>
      <c r="E328" s="178">
        <f>2*6.8</f>
        <v>13.6</v>
      </c>
      <c r="F328" s="187">
        <f>F317</f>
        <v>30</v>
      </c>
      <c r="G328" s="189"/>
      <c r="H328" s="188">
        <f t="shared" si="12"/>
        <v>408</v>
      </c>
      <c r="I328" s="207"/>
      <c r="J328" s="207"/>
      <c r="K328" s="219"/>
    </row>
    <row r="329" s="166" customFormat="1" ht="36" customHeight="1" outlineLevel="2" spans="1:11">
      <c r="A329" s="178"/>
      <c r="B329" s="185" t="s">
        <v>41</v>
      </c>
      <c r="C329" s="185" t="s">
        <v>222</v>
      </c>
      <c r="D329" s="178" t="s">
        <v>39</v>
      </c>
      <c r="E329" s="178">
        <f>2*5.91</f>
        <v>11.82</v>
      </c>
      <c r="F329" s="187">
        <v>6</v>
      </c>
      <c r="G329" s="189"/>
      <c r="H329" s="188">
        <f t="shared" si="12"/>
        <v>70.92</v>
      </c>
      <c r="I329" s="207"/>
      <c r="J329" s="207"/>
      <c r="K329" s="219"/>
    </row>
    <row r="330" s="166" customFormat="1" ht="57" customHeight="1" outlineLevel="2" spans="1:11">
      <c r="A330" s="178"/>
      <c r="B330" s="185" t="s">
        <v>188</v>
      </c>
      <c r="C330" s="185" t="s">
        <v>189</v>
      </c>
      <c r="D330" s="178" t="s">
        <v>46</v>
      </c>
      <c r="E330" s="186">
        <f>2*4.6</f>
        <v>9.2</v>
      </c>
      <c r="F330" s="187">
        <v>10</v>
      </c>
      <c r="G330" s="189"/>
      <c r="H330" s="188">
        <f t="shared" si="12"/>
        <v>92</v>
      </c>
      <c r="I330" s="207"/>
      <c r="J330" s="207"/>
      <c r="K330" s="219"/>
    </row>
    <row r="331" s="166" customFormat="1" ht="56.1" customHeight="1" outlineLevel="2" spans="1:11">
      <c r="A331" s="178"/>
      <c r="B331" s="185" t="s">
        <v>47</v>
      </c>
      <c r="C331" s="185" t="s">
        <v>224</v>
      </c>
      <c r="D331" s="178" t="s">
        <v>46</v>
      </c>
      <c r="E331" s="178">
        <f>2*0.41</f>
        <v>0.82</v>
      </c>
      <c r="F331" s="187">
        <v>1000</v>
      </c>
      <c r="G331" s="187">
        <f>G320</f>
        <v>520</v>
      </c>
      <c r="H331" s="188">
        <f t="shared" ref="H331:H394" si="13">E331*F331</f>
        <v>820</v>
      </c>
      <c r="I331" s="207"/>
      <c r="J331" s="207"/>
      <c r="K331" s="219"/>
    </row>
    <row r="332" s="166" customFormat="1" ht="51.95" customHeight="1" outlineLevel="2" spans="1:11">
      <c r="A332" s="178"/>
      <c r="B332" s="185" t="s">
        <v>95</v>
      </c>
      <c r="C332" s="185" t="s">
        <v>369</v>
      </c>
      <c r="D332" s="178" t="s">
        <v>46</v>
      </c>
      <c r="E332" s="186">
        <f>2*1.3</f>
        <v>2.6</v>
      </c>
      <c r="F332" s="187">
        <v>635.73</v>
      </c>
      <c r="G332" s="189">
        <v>480</v>
      </c>
      <c r="H332" s="188">
        <f t="shared" si="13"/>
        <v>1652.898</v>
      </c>
      <c r="I332" s="207"/>
      <c r="J332" s="207"/>
      <c r="K332" s="219"/>
    </row>
    <row r="333" s="166" customFormat="1" ht="30" customHeight="1" outlineLevel="2" spans="1:11">
      <c r="A333" s="178"/>
      <c r="B333" s="185" t="s">
        <v>370</v>
      </c>
      <c r="C333" s="185" t="s">
        <v>115</v>
      </c>
      <c r="D333" s="178" t="s">
        <v>39</v>
      </c>
      <c r="E333" s="186">
        <f>5.97*0.24*2</f>
        <v>2.8656</v>
      </c>
      <c r="F333" s="187">
        <v>62.87</v>
      </c>
      <c r="G333" s="189"/>
      <c r="H333" s="188">
        <f t="shared" si="13"/>
        <v>180.160272</v>
      </c>
      <c r="I333" s="207"/>
      <c r="J333" s="207"/>
      <c r="K333" s="219"/>
    </row>
    <row r="334" s="166" customFormat="1" ht="54.95" customHeight="1" outlineLevel="2" spans="1:11">
      <c r="A334" s="178"/>
      <c r="B334" s="185" t="s">
        <v>297</v>
      </c>
      <c r="C334" s="185" t="s">
        <v>200</v>
      </c>
      <c r="D334" s="178" t="s">
        <v>46</v>
      </c>
      <c r="E334" s="178">
        <f>2*0.34</f>
        <v>0.68</v>
      </c>
      <c r="F334" s="187">
        <v>1300.08</v>
      </c>
      <c r="G334" s="187">
        <v>550</v>
      </c>
      <c r="H334" s="188">
        <f t="shared" si="13"/>
        <v>884.0544</v>
      </c>
      <c r="I334" s="207"/>
      <c r="J334" s="207"/>
      <c r="K334" s="219"/>
    </row>
    <row r="335" s="166" customFormat="1" ht="54" customHeight="1" outlineLevel="2" spans="1:11">
      <c r="A335" s="178"/>
      <c r="B335" s="185" t="s">
        <v>201</v>
      </c>
      <c r="C335" s="185" t="s">
        <v>202</v>
      </c>
      <c r="D335" s="178" t="s">
        <v>46</v>
      </c>
      <c r="E335" s="178">
        <f>2*0.68</f>
        <v>1.36</v>
      </c>
      <c r="F335" s="187">
        <v>1285.08</v>
      </c>
      <c r="G335" s="187">
        <v>535</v>
      </c>
      <c r="H335" s="188">
        <f t="shared" si="13"/>
        <v>1747.7088</v>
      </c>
      <c r="I335" s="207"/>
      <c r="J335" s="207"/>
      <c r="K335" s="219"/>
    </row>
    <row r="336" s="166" customFormat="1" ht="56.1" customHeight="1" outlineLevel="2" spans="1:11">
      <c r="A336" s="178"/>
      <c r="B336" s="185" t="s">
        <v>199</v>
      </c>
      <c r="C336" s="185" t="s">
        <v>200</v>
      </c>
      <c r="D336" s="178" t="s">
        <v>46</v>
      </c>
      <c r="E336" s="178">
        <f>2*0.47</f>
        <v>0.94</v>
      </c>
      <c r="F336" s="187">
        <v>1455.74</v>
      </c>
      <c r="G336" s="187">
        <v>550</v>
      </c>
      <c r="H336" s="188">
        <f t="shared" si="13"/>
        <v>1368.3956</v>
      </c>
      <c r="I336" s="207"/>
      <c r="J336" s="207"/>
      <c r="K336" s="219"/>
    </row>
    <row r="337" s="166" customFormat="1" ht="60" customHeight="1" outlineLevel="2" spans="1:11">
      <c r="A337" s="178"/>
      <c r="B337" s="185" t="s">
        <v>371</v>
      </c>
      <c r="C337" s="185" t="s">
        <v>372</v>
      </c>
      <c r="D337" s="178" t="s">
        <v>46</v>
      </c>
      <c r="E337" s="186">
        <f>2*1.69</f>
        <v>3.38</v>
      </c>
      <c r="F337" s="187">
        <v>650.13</v>
      </c>
      <c r="G337" s="189">
        <v>480</v>
      </c>
      <c r="H337" s="188">
        <f t="shared" si="13"/>
        <v>2197.4394</v>
      </c>
      <c r="I337" s="207"/>
      <c r="J337" s="207"/>
      <c r="K337" s="219"/>
    </row>
    <row r="338" s="166" customFormat="1" ht="42" customHeight="1" outlineLevel="2" spans="1:11">
      <c r="A338" s="178"/>
      <c r="B338" s="185" t="s">
        <v>137</v>
      </c>
      <c r="C338" s="185" t="s">
        <v>138</v>
      </c>
      <c r="D338" s="178" t="s">
        <v>72</v>
      </c>
      <c r="E338" s="193">
        <f>2*0.028</f>
        <v>0.056</v>
      </c>
      <c r="F338" s="187">
        <v>9000</v>
      </c>
      <c r="G338" s="189">
        <v>4600</v>
      </c>
      <c r="H338" s="188">
        <f t="shared" si="13"/>
        <v>504</v>
      </c>
      <c r="I338" s="191"/>
      <c r="J338" s="191"/>
      <c r="K338" s="219"/>
    </row>
    <row r="339" s="166" customFormat="1" ht="36" customHeight="1" outlineLevel="2" spans="1:11">
      <c r="A339" s="178"/>
      <c r="B339" s="185" t="s">
        <v>137</v>
      </c>
      <c r="C339" s="185" t="s">
        <v>330</v>
      </c>
      <c r="D339" s="178" t="s">
        <v>72</v>
      </c>
      <c r="E339" s="193">
        <f>2*0.032</f>
        <v>0.064</v>
      </c>
      <c r="F339" s="187">
        <f>F338</f>
        <v>9000</v>
      </c>
      <c r="G339" s="189">
        <v>4600</v>
      </c>
      <c r="H339" s="188">
        <f t="shared" si="13"/>
        <v>576</v>
      </c>
      <c r="I339" s="191"/>
      <c r="J339" s="191"/>
      <c r="K339" s="219"/>
    </row>
    <row r="340" s="166" customFormat="1" ht="39.95" customHeight="1" outlineLevel="2" spans="1:11">
      <c r="A340" s="178"/>
      <c r="B340" s="185" t="s">
        <v>137</v>
      </c>
      <c r="C340" s="185" t="s">
        <v>373</v>
      </c>
      <c r="D340" s="178" t="s">
        <v>72</v>
      </c>
      <c r="E340" s="193">
        <f>2*0.046</f>
        <v>0.092</v>
      </c>
      <c r="F340" s="187">
        <f>F339</f>
        <v>9000</v>
      </c>
      <c r="G340" s="189">
        <v>4600</v>
      </c>
      <c r="H340" s="188">
        <f t="shared" si="13"/>
        <v>828</v>
      </c>
      <c r="I340" s="191"/>
      <c r="J340" s="191"/>
      <c r="K340" s="219"/>
    </row>
    <row r="341" s="167" customFormat="1" ht="20.1" customHeight="1" outlineLevel="1" collapsed="1" spans="1:10">
      <c r="A341" s="178">
        <v>2.2</v>
      </c>
      <c r="B341" s="209" t="s">
        <v>374</v>
      </c>
      <c r="C341" s="209"/>
      <c r="D341" s="210"/>
      <c r="E341" s="211"/>
      <c r="F341" s="212"/>
      <c r="G341" s="212"/>
      <c r="H341" s="188">
        <f t="shared" si="13"/>
        <v>0</v>
      </c>
      <c r="I341" s="212"/>
      <c r="J341" s="212"/>
    </row>
    <row r="342" s="167" customFormat="1" ht="56.1" customHeight="1" outlineLevel="1" spans="1:10">
      <c r="A342" s="208"/>
      <c r="B342" s="209" t="s">
        <v>375</v>
      </c>
      <c r="C342" s="213" t="s">
        <v>376</v>
      </c>
      <c r="D342" s="210" t="s">
        <v>39</v>
      </c>
      <c r="E342" s="214">
        <f>((5.97*1.785-0.59*1.235)*2+(1.785*2+5.97+0.59*2)*0.24)*2</f>
        <v>44.8568</v>
      </c>
      <c r="F342" s="212">
        <v>59.87</v>
      </c>
      <c r="G342" s="212"/>
      <c r="H342" s="188">
        <f t="shared" si="13"/>
        <v>2685.576616</v>
      </c>
      <c r="I342" s="212"/>
      <c r="J342" s="212"/>
    </row>
    <row r="343" s="167" customFormat="1" ht="48" customHeight="1" outlineLevel="1" spans="1:10">
      <c r="A343" s="208"/>
      <c r="B343" s="209" t="s">
        <v>377</v>
      </c>
      <c r="C343" s="213" t="s">
        <v>378</v>
      </c>
      <c r="D343" s="210" t="s">
        <v>39</v>
      </c>
      <c r="E343" s="214">
        <f>(5.97*1.785-0.59*1.235)*2*2</f>
        <v>39.7112</v>
      </c>
      <c r="F343" s="212">
        <v>207.36</v>
      </c>
      <c r="G343" s="212">
        <v>85</v>
      </c>
      <c r="H343" s="188">
        <f t="shared" si="13"/>
        <v>8234.514432</v>
      </c>
      <c r="I343" s="212"/>
      <c r="J343" s="212"/>
    </row>
    <row r="344" s="167" customFormat="1" ht="48" customHeight="1" outlineLevel="1" spans="1:10">
      <c r="A344" s="208"/>
      <c r="B344" s="209" t="s">
        <v>379</v>
      </c>
      <c r="C344" s="213" t="s">
        <v>380</v>
      </c>
      <c r="D344" s="210" t="s">
        <v>39</v>
      </c>
      <c r="E344" s="214">
        <f>(1.785*2+5.97+0.59*2)*0.55*2</f>
        <v>11.792</v>
      </c>
      <c r="F344" s="212">
        <v>670</v>
      </c>
      <c r="G344" s="212"/>
      <c r="H344" s="188">
        <f t="shared" si="13"/>
        <v>7900.64</v>
      </c>
      <c r="I344" s="220"/>
      <c r="J344" s="212"/>
    </row>
    <row r="345" ht="24.95" customHeight="1" spans="1:10">
      <c r="A345" s="178" t="s">
        <v>381</v>
      </c>
      <c r="B345" s="182" t="s">
        <v>382</v>
      </c>
      <c r="C345" s="182"/>
      <c r="D345" s="178"/>
      <c r="E345" s="178"/>
      <c r="F345" s="187"/>
      <c r="G345" s="189"/>
      <c r="H345" s="188">
        <f t="shared" si="13"/>
        <v>0</v>
      </c>
      <c r="I345" s="179"/>
      <c r="J345" s="191"/>
    </row>
    <row r="346" s="167" customFormat="1" ht="30" customHeight="1" outlineLevel="1" spans="1:10">
      <c r="A346" s="178">
        <v>9.1</v>
      </c>
      <c r="B346" s="215" t="s">
        <v>320</v>
      </c>
      <c r="C346" s="209"/>
      <c r="D346" s="210"/>
      <c r="E346" s="211"/>
      <c r="F346" s="212"/>
      <c r="G346" s="212"/>
      <c r="H346" s="188">
        <f t="shared" si="13"/>
        <v>0</v>
      </c>
      <c r="I346" s="212"/>
      <c r="J346" s="212"/>
    </row>
    <row r="347" s="166" customFormat="1" ht="66.95" customHeight="1" outlineLevel="2" spans="1:10">
      <c r="A347" s="178"/>
      <c r="B347" s="185" t="s">
        <v>383</v>
      </c>
      <c r="C347" s="185" t="s">
        <v>187</v>
      </c>
      <c r="D347" s="178" t="s">
        <v>46</v>
      </c>
      <c r="E347" s="178">
        <v>66.15</v>
      </c>
      <c r="F347" s="187">
        <f>F328</f>
        <v>30</v>
      </c>
      <c r="G347" s="189"/>
      <c r="H347" s="188">
        <f t="shared" si="13"/>
        <v>1984.5</v>
      </c>
      <c r="I347" s="207"/>
      <c r="J347" s="207"/>
    </row>
    <row r="348" s="166" customFormat="1" ht="57.95" customHeight="1" outlineLevel="2" spans="1:10">
      <c r="A348" s="178"/>
      <c r="B348" s="185" t="s">
        <v>384</v>
      </c>
      <c r="C348" s="185" t="s">
        <v>187</v>
      </c>
      <c r="D348" s="178" t="s">
        <v>46</v>
      </c>
      <c r="E348" s="178">
        <v>6.99</v>
      </c>
      <c r="F348" s="187">
        <f>F347</f>
        <v>30</v>
      </c>
      <c r="G348" s="189"/>
      <c r="H348" s="188">
        <f t="shared" si="13"/>
        <v>209.7</v>
      </c>
      <c r="I348" s="207"/>
      <c r="J348" s="207"/>
    </row>
    <row r="349" s="166" customFormat="1" ht="45" customHeight="1" outlineLevel="2" spans="1:10">
      <c r="A349" s="178"/>
      <c r="B349" s="185" t="s">
        <v>41</v>
      </c>
      <c r="C349" s="185" t="s">
        <v>222</v>
      </c>
      <c r="D349" s="178" t="s">
        <v>39</v>
      </c>
      <c r="E349" s="178">
        <f>25.24+9.79</f>
        <v>35.03</v>
      </c>
      <c r="F349" s="187">
        <v>6</v>
      </c>
      <c r="G349" s="189"/>
      <c r="H349" s="188">
        <f t="shared" si="13"/>
        <v>210.18</v>
      </c>
      <c r="I349" s="207"/>
      <c r="J349" s="207"/>
    </row>
    <row r="350" s="166" customFormat="1" ht="65.1" customHeight="1" outlineLevel="2" spans="1:10">
      <c r="A350" s="178"/>
      <c r="B350" s="185" t="s">
        <v>188</v>
      </c>
      <c r="C350" s="185" t="s">
        <v>189</v>
      </c>
      <c r="D350" s="178" t="s">
        <v>46</v>
      </c>
      <c r="E350" s="178">
        <f>56.29+3.8</f>
        <v>60.09</v>
      </c>
      <c r="F350" s="187">
        <v>10</v>
      </c>
      <c r="G350" s="189"/>
      <c r="H350" s="188">
        <f t="shared" si="13"/>
        <v>600.9</v>
      </c>
      <c r="I350" s="207"/>
      <c r="J350" s="207"/>
    </row>
    <row r="351" s="166" customFormat="1" ht="36" customHeight="1" outlineLevel="2" spans="1:10">
      <c r="A351" s="178"/>
      <c r="B351" s="185" t="s">
        <v>44</v>
      </c>
      <c r="C351" s="185" t="s">
        <v>67</v>
      </c>
      <c r="D351" s="178" t="s">
        <v>46</v>
      </c>
      <c r="E351" s="178">
        <v>2.41</v>
      </c>
      <c r="F351" s="187">
        <v>600</v>
      </c>
      <c r="G351" s="187">
        <v>160</v>
      </c>
      <c r="H351" s="188">
        <f t="shared" si="13"/>
        <v>1446</v>
      </c>
      <c r="I351" s="207"/>
      <c r="J351" s="207"/>
    </row>
    <row r="352" s="166" customFormat="1" ht="57" customHeight="1" outlineLevel="2" spans="1:10">
      <c r="A352" s="178"/>
      <c r="B352" s="185" t="s">
        <v>95</v>
      </c>
      <c r="C352" s="185" t="s">
        <v>369</v>
      </c>
      <c r="D352" s="178" t="s">
        <v>46</v>
      </c>
      <c r="E352" s="193">
        <v>6.02</v>
      </c>
      <c r="F352" s="187">
        <f>F332</f>
        <v>635.73</v>
      </c>
      <c r="G352" s="189">
        <f>G332</f>
        <v>480</v>
      </c>
      <c r="H352" s="188">
        <f t="shared" si="13"/>
        <v>3827.0946</v>
      </c>
      <c r="I352" s="207"/>
      <c r="J352" s="207"/>
    </row>
    <row r="353" s="166" customFormat="1" ht="54" customHeight="1" outlineLevel="2" spans="1:10">
      <c r="A353" s="178"/>
      <c r="B353" s="185" t="s">
        <v>47</v>
      </c>
      <c r="C353" s="185" t="s">
        <v>224</v>
      </c>
      <c r="D353" s="178" t="s">
        <v>46</v>
      </c>
      <c r="E353" s="178">
        <f>1.08+1.87</f>
        <v>2.95</v>
      </c>
      <c r="F353" s="187">
        <f>F331</f>
        <v>1000</v>
      </c>
      <c r="G353" s="187">
        <f>G331</f>
        <v>520</v>
      </c>
      <c r="H353" s="188">
        <f t="shared" si="13"/>
        <v>2950</v>
      </c>
      <c r="I353" s="207"/>
      <c r="J353" s="207"/>
    </row>
    <row r="354" s="166" customFormat="1" ht="54.95" customHeight="1" outlineLevel="2" spans="1:10">
      <c r="A354" s="178"/>
      <c r="B354" s="185" t="s">
        <v>385</v>
      </c>
      <c r="C354" s="185" t="s">
        <v>386</v>
      </c>
      <c r="D354" s="178" t="s">
        <v>46</v>
      </c>
      <c r="E354" s="178">
        <v>1.84</v>
      </c>
      <c r="F354" s="187">
        <v>1217.21</v>
      </c>
      <c r="G354" s="187">
        <f>G336</f>
        <v>550</v>
      </c>
      <c r="H354" s="188">
        <f t="shared" si="13"/>
        <v>2239.6664</v>
      </c>
      <c r="I354" s="207"/>
      <c r="J354" s="207"/>
    </row>
    <row r="355" s="166" customFormat="1" ht="60" customHeight="1" outlineLevel="2" spans="1:10">
      <c r="A355" s="178"/>
      <c r="B355" s="185" t="s">
        <v>293</v>
      </c>
      <c r="C355" s="185" t="s">
        <v>387</v>
      </c>
      <c r="D355" s="178" t="s">
        <v>46</v>
      </c>
      <c r="E355" s="178">
        <v>1.95</v>
      </c>
      <c r="F355" s="187">
        <v>1460.77</v>
      </c>
      <c r="G355" s="187">
        <f>G354</f>
        <v>550</v>
      </c>
      <c r="H355" s="188">
        <f t="shared" si="13"/>
        <v>2848.5015</v>
      </c>
      <c r="I355" s="207"/>
      <c r="J355" s="207"/>
    </row>
    <row r="356" s="166" customFormat="1" ht="27.95" customHeight="1" outlineLevel="1" spans="1:10">
      <c r="A356" s="178">
        <v>9.2</v>
      </c>
      <c r="B356" s="216" t="s">
        <v>388</v>
      </c>
      <c r="C356" s="185"/>
      <c r="D356" s="178"/>
      <c r="E356" s="178"/>
      <c r="F356" s="187"/>
      <c r="G356" s="187"/>
      <c r="H356" s="188">
        <f t="shared" si="13"/>
        <v>0</v>
      </c>
      <c r="I356" s="207"/>
      <c r="J356" s="207"/>
    </row>
    <row r="357" s="167" customFormat="1" ht="32.1" customHeight="1" outlineLevel="2" spans="1:10">
      <c r="A357" s="208"/>
      <c r="B357" s="185" t="s">
        <v>214</v>
      </c>
      <c r="C357" s="185" t="s">
        <v>389</v>
      </c>
      <c r="D357" s="178" t="s">
        <v>72</v>
      </c>
      <c r="E357" s="217">
        <v>0.181</v>
      </c>
      <c r="F357" s="212">
        <v>11338.8</v>
      </c>
      <c r="G357" s="212"/>
      <c r="H357" s="188">
        <f t="shared" si="13"/>
        <v>2052.3228</v>
      </c>
      <c r="I357" s="212"/>
      <c r="J357" s="212"/>
    </row>
    <row r="358" s="166" customFormat="1" ht="45.95" customHeight="1" outlineLevel="2" spans="1:10">
      <c r="A358" s="178"/>
      <c r="B358" s="185" t="s">
        <v>390</v>
      </c>
      <c r="C358" s="185" t="s">
        <v>391</v>
      </c>
      <c r="D358" s="178" t="s">
        <v>392</v>
      </c>
      <c r="E358" s="178">
        <v>32</v>
      </c>
      <c r="F358" s="187">
        <v>16.21</v>
      </c>
      <c r="G358" s="187">
        <v>6.5</v>
      </c>
      <c r="H358" s="188">
        <f t="shared" si="13"/>
        <v>518.72</v>
      </c>
      <c r="I358" s="207"/>
      <c r="J358" s="207"/>
    </row>
    <row r="359" s="166" customFormat="1" ht="42" customHeight="1" outlineLevel="2" spans="1:10">
      <c r="A359" s="178"/>
      <c r="B359" s="185" t="s">
        <v>173</v>
      </c>
      <c r="C359" s="185" t="s">
        <v>393</v>
      </c>
      <c r="D359" s="178" t="s">
        <v>72</v>
      </c>
      <c r="E359" s="178">
        <v>0.542</v>
      </c>
      <c r="F359" s="187">
        <v>13000</v>
      </c>
      <c r="G359" s="187">
        <v>6400</v>
      </c>
      <c r="H359" s="188">
        <f t="shared" si="13"/>
        <v>7046</v>
      </c>
      <c r="I359" s="207"/>
      <c r="J359" s="207"/>
    </row>
    <row r="360" s="166" customFormat="1" ht="36" customHeight="1" outlineLevel="2" spans="1:10">
      <c r="A360" s="178"/>
      <c r="B360" s="185" t="s">
        <v>394</v>
      </c>
      <c r="C360" s="185" t="s">
        <v>395</v>
      </c>
      <c r="D360" s="178" t="s">
        <v>72</v>
      </c>
      <c r="E360" s="178">
        <v>1.098</v>
      </c>
      <c r="F360" s="187">
        <v>11036.38</v>
      </c>
      <c r="G360" s="187">
        <f t="shared" ref="G360:G365" si="14">G359</f>
        <v>6400</v>
      </c>
      <c r="H360" s="188">
        <f t="shared" si="13"/>
        <v>12117.94524</v>
      </c>
      <c r="I360" s="207"/>
      <c r="J360" s="207"/>
    </row>
    <row r="361" s="166" customFormat="1" ht="36.95" customHeight="1" outlineLevel="2" spans="1:10">
      <c r="A361" s="178"/>
      <c r="B361" s="185" t="s">
        <v>394</v>
      </c>
      <c r="C361" s="185" t="s">
        <v>396</v>
      </c>
      <c r="D361" s="178" t="s">
        <v>72</v>
      </c>
      <c r="E361" s="178">
        <v>1.568</v>
      </c>
      <c r="F361" s="187">
        <f>F360</f>
        <v>11036.38</v>
      </c>
      <c r="G361" s="187">
        <f t="shared" si="14"/>
        <v>6400</v>
      </c>
      <c r="H361" s="188">
        <f t="shared" si="13"/>
        <v>17305.04384</v>
      </c>
      <c r="I361" s="207"/>
      <c r="J361" s="207"/>
    </row>
    <row r="362" s="166" customFormat="1" ht="39" customHeight="1" outlineLevel="2" spans="1:10">
      <c r="A362" s="178"/>
      <c r="B362" s="185" t="s">
        <v>394</v>
      </c>
      <c r="C362" s="185" t="s">
        <v>397</v>
      </c>
      <c r="D362" s="178" t="s">
        <v>72</v>
      </c>
      <c r="E362" s="178">
        <v>0.337</v>
      </c>
      <c r="F362" s="187">
        <f>F361</f>
        <v>11036.38</v>
      </c>
      <c r="G362" s="187">
        <f t="shared" si="14"/>
        <v>6400</v>
      </c>
      <c r="H362" s="188">
        <f t="shared" si="13"/>
        <v>3719.26006</v>
      </c>
      <c r="I362" s="207"/>
      <c r="J362" s="207"/>
    </row>
    <row r="363" s="166" customFormat="1" ht="38.1" customHeight="1" outlineLevel="2" spans="1:10">
      <c r="A363" s="178"/>
      <c r="B363" s="185" t="s">
        <v>398</v>
      </c>
      <c r="C363" s="185" t="s">
        <v>399</v>
      </c>
      <c r="D363" s="178" t="s">
        <v>72</v>
      </c>
      <c r="E363" s="178">
        <v>0.791</v>
      </c>
      <c r="F363" s="187">
        <v>7816.58</v>
      </c>
      <c r="G363" s="187">
        <f t="shared" si="14"/>
        <v>6400</v>
      </c>
      <c r="H363" s="188">
        <f t="shared" si="13"/>
        <v>6182.91478</v>
      </c>
      <c r="I363" s="207"/>
      <c r="J363" s="207"/>
    </row>
    <row r="364" s="166" customFormat="1" ht="39.95" customHeight="1" outlineLevel="2" spans="1:10">
      <c r="A364" s="178"/>
      <c r="B364" s="185" t="s">
        <v>398</v>
      </c>
      <c r="C364" s="185" t="s">
        <v>400</v>
      </c>
      <c r="D364" s="178" t="s">
        <v>72</v>
      </c>
      <c r="E364" s="178">
        <v>0.262</v>
      </c>
      <c r="F364" s="187">
        <v>13000</v>
      </c>
      <c r="G364" s="187">
        <f t="shared" si="14"/>
        <v>6400</v>
      </c>
      <c r="H364" s="188">
        <f t="shared" si="13"/>
        <v>3406</v>
      </c>
      <c r="I364" s="207"/>
      <c r="J364" s="207"/>
    </row>
    <row r="365" s="166" customFormat="1" ht="39" customHeight="1" outlineLevel="2" spans="1:10">
      <c r="A365" s="178"/>
      <c r="B365" s="185" t="s">
        <v>401</v>
      </c>
      <c r="C365" s="185" t="s">
        <v>402</v>
      </c>
      <c r="D365" s="178" t="s">
        <v>72</v>
      </c>
      <c r="E365" s="178">
        <v>0.51</v>
      </c>
      <c r="F365" s="187">
        <f>F364</f>
        <v>13000</v>
      </c>
      <c r="G365" s="187">
        <f t="shared" si="14"/>
        <v>6400</v>
      </c>
      <c r="H365" s="188">
        <f t="shared" si="13"/>
        <v>6630</v>
      </c>
      <c r="I365" s="207"/>
      <c r="J365" s="207"/>
    </row>
    <row r="366" s="166" customFormat="1" ht="42" customHeight="1" outlineLevel="2" spans="1:10">
      <c r="A366" s="178"/>
      <c r="B366" s="185" t="s">
        <v>403</v>
      </c>
      <c r="C366" s="185" t="s">
        <v>404</v>
      </c>
      <c r="D366" s="178" t="s">
        <v>39</v>
      </c>
      <c r="E366" s="178">
        <v>161.81</v>
      </c>
      <c r="F366" s="187">
        <v>536.42</v>
      </c>
      <c r="G366" s="187">
        <v>245</v>
      </c>
      <c r="H366" s="188">
        <f t="shared" si="13"/>
        <v>86798.1202</v>
      </c>
      <c r="I366" s="179"/>
      <c r="J366" s="207"/>
    </row>
    <row r="367" s="166" customFormat="1" ht="42" customHeight="1" outlineLevel="2" spans="1:10">
      <c r="A367" s="178"/>
      <c r="B367" s="185" t="s">
        <v>405</v>
      </c>
      <c r="C367" s="185" t="s">
        <v>406</v>
      </c>
      <c r="D367" s="178" t="s">
        <v>39</v>
      </c>
      <c r="E367" s="178">
        <v>11.31</v>
      </c>
      <c r="F367" s="187">
        <v>630</v>
      </c>
      <c r="G367" s="187"/>
      <c r="H367" s="188">
        <f t="shared" si="13"/>
        <v>7125.3</v>
      </c>
      <c r="I367" s="179"/>
      <c r="J367" s="207"/>
    </row>
    <row r="368" s="166" customFormat="1" ht="36" customHeight="1" outlineLevel="2" spans="1:10">
      <c r="A368" s="178"/>
      <c r="B368" s="185" t="s">
        <v>407</v>
      </c>
      <c r="C368" s="185" t="s">
        <v>408</v>
      </c>
      <c r="D368" s="178" t="s">
        <v>39</v>
      </c>
      <c r="E368" s="178">
        <v>4.09</v>
      </c>
      <c r="F368" s="187">
        <v>950</v>
      </c>
      <c r="G368" s="187"/>
      <c r="H368" s="188">
        <f t="shared" si="13"/>
        <v>3885.5</v>
      </c>
      <c r="I368" s="207"/>
      <c r="J368" s="207"/>
    </row>
    <row r="369" s="166" customFormat="1" ht="36" customHeight="1" outlineLevel="2" spans="1:10">
      <c r="A369" s="178"/>
      <c r="B369" s="185" t="s">
        <v>409</v>
      </c>
      <c r="C369" s="185" t="s">
        <v>410</v>
      </c>
      <c r="D369" s="178" t="s">
        <v>39</v>
      </c>
      <c r="E369" s="178">
        <v>27.12</v>
      </c>
      <c r="F369" s="187">
        <v>185</v>
      </c>
      <c r="G369" s="187">
        <v>115</v>
      </c>
      <c r="H369" s="188">
        <f t="shared" si="13"/>
        <v>5017.2</v>
      </c>
      <c r="I369" s="179"/>
      <c r="J369" s="207"/>
    </row>
    <row r="370" s="167" customFormat="1" ht="39" customHeight="1" outlineLevel="2" spans="1:10">
      <c r="A370" s="208"/>
      <c r="B370" s="209" t="s">
        <v>411</v>
      </c>
      <c r="C370" s="185" t="s">
        <v>412</v>
      </c>
      <c r="D370" s="210" t="s">
        <v>39</v>
      </c>
      <c r="E370" s="211">
        <v>16.33</v>
      </c>
      <c r="F370" s="212">
        <v>940</v>
      </c>
      <c r="G370" s="212"/>
      <c r="H370" s="188">
        <f t="shared" si="13"/>
        <v>15350.2</v>
      </c>
      <c r="I370" s="212"/>
      <c r="J370" s="212"/>
    </row>
    <row r="371" s="167" customFormat="1" ht="30" customHeight="1" outlineLevel="1" spans="1:10">
      <c r="A371" s="208">
        <v>9.3</v>
      </c>
      <c r="B371" s="215" t="s">
        <v>413</v>
      </c>
      <c r="C371" s="209"/>
      <c r="D371" s="210"/>
      <c r="E371" s="211"/>
      <c r="F371" s="212"/>
      <c r="G371" s="212"/>
      <c r="H371" s="188">
        <f t="shared" si="13"/>
        <v>0</v>
      </c>
      <c r="I371" s="212"/>
      <c r="J371" s="212"/>
    </row>
    <row r="372" s="167" customFormat="1" ht="29.1" customHeight="1" outlineLevel="2" spans="1:10">
      <c r="A372" s="208"/>
      <c r="B372" s="185" t="s">
        <v>214</v>
      </c>
      <c r="C372" s="185" t="s">
        <v>414</v>
      </c>
      <c r="D372" s="178" t="s">
        <v>72</v>
      </c>
      <c r="E372" s="217">
        <v>0.011</v>
      </c>
      <c r="F372" s="212">
        <v>11338.8</v>
      </c>
      <c r="G372" s="212"/>
      <c r="H372" s="188">
        <f t="shared" si="13"/>
        <v>124.7268</v>
      </c>
      <c r="I372" s="212"/>
      <c r="J372" s="212"/>
    </row>
    <row r="373" s="167" customFormat="1" ht="36" customHeight="1" outlineLevel="2" spans="1:10">
      <c r="A373" s="208"/>
      <c r="B373" s="209" t="s">
        <v>415</v>
      </c>
      <c r="C373" s="185" t="s">
        <v>416</v>
      </c>
      <c r="D373" s="178" t="s">
        <v>72</v>
      </c>
      <c r="E373" s="211">
        <v>0.142</v>
      </c>
      <c r="F373" s="212">
        <v>9700</v>
      </c>
      <c r="G373" s="218">
        <f>G365</f>
        <v>6400</v>
      </c>
      <c r="H373" s="188">
        <f t="shared" si="13"/>
        <v>1377.4</v>
      </c>
      <c r="I373" s="212"/>
      <c r="J373" s="212"/>
    </row>
    <row r="374" s="167" customFormat="1" ht="39.95" customHeight="1" outlineLevel="2" spans="1:10">
      <c r="A374" s="208"/>
      <c r="B374" s="209" t="s">
        <v>417</v>
      </c>
      <c r="C374" s="185" t="s">
        <v>416</v>
      </c>
      <c r="D374" s="178" t="s">
        <v>72</v>
      </c>
      <c r="E374" s="211">
        <v>0.432</v>
      </c>
      <c r="F374" s="212">
        <f>F373</f>
        <v>9700</v>
      </c>
      <c r="G374" s="218">
        <f>G373</f>
        <v>6400</v>
      </c>
      <c r="H374" s="188">
        <f t="shared" si="13"/>
        <v>4190.4</v>
      </c>
      <c r="I374" s="212"/>
      <c r="J374" s="212"/>
    </row>
    <row r="375" s="167" customFormat="1" ht="39" customHeight="1" outlineLevel="2" spans="1:10">
      <c r="A375" s="208"/>
      <c r="B375" s="209" t="s">
        <v>418</v>
      </c>
      <c r="C375" s="185" t="s">
        <v>419</v>
      </c>
      <c r="D375" s="178" t="s">
        <v>72</v>
      </c>
      <c r="E375" s="211">
        <v>0.226</v>
      </c>
      <c r="F375" s="212">
        <v>7816.58</v>
      </c>
      <c r="G375" s="218">
        <f>G374</f>
        <v>6400</v>
      </c>
      <c r="H375" s="188">
        <f t="shared" si="13"/>
        <v>1766.54708</v>
      </c>
      <c r="I375" s="212"/>
      <c r="J375" s="212"/>
    </row>
    <row r="376" s="167" customFormat="1" ht="39.95" customHeight="1" outlineLevel="2" spans="1:10">
      <c r="A376" s="208"/>
      <c r="B376" s="209" t="s">
        <v>418</v>
      </c>
      <c r="C376" s="185" t="s">
        <v>420</v>
      </c>
      <c r="D376" s="178" t="s">
        <v>72</v>
      </c>
      <c r="E376" s="211">
        <v>0.116</v>
      </c>
      <c r="F376" s="212">
        <f>F375</f>
        <v>7816.58</v>
      </c>
      <c r="G376" s="218">
        <f>G375</f>
        <v>6400</v>
      </c>
      <c r="H376" s="188">
        <f t="shared" si="13"/>
        <v>906.72328</v>
      </c>
      <c r="I376" s="212"/>
      <c r="J376" s="212"/>
    </row>
    <row r="377" s="167" customFormat="1" ht="48.95" customHeight="1" outlineLevel="2" spans="1:10">
      <c r="A377" s="208"/>
      <c r="B377" s="209" t="s">
        <v>421</v>
      </c>
      <c r="C377" s="185" t="s">
        <v>422</v>
      </c>
      <c r="D377" s="178" t="s">
        <v>39</v>
      </c>
      <c r="E377" s="211">
        <v>9.86</v>
      </c>
      <c r="F377" s="212">
        <v>1300</v>
      </c>
      <c r="G377" s="212"/>
      <c r="H377" s="188">
        <f t="shared" si="13"/>
        <v>12818</v>
      </c>
      <c r="I377" s="212"/>
      <c r="J377" s="212"/>
    </row>
    <row r="378" s="167" customFormat="1" ht="27" customHeight="1" outlineLevel="1" spans="1:10">
      <c r="A378" s="208">
        <v>9.4</v>
      </c>
      <c r="B378" s="215" t="s">
        <v>423</v>
      </c>
      <c r="C378" s="209"/>
      <c r="D378" s="210"/>
      <c r="E378" s="211"/>
      <c r="F378" s="212"/>
      <c r="G378" s="212"/>
      <c r="H378" s="188">
        <f t="shared" si="13"/>
        <v>0</v>
      </c>
      <c r="I378" s="212"/>
      <c r="J378" s="212"/>
    </row>
    <row r="379" s="167" customFormat="1" ht="39" customHeight="1" outlineLevel="2" spans="1:10">
      <c r="A379" s="208"/>
      <c r="B379" s="209" t="s">
        <v>417</v>
      </c>
      <c r="C379" s="185" t="s">
        <v>397</v>
      </c>
      <c r="D379" s="178" t="s">
        <v>72</v>
      </c>
      <c r="E379" s="211">
        <v>0.177</v>
      </c>
      <c r="F379" s="212">
        <f>F374</f>
        <v>9700</v>
      </c>
      <c r="G379" s="218">
        <f>G376</f>
        <v>6400</v>
      </c>
      <c r="H379" s="188">
        <f t="shared" si="13"/>
        <v>1716.9</v>
      </c>
      <c r="I379" s="212"/>
      <c r="J379" s="212"/>
    </row>
    <row r="380" s="167" customFormat="1" ht="42.95" customHeight="1" outlineLevel="2" spans="1:10">
      <c r="A380" s="208"/>
      <c r="B380" s="209" t="s">
        <v>417</v>
      </c>
      <c r="C380" s="185" t="s">
        <v>424</v>
      </c>
      <c r="D380" s="178" t="s">
        <v>72</v>
      </c>
      <c r="E380" s="211">
        <v>0.087</v>
      </c>
      <c r="F380" s="212">
        <f>F379</f>
        <v>9700</v>
      </c>
      <c r="G380" s="218">
        <f>G379</f>
        <v>6400</v>
      </c>
      <c r="H380" s="188">
        <f t="shared" si="13"/>
        <v>843.9</v>
      </c>
      <c r="I380" s="212"/>
      <c r="J380" s="212"/>
    </row>
    <row r="381" s="167" customFormat="1" ht="57" customHeight="1" outlineLevel="2" spans="1:10">
      <c r="A381" s="208"/>
      <c r="B381" s="209" t="s">
        <v>421</v>
      </c>
      <c r="C381" s="185" t="s">
        <v>425</v>
      </c>
      <c r="D381" s="178" t="s">
        <v>39</v>
      </c>
      <c r="E381" s="211">
        <v>10.69</v>
      </c>
      <c r="F381" s="212">
        <f>F377</f>
        <v>1300</v>
      </c>
      <c r="G381" s="212"/>
      <c r="H381" s="188">
        <f t="shared" si="13"/>
        <v>13897</v>
      </c>
      <c r="I381" s="212"/>
      <c r="J381" s="212"/>
    </row>
    <row r="382" s="167" customFormat="1" ht="36.95" customHeight="1" outlineLevel="1" collapsed="1" spans="1:10">
      <c r="A382" s="208">
        <v>9.5</v>
      </c>
      <c r="B382" s="215" t="s">
        <v>426</v>
      </c>
      <c r="C382" s="209"/>
      <c r="D382" s="210"/>
      <c r="E382" s="211"/>
      <c r="F382" s="212"/>
      <c r="G382" s="212"/>
      <c r="H382" s="188">
        <f t="shared" si="13"/>
        <v>0</v>
      </c>
      <c r="I382" s="212"/>
      <c r="J382" s="212"/>
    </row>
    <row r="383" s="167" customFormat="1" ht="35.1" customHeight="1" outlineLevel="1" spans="1:10">
      <c r="A383" s="208"/>
      <c r="B383" s="185" t="s">
        <v>41</v>
      </c>
      <c r="C383" s="185" t="s">
        <v>222</v>
      </c>
      <c r="D383" s="178" t="s">
        <v>39</v>
      </c>
      <c r="E383" s="178">
        <v>48.25</v>
      </c>
      <c r="F383" s="187">
        <v>6</v>
      </c>
      <c r="G383" s="212"/>
      <c r="H383" s="188">
        <f t="shared" si="13"/>
        <v>289.5</v>
      </c>
      <c r="I383" s="212"/>
      <c r="J383" s="212"/>
    </row>
    <row r="384" s="167" customFormat="1" ht="36.95" customHeight="1" outlineLevel="1" spans="1:10">
      <c r="A384" s="208"/>
      <c r="B384" s="185" t="s">
        <v>44</v>
      </c>
      <c r="C384" s="185" t="s">
        <v>45</v>
      </c>
      <c r="D384" s="178" t="s">
        <v>46</v>
      </c>
      <c r="E384" s="186">
        <f>E383*0.08</f>
        <v>3.86</v>
      </c>
      <c r="F384" s="187">
        <f>F351</f>
        <v>600</v>
      </c>
      <c r="G384" s="218">
        <f>G351</f>
        <v>160</v>
      </c>
      <c r="H384" s="188">
        <f t="shared" si="13"/>
        <v>2316</v>
      </c>
      <c r="I384" s="212"/>
      <c r="J384" s="212"/>
    </row>
    <row r="385" s="166" customFormat="1" ht="48.95" customHeight="1" outlineLevel="1" spans="1:10">
      <c r="A385" s="178"/>
      <c r="B385" s="185" t="s">
        <v>47</v>
      </c>
      <c r="C385" s="185" t="s">
        <v>224</v>
      </c>
      <c r="D385" s="178" t="s">
        <v>46</v>
      </c>
      <c r="E385" s="186">
        <f>E383*0.1</f>
        <v>4.825</v>
      </c>
      <c r="F385" s="187">
        <f>F353</f>
        <v>1000</v>
      </c>
      <c r="G385" s="187">
        <f>G353</f>
        <v>520</v>
      </c>
      <c r="H385" s="188">
        <f t="shared" si="13"/>
        <v>4825</v>
      </c>
      <c r="I385" s="207"/>
      <c r="J385" s="207"/>
    </row>
    <row r="386" s="166" customFormat="1" ht="53.1" customHeight="1" outlineLevel="1" spans="1:10">
      <c r="A386" s="178"/>
      <c r="B386" s="185" t="s">
        <v>427</v>
      </c>
      <c r="C386" s="185" t="s">
        <v>132</v>
      </c>
      <c r="D386" s="178" t="s">
        <v>39</v>
      </c>
      <c r="E386" s="186">
        <v>2.7</v>
      </c>
      <c r="F386" s="187">
        <v>650.13</v>
      </c>
      <c r="G386" s="187">
        <v>480</v>
      </c>
      <c r="H386" s="188">
        <f t="shared" si="13"/>
        <v>1755.351</v>
      </c>
      <c r="I386" s="207"/>
      <c r="J386" s="207"/>
    </row>
    <row r="387" s="167" customFormat="1" ht="45" customHeight="1" outlineLevel="1" spans="1:10">
      <c r="A387" s="208"/>
      <c r="B387" s="209" t="s">
        <v>37</v>
      </c>
      <c r="C387" s="185" t="s">
        <v>428</v>
      </c>
      <c r="D387" s="210" t="s">
        <v>39</v>
      </c>
      <c r="E387" s="211">
        <v>1.64</v>
      </c>
      <c r="F387" s="212">
        <v>210</v>
      </c>
      <c r="G387" s="212">
        <v>85</v>
      </c>
      <c r="H387" s="188">
        <f t="shared" si="13"/>
        <v>344.4</v>
      </c>
      <c r="I387" s="212"/>
      <c r="J387" s="212"/>
    </row>
    <row r="388" s="167" customFormat="1" ht="39" customHeight="1" outlineLevel="1" spans="1:10">
      <c r="A388" s="208"/>
      <c r="B388" s="209" t="s">
        <v>37</v>
      </c>
      <c r="C388" s="185" t="s">
        <v>429</v>
      </c>
      <c r="D388" s="210" t="s">
        <v>39</v>
      </c>
      <c r="E388" s="211">
        <v>2.44</v>
      </c>
      <c r="F388" s="212">
        <f>F387</f>
        <v>210</v>
      </c>
      <c r="G388" s="212">
        <f>G387</f>
        <v>85</v>
      </c>
      <c r="H388" s="188">
        <f t="shared" si="13"/>
        <v>512.4</v>
      </c>
      <c r="I388" s="212"/>
      <c r="J388" s="212"/>
    </row>
    <row r="389" s="167" customFormat="1" ht="45" customHeight="1" outlineLevel="1" spans="1:10">
      <c r="A389" s="208"/>
      <c r="B389" s="209" t="s">
        <v>37</v>
      </c>
      <c r="C389" s="185" t="s">
        <v>430</v>
      </c>
      <c r="D389" s="210" t="s">
        <v>39</v>
      </c>
      <c r="E389" s="211">
        <v>18.36</v>
      </c>
      <c r="F389" s="212">
        <f>F388</f>
        <v>210</v>
      </c>
      <c r="G389" s="212">
        <f>G388</f>
        <v>85</v>
      </c>
      <c r="H389" s="188">
        <f t="shared" si="13"/>
        <v>3855.6</v>
      </c>
      <c r="I389" s="212"/>
      <c r="J389" s="212"/>
    </row>
    <row r="390" s="167" customFormat="1" ht="44.1" customHeight="1" outlineLevel="1" spans="1:10">
      <c r="A390" s="208"/>
      <c r="B390" s="209" t="s">
        <v>37</v>
      </c>
      <c r="C390" s="185" t="s">
        <v>431</v>
      </c>
      <c r="D390" s="210" t="s">
        <v>39</v>
      </c>
      <c r="E390" s="211">
        <v>12.76</v>
      </c>
      <c r="F390" s="212">
        <v>230</v>
      </c>
      <c r="G390" s="212">
        <v>110</v>
      </c>
      <c r="H390" s="188">
        <f t="shared" si="13"/>
        <v>2934.8</v>
      </c>
      <c r="I390" s="212"/>
      <c r="J390" s="212"/>
    </row>
    <row r="391" s="167" customFormat="1" ht="44.1" customHeight="1" outlineLevel="1" spans="1:10">
      <c r="A391" s="208"/>
      <c r="B391" s="185" t="s">
        <v>347</v>
      </c>
      <c r="C391" s="185" t="s">
        <v>432</v>
      </c>
      <c r="D391" s="210" t="s">
        <v>39</v>
      </c>
      <c r="E391" s="211">
        <v>10.35</v>
      </c>
      <c r="F391" s="212">
        <v>210</v>
      </c>
      <c r="G391" s="212">
        <v>125</v>
      </c>
      <c r="H391" s="188">
        <f t="shared" si="13"/>
        <v>2173.5</v>
      </c>
      <c r="I391" s="212"/>
      <c r="J391" s="212"/>
    </row>
    <row r="392" s="167" customFormat="1" ht="60" customHeight="1" outlineLevel="1" spans="1:10">
      <c r="A392" s="208"/>
      <c r="B392" s="185" t="s">
        <v>433</v>
      </c>
      <c r="C392" s="185" t="s">
        <v>434</v>
      </c>
      <c r="D392" s="210" t="s">
        <v>39</v>
      </c>
      <c r="E392" s="211">
        <v>2.77</v>
      </c>
      <c r="F392" s="212">
        <v>404.97</v>
      </c>
      <c r="G392" s="212">
        <v>175</v>
      </c>
      <c r="H392" s="188">
        <f t="shared" si="13"/>
        <v>1121.7669</v>
      </c>
      <c r="I392" s="212"/>
      <c r="J392" s="212"/>
    </row>
    <row r="393" s="167" customFormat="1" ht="59.1" customHeight="1" outlineLevel="1" spans="1:10">
      <c r="A393" s="208"/>
      <c r="B393" s="185" t="s">
        <v>433</v>
      </c>
      <c r="C393" s="185" t="s">
        <v>435</v>
      </c>
      <c r="D393" s="210" t="s">
        <v>39</v>
      </c>
      <c r="E393" s="211">
        <v>1.71</v>
      </c>
      <c r="F393" s="212">
        <v>319.47</v>
      </c>
      <c r="G393" s="212">
        <v>125</v>
      </c>
      <c r="H393" s="188">
        <f t="shared" si="13"/>
        <v>546.2937</v>
      </c>
      <c r="I393" s="212"/>
      <c r="J393" s="212"/>
    </row>
    <row r="394" s="167" customFormat="1" ht="59.1" customHeight="1" outlineLevel="1" spans="1:10">
      <c r="A394" s="208"/>
      <c r="B394" s="185" t="s">
        <v>436</v>
      </c>
      <c r="C394" s="185" t="s">
        <v>437</v>
      </c>
      <c r="D394" s="210" t="s">
        <v>39</v>
      </c>
      <c r="E394" s="211">
        <v>1.62</v>
      </c>
      <c r="F394" s="212">
        <v>408.04</v>
      </c>
      <c r="G394" s="212">
        <v>205</v>
      </c>
      <c r="H394" s="188">
        <f t="shared" si="13"/>
        <v>661.0248</v>
      </c>
      <c r="I394" s="212"/>
      <c r="J394" s="212"/>
    </row>
    <row r="395" s="167" customFormat="1" ht="51.95" customHeight="1" outlineLevel="1" spans="1:10">
      <c r="A395" s="208"/>
      <c r="B395" s="185" t="s">
        <v>436</v>
      </c>
      <c r="C395" s="185" t="s">
        <v>438</v>
      </c>
      <c r="D395" s="210" t="s">
        <v>39</v>
      </c>
      <c r="E395" s="211">
        <v>7.63</v>
      </c>
      <c r="F395" s="212">
        <v>379.16</v>
      </c>
      <c r="G395" s="212">
        <v>180</v>
      </c>
      <c r="H395" s="188">
        <f t="shared" ref="H395:H417" si="15">E395*F395</f>
        <v>2892.9908</v>
      </c>
      <c r="I395" s="212"/>
      <c r="J395" s="212"/>
    </row>
    <row r="396" s="167" customFormat="1" ht="48.95" customHeight="1" outlineLevel="1" spans="1:10">
      <c r="A396" s="208"/>
      <c r="B396" s="185" t="s">
        <v>436</v>
      </c>
      <c r="C396" s="185" t="s">
        <v>439</v>
      </c>
      <c r="D396" s="210" t="s">
        <v>39</v>
      </c>
      <c r="E396" s="211">
        <v>8.89</v>
      </c>
      <c r="F396" s="212">
        <v>249.05</v>
      </c>
      <c r="G396" s="212">
        <v>115</v>
      </c>
      <c r="H396" s="188">
        <f t="shared" si="15"/>
        <v>2214.0545</v>
      </c>
      <c r="I396" s="212"/>
      <c r="J396" s="212"/>
    </row>
    <row r="397" ht="24" customHeight="1" spans="1:10">
      <c r="A397" s="178" t="s">
        <v>440</v>
      </c>
      <c r="B397" s="185" t="s">
        <v>441</v>
      </c>
      <c r="C397" s="185"/>
      <c r="D397" s="178"/>
      <c r="E397" s="178"/>
      <c r="F397" s="187"/>
      <c r="G397" s="189"/>
      <c r="H397" s="188">
        <f t="shared" si="15"/>
        <v>0</v>
      </c>
      <c r="I397" s="179"/>
      <c r="J397" s="191"/>
    </row>
    <row r="398" ht="39.95" customHeight="1" outlineLevel="1" spans="1:10">
      <c r="A398" s="178">
        <v>1</v>
      </c>
      <c r="B398" s="185" t="s">
        <v>442</v>
      </c>
      <c r="C398" s="185"/>
      <c r="D398" s="178"/>
      <c r="E398" s="186"/>
      <c r="F398" s="187"/>
      <c r="G398" s="189"/>
      <c r="H398" s="188">
        <f t="shared" si="15"/>
        <v>0</v>
      </c>
      <c r="I398" s="179"/>
      <c r="J398" s="191"/>
    </row>
    <row r="399" ht="29.1" customHeight="1" outlineLevel="2" spans="1:10">
      <c r="A399" s="178"/>
      <c r="B399" s="185" t="s">
        <v>41</v>
      </c>
      <c r="C399" s="185" t="s">
        <v>109</v>
      </c>
      <c r="D399" s="178" t="s">
        <v>39</v>
      </c>
      <c r="E399" s="186">
        <v>267.09</v>
      </c>
      <c r="F399" s="187">
        <v>6</v>
      </c>
      <c r="G399" s="189"/>
      <c r="H399" s="188">
        <f t="shared" si="15"/>
        <v>1602.54</v>
      </c>
      <c r="I399" s="179"/>
      <c r="J399" s="191"/>
    </row>
    <row r="400" ht="30" customHeight="1" outlineLevel="2" spans="1:10">
      <c r="A400" s="178"/>
      <c r="B400" s="185" t="s">
        <v>44</v>
      </c>
      <c r="C400" s="185" t="s">
        <v>443</v>
      </c>
      <c r="D400" s="178" t="s">
        <v>46</v>
      </c>
      <c r="E400" s="186">
        <f>267.09*0.3</f>
        <v>80.127</v>
      </c>
      <c r="F400" s="187">
        <f>F384</f>
        <v>600</v>
      </c>
      <c r="G400" s="187">
        <f>G384</f>
        <v>160</v>
      </c>
      <c r="H400" s="188">
        <f t="shared" si="15"/>
        <v>48076.2</v>
      </c>
      <c r="I400" s="179"/>
      <c r="J400" s="191"/>
    </row>
    <row r="401" ht="50.1" customHeight="1" outlineLevel="2" spans="1:10">
      <c r="A401" s="178"/>
      <c r="B401" s="185" t="s">
        <v>47</v>
      </c>
      <c r="C401" s="185" t="s">
        <v>444</v>
      </c>
      <c r="D401" s="178" t="s">
        <v>46</v>
      </c>
      <c r="E401" s="186">
        <f>267.09*0.2</f>
        <v>53.418</v>
      </c>
      <c r="F401" s="187">
        <v>1000</v>
      </c>
      <c r="G401" s="187">
        <v>485</v>
      </c>
      <c r="H401" s="188">
        <f t="shared" si="15"/>
        <v>53418</v>
      </c>
      <c r="I401" s="179"/>
      <c r="J401" s="191"/>
    </row>
    <row r="402" ht="35.1" customHeight="1" outlineLevel="2" spans="1:10">
      <c r="A402" s="178"/>
      <c r="B402" s="185" t="s">
        <v>445</v>
      </c>
      <c r="C402" s="185" t="s">
        <v>446</v>
      </c>
      <c r="D402" s="178" t="s">
        <v>39</v>
      </c>
      <c r="E402" s="186">
        <f>267.09</f>
        <v>267.09</v>
      </c>
      <c r="F402" s="187">
        <v>500</v>
      </c>
      <c r="G402" s="189">
        <v>185</v>
      </c>
      <c r="H402" s="188">
        <f t="shared" si="15"/>
        <v>133545</v>
      </c>
      <c r="I402" s="179"/>
      <c r="J402" s="191"/>
    </row>
    <row r="403" ht="35.1" customHeight="1" outlineLevel="2" spans="1:10">
      <c r="A403" s="178"/>
      <c r="B403" s="185" t="s">
        <v>41</v>
      </c>
      <c r="C403" s="185" t="s">
        <v>109</v>
      </c>
      <c r="D403" s="178" t="s">
        <v>39</v>
      </c>
      <c r="E403" s="186">
        <v>28.47</v>
      </c>
      <c r="F403" s="187">
        <v>6</v>
      </c>
      <c r="G403" s="189"/>
      <c r="H403" s="188">
        <f t="shared" si="15"/>
        <v>170.82</v>
      </c>
      <c r="I403" s="179"/>
      <c r="J403" s="191"/>
    </row>
    <row r="404" ht="35.1" customHeight="1" outlineLevel="2" spans="1:10">
      <c r="A404" s="178"/>
      <c r="B404" s="185" t="s">
        <v>44</v>
      </c>
      <c r="C404" s="185" t="s">
        <v>45</v>
      </c>
      <c r="D404" s="178" t="s">
        <v>46</v>
      </c>
      <c r="E404" s="186">
        <f>28.47*0.08</f>
        <v>2.2776</v>
      </c>
      <c r="F404" s="187">
        <f>F400</f>
        <v>600</v>
      </c>
      <c r="G404" s="187">
        <f>G400</f>
        <v>160</v>
      </c>
      <c r="H404" s="188">
        <f t="shared" si="15"/>
        <v>1366.56</v>
      </c>
      <c r="I404" s="179"/>
      <c r="J404" s="191"/>
    </row>
    <row r="405" ht="45.95" customHeight="1" outlineLevel="2" spans="1:10">
      <c r="A405" s="178"/>
      <c r="B405" s="185" t="s">
        <v>47</v>
      </c>
      <c r="C405" s="185" t="s">
        <v>55</v>
      </c>
      <c r="D405" s="178" t="s">
        <v>46</v>
      </c>
      <c r="E405" s="186">
        <f>28.47*0.1</f>
        <v>2.847</v>
      </c>
      <c r="F405" s="187">
        <f>F385</f>
        <v>1000</v>
      </c>
      <c r="G405" s="187">
        <f>G385</f>
        <v>520</v>
      </c>
      <c r="H405" s="188">
        <f t="shared" si="15"/>
        <v>2847</v>
      </c>
      <c r="I405" s="179"/>
      <c r="J405" s="191"/>
    </row>
    <row r="406" ht="44.1" customHeight="1" outlineLevel="2" spans="1:10">
      <c r="A406" s="178"/>
      <c r="B406" s="185" t="s">
        <v>447</v>
      </c>
      <c r="C406" s="185" t="s">
        <v>448</v>
      </c>
      <c r="D406" s="178" t="s">
        <v>39</v>
      </c>
      <c r="E406" s="186">
        <f>20.57</f>
        <v>20.57</v>
      </c>
      <c r="F406" s="187">
        <f>F389</f>
        <v>210</v>
      </c>
      <c r="G406" s="189">
        <f>G389</f>
        <v>85</v>
      </c>
      <c r="H406" s="188">
        <f t="shared" si="15"/>
        <v>4319.7</v>
      </c>
      <c r="I406" s="179"/>
      <c r="J406" s="191"/>
    </row>
    <row r="407" ht="38.1" customHeight="1" outlineLevel="2" spans="1:10">
      <c r="A407" s="178"/>
      <c r="B407" s="185" t="s">
        <v>449</v>
      </c>
      <c r="C407" s="185" t="s">
        <v>450</v>
      </c>
      <c r="D407" s="178" t="s">
        <v>39</v>
      </c>
      <c r="E407" s="186">
        <f>7.9</f>
        <v>7.9</v>
      </c>
      <c r="F407" s="187">
        <f>F406</f>
        <v>210</v>
      </c>
      <c r="G407" s="189">
        <f>G406</f>
        <v>85</v>
      </c>
      <c r="H407" s="188">
        <f t="shared" si="15"/>
        <v>1659</v>
      </c>
      <c r="I407" s="179"/>
      <c r="J407" s="191"/>
    </row>
    <row r="408" ht="41.1" customHeight="1" outlineLevel="1" spans="1:10">
      <c r="A408" s="178">
        <v>2</v>
      </c>
      <c r="B408" s="185" t="s">
        <v>150</v>
      </c>
      <c r="C408" s="185"/>
      <c r="D408" s="178"/>
      <c r="E408" s="186"/>
      <c r="F408" s="187"/>
      <c r="G408" s="187"/>
      <c r="H408" s="188">
        <f t="shared" si="15"/>
        <v>0</v>
      </c>
      <c r="I408" s="191"/>
      <c r="J408" s="191"/>
    </row>
    <row r="409" ht="27" customHeight="1" outlineLevel="2" spans="1:10">
      <c r="A409" s="178"/>
      <c r="B409" s="185" t="s">
        <v>41</v>
      </c>
      <c r="C409" s="185" t="s">
        <v>42</v>
      </c>
      <c r="D409" s="178" t="s">
        <v>39</v>
      </c>
      <c r="E409" s="186">
        <f>15*0.4</f>
        <v>6</v>
      </c>
      <c r="F409" s="187">
        <v>6</v>
      </c>
      <c r="G409" s="179"/>
      <c r="H409" s="188">
        <f t="shared" si="15"/>
        <v>36</v>
      </c>
      <c r="I409" s="191"/>
      <c r="J409" s="191"/>
    </row>
    <row r="410" ht="30" customHeight="1" outlineLevel="2" spans="1:10">
      <c r="A410" s="178"/>
      <c r="B410" s="185" t="s">
        <v>44</v>
      </c>
      <c r="C410" s="185" t="s">
        <v>67</v>
      </c>
      <c r="D410" s="178" t="s">
        <v>46</v>
      </c>
      <c r="E410" s="186">
        <f>15*0.4*0.1</f>
        <v>0.6</v>
      </c>
      <c r="F410" s="187">
        <f>F404</f>
        <v>600</v>
      </c>
      <c r="G410" s="187">
        <f>G404</f>
        <v>160</v>
      </c>
      <c r="H410" s="188">
        <f t="shared" si="15"/>
        <v>360</v>
      </c>
      <c r="I410" s="191"/>
      <c r="J410" s="191"/>
    </row>
    <row r="411" ht="54" customHeight="1" outlineLevel="2" spans="1:10">
      <c r="A411" s="178"/>
      <c r="B411" s="185" t="s">
        <v>47</v>
      </c>
      <c r="C411" s="185" t="s">
        <v>48</v>
      </c>
      <c r="D411" s="178" t="s">
        <v>46</v>
      </c>
      <c r="E411" s="186">
        <f>15*0.4*0.1</f>
        <v>0.6</v>
      </c>
      <c r="F411" s="187">
        <f>F405</f>
        <v>1000</v>
      </c>
      <c r="G411" s="187">
        <f>G405</f>
        <v>520</v>
      </c>
      <c r="H411" s="188">
        <f t="shared" si="15"/>
        <v>600</v>
      </c>
      <c r="I411" s="191"/>
      <c r="J411" s="191"/>
    </row>
    <row r="412" ht="54" customHeight="1" outlineLevel="2" spans="1:10">
      <c r="A412" s="178"/>
      <c r="B412" s="185" t="s">
        <v>152</v>
      </c>
      <c r="C412" s="185" t="s">
        <v>153</v>
      </c>
      <c r="D412" s="178" t="s">
        <v>46</v>
      </c>
      <c r="E412" s="186">
        <f>15*0.1*0.13/2</f>
        <v>0.0975</v>
      </c>
      <c r="F412" s="187">
        <v>1000</v>
      </c>
      <c r="G412" s="187">
        <v>550</v>
      </c>
      <c r="H412" s="188">
        <f t="shared" si="15"/>
        <v>97.5</v>
      </c>
      <c r="I412" s="191"/>
      <c r="J412" s="191"/>
    </row>
    <row r="413" ht="41.1" customHeight="1" outlineLevel="2" spans="1:10">
      <c r="A413" s="178"/>
      <c r="B413" s="185" t="s">
        <v>154</v>
      </c>
      <c r="C413" s="185" t="s">
        <v>451</v>
      </c>
      <c r="D413" s="178" t="s">
        <v>81</v>
      </c>
      <c r="E413" s="186">
        <f>15</f>
        <v>15</v>
      </c>
      <c r="F413" s="187">
        <v>200</v>
      </c>
      <c r="G413" s="187">
        <v>114</v>
      </c>
      <c r="H413" s="188">
        <f t="shared" si="15"/>
        <v>3000</v>
      </c>
      <c r="I413" s="191"/>
      <c r="J413" s="191"/>
    </row>
    <row r="414" ht="39.95" customHeight="1" outlineLevel="1" spans="1:10">
      <c r="A414" s="178">
        <v>3</v>
      </c>
      <c r="B414" s="185" t="s">
        <v>452</v>
      </c>
      <c r="C414" s="185"/>
      <c r="D414" s="178"/>
      <c r="E414" s="186"/>
      <c r="F414" s="187"/>
      <c r="G414" s="189"/>
      <c r="H414" s="188">
        <f t="shared" si="15"/>
        <v>0</v>
      </c>
      <c r="I414" s="179"/>
      <c r="J414" s="191"/>
    </row>
    <row r="415" ht="65.1" customHeight="1" outlineLevel="2" spans="1:10">
      <c r="A415" s="178"/>
      <c r="B415" s="185" t="s">
        <v>93</v>
      </c>
      <c r="C415" s="185" t="s">
        <v>130</v>
      </c>
      <c r="D415" s="178" t="s">
        <v>46</v>
      </c>
      <c r="E415" s="186">
        <v>37.23</v>
      </c>
      <c r="F415" s="187">
        <v>30</v>
      </c>
      <c r="G415" s="189"/>
      <c r="H415" s="188">
        <f t="shared" si="15"/>
        <v>1116.9</v>
      </c>
      <c r="I415" s="179"/>
      <c r="J415" s="191"/>
    </row>
    <row r="416" ht="27" customHeight="1" outlineLevel="2" spans="1:10">
      <c r="A416" s="178"/>
      <c r="B416" s="185" t="s">
        <v>188</v>
      </c>
      <c r="C416" s="185" t="s">
        <v>453</v>
      </c>
      <c r="D416" s="178" t="s">
        <v>46</v>
      </c>
      <c r="E416" s="186">
        <v>26.14</v>
      </c>
      <c r="F416" s="187">
        <v>10</v>
      </c>
      <c r="G416" s="189"/>
      <c r="H416" s="188">
        <f t="shared" si="15"/>
        <v>261.4</v>
      </c>
      <c r="I416" s="179"/>
      <c r="J416" s="191"/>
    </row>
    <row r="417" ht="36" customHeight="1" outlineLevel="2" spans="1:10">
      <c r="A417" s="178"/>
      <c r="B417" s="185" t="s">
        <v>41</v>
      </c>
      <c r="C417" s="185" t="s">
        <v>109</v>
      </c>
      <c r="D417" s="178" t="s">
        <v>39</v>
      </c>
      <c r="E417" s="186">
        <v>46.54</v>
      </c>
      <c r="F417" s="187">
        <v>6</v>
      </c>
      <c r="G417" s="189"/>
      <c r="H417" s="188">
        <f t="shared" si="15"/>
        <v>279.24</v>
      </c>
      <c r="I417" s="179"/>
      <c r="J417" s="191"/>
    </row>
    <row r="418" ht="54" customHeight="1" outlineLevel="2" spans="1:10">
      <c r="A418" s="178"/>
      <c r="B418" s="185" t="s">
        <v>47</v>
      </c>
      <c r="C418" s="185" t="s">
        <v>55</v>
      </c>
      <c r="D418" s="178" t="s">
        <v>46</v>
      </c>
      <c r="E418" s="186">
        <v>2.69</v>
      </c>
      <c r="F418" s="187">
        <f>F411</f>
        <v>1000</v>
      </c>
      <c r="G418" s="187">
        <f>G411</f>
        <v>520</v>
      </c>
      <c r="H418" s="188">
        <f t="shared" ref="H418:H457" si="16">E418*F418</f>
        <v>2690</v>
      </c>
      <c r="I418" s="179"/>
      <c r="J418" s="191"/>
    </row>
    <row r="419" ht="51.95" customHeight="1" outlineLevel="2" spans="1:10">
      <c r="A419" s="178"/>
      <c r="B419" s="185" t="s">
        <v>197</v>
      </c>
      <c r="C419" s="185" t="s">
        <v>454</v>
      </c>
      <c r="D419" s="178" t="s">
        <v>46</v>
      </c>
      <c r="E419" s="186">
        <v>5.37</v>
      </c>
      <c r="F419" s="187">
        <v>1217.21</v>
      </c>
      <c r="G419" s="189">
        <v>550</v>
      </c>
      <c r="H419" s="188">
        <f t="shared" si="16"/>
        <v>6536.4177</v>
      </c>
      <c r="I419" s="179"/>
      <c r="J419" s="191"/>
    </row>
    <row r="420" ht="48.95" customHeight="1" outlineLevel="2" spans="1:10">
      <c r="A420" s="178"/>
      <c r="B420" s="185" t="s">
        <v>95</v>
      </c>
      <c r="C420" s="185" t="s">
        <v>132</v>
      </c>
      <c r="D420" s="178" t="s">
        <v>46</v>
      </c>
      <c r="E420" s="186">
        <v>3.16</v>
      </c>
      <c r="F420" s="187">
        <v>635.73</v>
      </c>
      <c r="G420" s="189">
        <v>480</v>
      </c>
      <c r="H420" s="188">
        <f t="shared" si="16"/>
        <v>2008.9068</v>
      </c>
      <c r="I420" s="179"/>
      <c r="J420" s="191"/>
    </row>
    <row r="421" ht="39" customHeight="1" outlineLevel="2" spans="1:10">
      <c r="A421" s="178"/>
      <c r="B421" s="185" t="s">
        <v>193</v>
      </c>
      <c r="C421" s="185" t="s">
        <v>455</v>
      </c>
      <c r="D421" s="178" t="s">
        <v>39</v>
      </c>
      <c r="E421" s="186">
        <f>24.71*0.24</f>
        <v>5.9304</v>
      </c>
      <c r="F421" s="187">
        <v>62.87</v>
      </c>
      <c r="G421" s="189"/>
      <c r="H421" s="188">
        <f t="shared" si="16"/>
        <v>372.844248</v>
      </c>
      <c r="I421" s="191"/>
      <c r="J421" s="191"/>
    </row>
    <row r="422" ht="48" customHeight="1" outlineLevel="2" spans="1:10">
      <c r="A422" s="178"/>
      <c r="B422" s="185" t="s">
        <v>195</v>
      </c>
      <c r="C422" s="185" t="s">
        <v>196</v>
      </c>
      <c r="D422" s="178" t="s">
        <v>46</v>
      </c>
      <c r="E422" s="186">
        <v>14.02</v>
      </c>
      <c r="F422" s="187">
        <v>650.13</v>
      </c>
      <c r="G422" s="189">
        <v>480</v>
      </c>
      <c r="H422" s="188">
        <f t="shared" si="16"/>
        <v>9114.8226</v>
      </c>
      <c r="I422" s="191"/>
      <c r="J422" s="191"/>
    </row>
    <row r="423" ht="54.95" customHeight="1" outlineLevel="2" spans="1:10">
      <c r="A423" s="178"/>
      <c r="B423" s="185" t="s">
        <v>199</v>
      </c>
      <c r="C423" s="185" t="s">
        <v>200</v>
      </c>
      <c r="D423" s="178" t="s">
        <v>46</v>
      </c>
      <c r="E423" s="186">
        <v>3.02</v>
      </c>
      <c r="F423" s="187">
        <v>1455.74</v>
      </c>
      <c r="G423" s="187">
        <v>550</v>
      </c>
      <c r="H423" s="188">
        <f t="shared" si="16"/>
        <v>4396.3348</v>
      </c>
      <c r="I423" s="191"/>
      <c r="J423" s="191"/>
    </row>
    <row r="424" ht="54" customHeight="1" outlineLevel="2" spans="1:10">
      <c r="A424" s="178"/>
      <c r="B424" s="185" t="s">
        <v>456</v>
      </c>
      <c r="C424" s="185" t="s">
        <v>457</v>
      </c>
      <c r="D424" s="178" t="s">
        <v>46</v>
      </c>
      <c r="E424" s="186">
        <f>0.61+0.91</f>
        <v>1.52</v>
      </c>
      <c r="F424" s="187">
        <v>1285.08</v>
      </c>
      <c r="G424" s="189">
        <v>535</v>
      </c>
      <c r="H424" s="188">
        <f t="shared" si="16"/>
        <v>1953.3216</v>
      </c>
      <c r="I424" s="179"/>
      <c r="J424" s="191"/>
    </row>
    <row r="425" ht="44.1" customHeight="1" outlineLevel="2" spans="1:10">
      <c r="A425" s="178"/>
      <c r="B425" s="185" t="s">
        <v>137</v>
      </c>
      <c r="C425" s="185" t="s">
        <v>205</v>
      </c>
      <c r="D425" s="178" t="s">
        <v>72</v>
      </c>
      <c r="E425" s="193">
        <f>1.116-0.883</f>
        <v>0.233</v>
      </c>
      <c r="F425" s="187">
        <v>9000</v>
      </c>
      <c r="G425" s="189">
        <v>4600</v>
      </c>
      <c r="H425" s="188">
        <f t="shared" si="16"/>
        <v>2097</v>
      </c>
      <c r="I425" s="179"/>
      <c r="J425" s="191"/>
    </row>
    <row r="426" ht="44.1" customHeight="1" outlineLevel="2" spans="1:10">
      <c r="A426" s="178"/>
      <c r="B426" s="185" t="s">
        <v>137</v>
      </c>
      <c r="C426" s="185" t="s">
        <v>373</v>
      </c>
      <c r="D426" s="178" t="s">
        <v>72</v>
      </c>
      <c r="E426" s="193">
        <v>0.883</v>
      </c>
      <c r="F426" s="187">
        <f>F425</f>
        <v>9000</v>
      </c>
      <c r="G426" s="189">
        <f>G425</f>
        <v>4600</v>
      </c>
      <c r="H426" s="188">
        <f t="shared" si="16"/>
        <v>7947</v>
      </c>
      <c r="I426" s="179"/>
      <c r="J426" s="191"/>
    </row>
    <row r="427" ht="54.95" customHeight="1" outlineLevel="2" spans="1:10">
      <c r="A427" s="178"/>
      <c r="B427" s="185" t="s">
        <v>162</v>
      </c>
      <c r="C427" s="185" t="s">
        <v>458</v>
      </c>
      <c r="D427" s="178" t="s">
        <v>39</v>
      </c>
      <c r="E427" s="186">
        <v>211.34</v>
      </c>
      <c r="F427" s="187">
        <v>143.24</v>
      </c>
      <c r="G427" s="187"/>
      <c r="H427" s="188">
        <f t="shared" si="16"/>
        <v>30272.3416</v>
      </c>
      <c r="I427" s="191"/>
      <c r="J427" s="191"/>
    </row>
    <row r="428" ht="30" customHeight="1" outlineLevel="2" spans="1:10">
      <c r="A428" s="178"/>
      <c r="B428" s="185" t="s">
        <v>163</v>
      </c>
      <c r="C428" s="185" t="s">
        <v>209</v>
      </c>
      <c r="D428" s="178" t="s">
        <v>81</v>
      </c>
      <c r="E428" s="186">
        <v>55.47</v>
      </c>
      <c r="F428" s="187">
        <f>F204</f>
        <v>57</v>
      </c>
      <c r="G428" s="187">
        <v>32</v>
      </c>
      <c r="H428" s="188">
        <f t="shared" si="16"/>
        <v>3161.79</v>
      </c>
      <c r="I428" s="191"/>
      <c r="J428" s="191"/>
    </row>
    <row r="429" ht="39.95" customHeight="1" outlineLevel="1" spans="1:10">
      <c r="A429" s="178">
        <v>4</v>
      </c>
      <c r="B429" s="185" t="s">
        <v>459</v>
      </c>
      <c r="C429" s="185"/>
      <c r="D429" s="178"/>
      <c r="E429" s="186"/>
      <c r="F429" s="187"/>
      <c r="G429" s="189"/>
      <c r="H429" s="188">
        <f t="shared" si="16"/>
        <v>0</v>
      </c>
      <c r="I429" s="179"/>
      <c r="J429" s="191"/>
    </row>
    <row r="430" ht="30.95" customHeight="1" outlineLevel="2" spans="1:10">
      <c r="A430" s="178"/>
      <c r="B430" s="185" t="s">
        <v>41</v>
      </c>
      <c r="C430" s="185" t="s">
        <v>109</v>
      </c>
      <c r="D430" s="178" t="s">
        <v>39</v>
      </c>
      <c r="E430" s="186">
        <v>1.89</v>
      </c>
      <c r="F430" s="187">
        <v>6</v>
      </c>
      <c r="G430" s="189"/>
      <c r="H430" s="188">
        <f t="shared" si="16"/>
        <v>11.34</v>
      </c>
      <c r="I430" s="179"/>
      <c r="J430" s="191"/>
    </row>
    <row r="431" ht="30.95" customHeight="1" outlineLevel="2" spans="1:10">
      <c r="A431" s="178"/>
      <c r="B431" s="185" t="s">
        <v>44</v>
      </c>
      <c r="C431" s="185" t="s">
        <v>67</v>
      </c>
      <c r="D431" s="178" t="s">
        <v>46</v>
      </c>
      <c r="E431" s="186">
        <v>0.19</v>
      </c>
      <c r="F431" s="187">
        <v>600</v>
      </c>
      <c r="G431" s="189">
        <v>160</v>
      </c>
      <c r="H431" s="188">
        <f t="shared" si="16"/>
        <v>114</v>
      </c>
      <c r="I431" s="179"/>
      <c r="J431" s="191"/>
    </row>
    <row r="432" ht="51" customHeight="1" outlineLevel="2" spans="1:10">
      <c r="A432" s="178"/>
      <c r="B432" s="185" t="s">
        <v>460</v>
      </c>
      <c r="C432" s="185" t="s">
        <v>461</v>
      </c>
      <c r="D432" s="178" t="s">
        <v>39</v>
      </c>
      <c r="E432" s="186">
        <v>1.89</v>
      </c>
      <c r="F432" s="187">
        <v>500</v>
      </c>
      <c r="G432" s="189">
        <v>520</v>
      </c>
      <c r="H432" s="188">
        <f t="shared" si="16"/>
        <v>945</v>
      </c>
      <c r="I432" s="179"/>
      <c r="J432" s="191"/>
    </row>
    <row r="433" ht="39.95" customHeight="1" outlineLevel="2" spans="1:10">
      <c r="A433" s="178"/>
      <c r="B433" s="185" t="s">
        <v>462</v>
      </c>
      <c r="C433" s="185" t="s">
        <v>463</v>
      </c>
      <c r="D433" s="178" t="s">
        <v>39</v>
      </c>
      <c r="E433" s="186">
        <v>1.89</v>
      </c>
      <c r="F433" s="187">
        <v>352.7</v>
      </c>
      <c r="G433" s="189">
        <v>145</v>
      </c>
      <c r="H433" s="188">
        <f t="shared" si="16"/>
        <v>666.603</v>
      </c>
      <c r="I433" s="179"/>
      <c r="J433" s="191"/>
    </row>
    <row r="434" ht="33" customHeight="1" outlineLevel="2" spans="1:10">
      <c r="A434" s="178"/>
      <c r="B434" s="185" t="s">
        <v>462</v>
      </c>
      <c r="C434" s="185" t="s">
        <v>464</v>
      </c>
      <c r="D434" s="178" t="s">
        <v>39</v>
      </c>
      <c r="E434" s="186">
        <v>0.81</v>
      </c>
      <c r="F434" s="187">
        <v>319.47</v>
      </c>
      <c r="G434" s="189">
        <v>125</v>
      </c>
      <c r="H434" s="188">
        <f t="shared" si="16"/>
        <v>258.7707</v>
      </c>
      <c r="I434" s="179"/>
      <c r="J434" s="191"/>
    </row>
    <row r="435" ht="30" customHeight="1" outlineLevel="1" collapsed="1" spans="1:10">
      <c r="A435" s="178">
        <v>5</v>
      </c>
      <c r="B435" s="185" t="s">
        <v>465</v>
      </c>
      <c r="C435" s="185"/>
      <c r="D435" s="178"/>
      <c r="E435" s="186"/>
      <c r="F435" s="187"/>
      <c r="G435" s="189"/>
      <c r="H435" s="188">
        <f t="shared" si="16"/>
        <v>0</v>
      </c>
      <c r="I435" s="179"/>
      <c r="J435" s="191"/>
    </row>
    <row r="436" ht="39.95" customHeight="1" outlineLevel="1" spans="1:10">
      <c r="A436" s="178"/>
      <c r="B436" s="185" t="s">
        <v>93</v>
      </c>
      <c r="C436" s="185" t="s">
        <v>94</v>
      </c>
      <c r="D436" s="178" t="s">
        <v>46</v>
      </c>
      <c r="E436" s="186">
        <v>31.81</v>
      </c>
      <c r="F436" s="187">
        <v>30</v>
      </c>
      <c r="G436" s="189"/>
      <c r="H436" s="188">
        <f t="shared" si="16"/>
        <v>954.3</v>
      </c>
      <c r="I436" s="179"/>
      <c r="J436" s="191"/>
    </row>
    <row r="437" ht="39.95" customHeight="1" outlineLevel="1" spans="1:10">
      <c r="A437" s="178"/>
      <c r="B437" s="185" t="s">
        <v>41</v>
      </c>
      <c r="C437" s="185" t="s">
        <v>109</v>
      </c>
      <c r="D437" s="178" t="s">
        <v>39</v>
      </c>
      <c r="E437" s="186">
        <v>44.29</v>
      </c>
      <c r="F437" s="187">
        <v>6</v>
      </c>
      <c r="G437" s="189"/>
      <c r="H437" s="188">
        <f t="shared" si="16"/>
        <v>265.74</v>
      </c>
      <c r="I437" s="179"/>
      <c r="J437" s="191"/>
    </row>
    <row r="438" ht="33.95" customHeight="1" outlineLevel="1" spans="1:10">
      <c r="A438" s="178"/>
      <c r="B438" s="185" t="s">
        <v>44</v>
      </c>
      <c r="C438" s="185" t="s">
        <v>466</v>
      </c>
      <c r="D438" s="178" t="s">
        <v>46</v>
      </c>
      <c r="E438" s="186">
        <v>4.47</v>
      </c>
      <c r="F438" s="187">
        <v>600</v>
      </c>
      <c r="G438" s="189">
        <v>160</v>
      </c>
      <c r="H438" s="188">
        <f t="shared" si="16"/>
        <v>2682</v>
      </c>
      <c r="I438" s="179"/>
      <c r="J438" s="191"/>
    </row>
    <row r="439" ht="51" customHeight="1" outlineLevel="1" spans="1:10">
      <c r="A439" s="178"/>
      <c r="B439" s="185" t="s">
        <v>47</v>
      </c>
      <c r="C439" s="185" t="s">
        <v>467</v>
      </c>
      <c r="D439" s="178" t="s">
        <v>46</v>
      </c>
      <c r="E439" s="186">
        <v>2.19</v>
      </c>
      <c r="F439" s="187">
        <v>1000</v>
      </c>
      <c r="G439" s="189">
        <v>495</v>
      </c>
      <c r="H439" s="188">
        <f t="shared" si="16"/>
        <v>2190</v>
      </c>
      <c r="I439" s="179"/>
      <c r="J439" s="191"/>
    </row>
    <row r="440" ht="51" customHeight="1" outlineLevel="1" spans="1:10">
      <c r="A440" s="178"/>
      <c r="B440" s="185" t="s">
        <v>95</v>
      </c>
      <c r="C440" s="185" t="s">
        <v>132</v>
      </c>
      <c r="D440" s="178" t="s">
        <v>46</v>
      </c>
      <c r="E440" s="186">
        <v>6.02</v>
      </c>
      <c r="F440" s="187">
        <v>635.73</v>
      </c>
      <c r="G440" s="189">
        <v>480</v>
      </c>
      <c r="H440" s="188">
        <f t="shared" si="16"/>
        <v>3827.0946</v>
      </c>
      <c r="I440" s="179"/>
      <c r="J440" s="191"/>
    </row>
    <row r="441" ht="27.95" customHeight="1" outlineLevel="1" spans="1:10">
      <c r="A441" s="178"/>
      <c r="B441" s="185" t="s">
        <v>114</v>
      </c>
      <c r="C441" s="185" t="s">
        <v>115</v>
      </c>
      <c r="D441" s="178" t="s">
        <v>39</v>
      </c>
      <c r="E441" s="186">
        <f>39.18*0.24</f>
        <v>9.4032</v>
      </c>
      <c r="F441" s="187">
        <v>62.87</v>
      </c>
      <c r="G441" s="189"/>
      <c r="H441" s="188">
        <f t="shared" si="16"/>
        <v>591.179184</v>
      </c>
      <c r="I441" s="179"/>
      <c r="J441" s="191"/>
    </row>
    <row r="442" ht="48" customHeight="1" outlineLevel="1" spans="1:10">
      <c r="A442" s="178"/>
      <c r="B442" s="185" t="s">
        <v>234</v>
      </c>
      <c r="C442" s="185" t="s">
        <v>48</v>
      </c>
      <c r="D442" s="178" t="s">
        <v>46</v>
      </c>
      <c r="E442" s="186">
        <v>0.94</v>
      </c>
      <c r="F442" s="187">
        <v>989.14</v>
      </c>
      <c r="G442" s="189">
        <v>520</v>
      </c>
      <c r="H442" s="188">
        <f t="shared" si="16"/>
        <v>929.7916</v>
      </c>
      <c r="I442" s="179"/>
      <c r="J442" s="191"/>
    </row>
    <row r="443" ht="44.1" customHeight="1" outlineLevel="1" spans="1:10">
      <c r="A443" s="178"/>
      <c r="B443" s="185" t="s">
        <v>137</v>
      </c>
      <c r="C443" s="185" t="s">
        <v>205</v>
      </c>
      <c r="D443" s="178" t="s">
        <v>72</v>
      </c>
      <c r="E443" s="193">
        <f>0.041</f>
        <v>0.041</v>
      </c>
      <c r="F443" s="187">
        <v>9000</v>
      </c>
      <c r="G443" s="189">
        <v>4600</v>
      </c>
      <c r="H443" s="188">
        <f t="shared" si="16"/>
        <v>369</v>
      </c>
      <c r="I443" s="179"/>
      <c r="J443" s="191"/>
    </row>
    <row r="444" ht="39.95" customHeight="1" outlineLevel="1" spans="1:10">
      <c r="A444" s="178"/>
      <c r="B444" s="185" t="s">
        <v>468</v>
      </c>
      <c r="C444" s="185" t="s">
        <v>469</v>
      </c>
      <c r="D444" s="178" t="s">
        <v>39</v>
      </c>
      <c r="E444" s="186">
        <v>11.75</v>
      </c>
      <c r="F444" s="187">
        <v>223.42</v>
      </c>
      <c r="G444" s="189">
        <v>145</v>
      </c>
      <c r="H444" s="188">
        <f t="shared" si="16"/>
        <v>2625.185</v>
      </c>
      <c r="I444" s="179"/>
      <c r="J444" s="191"/>
    </row>
    <row r="445" ht="33" customHeight="1" outlineLevel="1" spans="1:10">
      <c r="A445" s="178"/>
      <c r="B445" s="185" t="s">
        <v>470</v>
      </c>
      <c r="C445" s="185" t="s">
        <v>471</v>
      </c>
      <c r="D445" s="178" t="s">
        <v>39</v>
      </c>
      <c r="E445" s="186">
        <v>16.28</v>
      </c>
      <c r="F445" s="187">
        <v>249.05</v>
      </c>
      <c r="G445" s="189">
        <v>115</v>
      </c>
      <c r="H445" s="188">
        <f t="shared" si="16"/>
        <v>4054.534</v>
      </c>
      <c r="I445" s="179"/>
      <c r="J445" s="191"/>
    </row>
    <row r="446" ht="21" customHeight="1" spans="1:10">
      <c r="A446" s="178" t="s">
        <v>472</v>
      </c>
      <c r="B446" s="185" t="s">
        <v>473</v>
      </c>
      <c r="D446" s="178"/>
      <c r="E446" s="178"/>
      <c r="F446" s="187"/>
      <c r="G446" s="187"/>
      <c r="H446" s="188">
        <f t="shared" si="16"/>
        <v>0</v>
      </c>
      <c r="I446" s="179"/>
      <c r="J446" s="191"/>
    </row>
    <row r="447" ht="39.95" customHeight="1" outlineLevel="1" spans="1:10">
      <c r="A447" s="178"/>
      <c r="B447" s="185" t="s">
        <v>93</v>
      </c>
      <c r="C447" s="185" t="s">
        <v>94</v>
      </c>
      <c r="D447" s="178" t="s">
        <v>46</v>
      </c>
      <c r="E447" s="186">
        <v>30.18</v>
      </c>
      <c r="F447" s="187">
        <v>30</v>
      </c>
      <c r="G447" s="189"/>
      <c r="H447" s="188">
        <f t="shared" si="16"/>
        <v>905.4</v>
      </c>
      <c r="I447" s="179"/>
      <c r="J447" s="191"/>
    </row>
    <row r="448" ht="20.1" customHeight="1" outlineLevel="1" spans="1:10">
      <c r="A448" s="178"/>
      <c r="B448" s="185" t="s">
        <v>188</v>
      </c>
      <c r="C448" s="185" t="s">
        <v>453</v>
      </c>
      <c r="D448" s="178" t="s">
        <v>46</v>
      </c>
      <c r="E448" s="186">
        <v>26.57</v>
      </c>
      <c r="F448" s="187">
        <v>10</v>
      </c>
      <c r="G448" s="189"/>
      <c r="H448" s="188">
        <f t="shared" si="16"/>
        <v>265.7</v>
      </c>
      <c r="I448" s="179"/>
      <c r="J448" s="191"/>
    </row>
    <row r="449" ht="45" customHeight="1" outlineLevel="1" spans="1:10">
      <c r="A449" s="178"/>
      <c r="B449" s="185" t="s">
        <v>385</v>
      </c>
      <c r="C449" s="185" t="s">
        <v>474</v>
      </c>
      <c r="D449" s="178" t="s">
        <v>46</v>
      </c>
      <c r="E449" s="186">
        <v>1.81</v>
      </c>
      <c r="F449" s="187">
        <v>1217.21</v>
      </c>
      <c r="G449" s="187">
        <v>550</v>
      </c>
      <c r="H449" s="188">
        <f t="shared" si="16"/>
        <v>2203.1501</v>
      </c>
      <c r="I449" s="179"/>
      <c r="J449" s="191"/>
    </row>
    <row r="450" ht="51" customHeight="1" outlineLevel="1" spans="1:10">
      <c r="A450" s="178"/>
      <c r="B450" s="185" t="s">
        <v>47</v>
      </c>
      <c r="C450" s="185" t="s">
        <v>55</v>
      </c>
      <c r="D450" s="178" t="s">
        <v>46</v>
      </c>
      <c r="E450" s="186">
        <v>1.01</v>
      </c>
      <c r="F450" s="187">
        <v>1000</v>
      </c>
      <c r="G450" s="187">
        <v>520</v>
      </c>
      <c r="H450" s="188">
        <f t="shared" si="16"/>
        <v>1010</v>
      </c>
      <c r="I450" s="179"/>
      <c r="J450" s="191"/>
    </row>
    <row r="451" ht="54.95" customHeight="1" outlineLevel="1" spans="1:10">
      <c r="A451" s="178"/>
      <c r="B451" s="185" t="s">
        <v>199</v>
      </c>
      <c r="C451" s="185" t="s">
        <v>200</v>
      </c>
      <c r="D451" s="178" t="s">
        <v>46</v>
      </c>
      <c r="E451" s="186">
        <v>0.79</v>
      </c>
      <c r="F451" s="187">
        <v>1455.74</v>
      </c>
      <c r="G451" s="187">
        <v>550</v>
      </c>
      <c r="H451" s="188">
        <f t="shared" si="16"/>
        <v>1150.0346</v>
      </c>
      <c r="I451" s="191"/>
      <c r="J451" s="191"/>
    </row>
    <row r="452" ht="54.95" customHeight="1" outlineLevel="1" spans="1:10">
      <c r="A452" s="178"/>
      <c r="B452" s="185" t="s">
        <v>475</v>
      </c>
      <c r="C452" s="185" t="s">
        <v>476</v>
      </c>
      <c r="D452" s="178" t="s">
        <v>46</v>
      </c>
      <c r="E452" s="186">
        <v>0.3</v>
      </c>
      <c r="F452" s="187">
        <v>1000</v>
      </c>
      <c r="G452" s="187">
        <v>550</v>
      </c>
      <c r="H452" s="188">
        <f t="shared" si="16"/>
        <v>300</v>
      </c>
      <c r="I452" s="191"/>
      <c r="J452" s="191"/>
    </row>
    <row r="453" ht="33.95" customHeight="1" outlineLevel="1" spans="1:10">
      <c r="A453" s="178"/>
      <c r="B453" s="185" t="s">
        <v>286</v>
      </c>
      <c r="C453" s="185" t="s">
        <v>477</v>
      </c>
      <c r="D453" s="178" t="s">
        <v>72</v>
      </c>
      <c r="E453" s="193">
        <f>0.116+0.08</f>
        <v>0.196</v>
      </c>
      <c r="F453" s="187">
        <v>11338.8</v>
      </c>
      <c r="G453" s="187"/>
      <c r="H453" s="188">
        <f t="shared" si="16"/>
        <v>2222.4048</v>
      </c>
      <c r="I453" s="179"/>
      <c r="J453" s="191"/>
    </row>
    <row r="454" ht="44.1" customHeight="1" outlineLevel="1" spans="1:10">
      <c r="A454" s="178"/>
      <c r="B454" s="185" t="s">
        <v>478</v>
      </c>
      <c r="C454" s="185" t="s">
        <v>479</v>
      </c>
      <c r="D454" s="178" t="s">
        <v>72</v>
      </c>
      <c r="E454" s="193">
        <v>0.166</v>
      </c>
      <c r="F454" s="187">
        <v>9000</v>
      </c>
      <c r="G454" s="189">
        <v>4600</v>
      </c>
      <c r="H454" s="188">
        <f t="shared" si="16"/>
        <v>1494</v>
      </c>
      <c r="I454" s="179"/>
      <c r="J454" s="191"/>
    </row>
    <row r="455" ht="33" customHeight="1" outlineLevel="1" spans="1:10">
      <c r="A455" s="178"/>
      <c r="B455" s="185" t="s">
        <v>480</v>
      </c>
      <c r="C455" s="185" t="s">
        <v>481</v>
      </c>
      <c r="D455" s="178" t="s">
        <v>72</v>
      </c>
      <c r="E455" s="193">
        <v>0.785</v>
      </c>
      <c r="F455" s="187">
        <v>9700</v>
      </c>
      <c r="G455" s="187">
        <v>6400</v>
      </c>
      <c r="H455" s="188">
        <f t="shared" si="16"/>
        <v>7614.5</v>
      </c>
      <c r="I455" s="179"/>
      <c r="J455" s="191"/>
    </row>
    <row r="456" ht="33" customHeight="1" outlineLevel="1" spans="1:10">
      <c r="A456" s="178"/>
      <c r="B456" s="185" t="s">
        <v>394</v>
      </c>
      <c r="C456" s="185" t="s">
        <v>482</v>
      </c>
      <c r="D456" s="178" t="s">
        <v>72</v>
      </c>
      <c r="E456" s="193">
        <v>0.697</v>
      </c>
      <c r="F456" s="187">
        <v>11036.38</v>
      </c>
      <c r="G456" s="187">
        <f>G455</f>
        <v>6400</v>
      </c>
      <c r="H456" s="188">
        <f t="shared" si="16"/>
        <v>7692.35686</v>
      </c>
      <c r="I456" s="179"/>
      <c r="J456" s="191"/>
    </row>
    <row r="457" ht="36" customHeight="1" outlineLevel="1" spans="1:10">
      <c r="A457" s="178"/>
      <c r="B457" s="185" t="s">
        <v>398</v>
      </c>
      <c r="C457" s="185" t="s">
        <v>483</v>
      </c>
      <c r="D457" s="178" t="s">
        <v>72</v>
      </c>
      <c r="E457" s="193">
        <v>0.135</v>
      </c>
      <c r="F457" s="187">
        <v>9700</v>
      </c>
      <c r="G457" s="187">
        <f>G456</f>
        <v>6400</v>
      </c>
      <c r="H457" s="188">
        <f t="shared" si="16"/>
        <v>1309.5</v>
      </c>
      <c r="I457" s="179"/>
      <c r="J457" s="191"/>
    </row>
    <row r="458" ht="51.95" customHeight="1" outlineLevel="1" spans="1:10">
      <c r="A458" s="178"/>
      <c r="B458" s="185" t="s">
        <v>484</v>
      </c>
      <c r="C458" s="185" t="s">
        <v>485</v>
      </c>
      <c r="D458" s="178" t="s">
        <v>39</v>
      </c>
      <c r="E458" s="178">
        <v>57.1</v>
      </c>
      <c r="F458" s="187">
        <v>536.42</v>
      </c>
      <c r="G458" s="187">
        <v>245</v>
      </c>
      <c r="H458" s="188">
        <f t="shared" ref="H458:H521" si="17">E458*F458</f>
        <v>30629.582</v>
      </c>
      <c r="I458" s="179"/>
      <c r="J458" s="191"/>
    </row>
    <row r="459" ht="33.95" customHeight="1" outlineLevel="1" spans="1:10">
      <c r="A459" s="178"/>
      <c r="B459" s="185" t="s">
        <v>486</v>
      </c>
      <c r="C459" s="185" t="s">
        <v>487</v>
      </c>
      <c r="D459" s="178" t="s">
        <v>39</v>
      </c>
      <c r="E459" s="178">
        <v>13.69</v>
      </c>
      <c r="F459" s="187">
        <v>210</v>
      </c>
      <c r="G459" s="187">
        <v>105</v>
      </c>
      <c r="H459" s="188">
        <f t="shared" si="17"/>
        <v>2874.9</v>
      </c>
      <c r="I459" s="179"/>
      <c r="J459" s="191"/>
    </row>
    <row r="460" ht="39.95" customHeight="1" outlineLevel="1" spans="1:10">
      <c r="A460" s="178"/>
      <c r="B460" s="185" t="s">
        <v>488</v>
      </c>
      <c r="C460" s="185" t="s">
        <v>489</v>
      </c>
      <c r="D460" s="178" t="s">
        <v>39</v>
      </c>
      <c r="E460" s="178">
        <v>1.96</v>
      </c>
      <c r="F460" s="187">
        <v>210</v>
      </c>
      <c r="G460" s="187">
        <v>85</v>
      </c>
      <c r="H460" s="188">
        <f t="shared" si="17"/>
        <v>411.6</v>
      </c>
      <c r="I460" s="179"/>
      <c r="J460" s="191"/>
    </row>
    <row r="461" ht="33.95" customHeight="1" outlineLevel="1" spans="1:10">
      <c r="A461" s="178"/>
      <c r="B461" s="185" t="s">
        <v>490</v>
      </c>
      <c r="C461" s="185" t="s">
        <v>491</v>
      </c>
      <c r="D461" s="178" t="s">
        <v>39</v>
      </c>
      <c r="E461" s="178">
        <v>2.34</v>
      </c>
      <c r="F461" s="187">
        <v>185.28</v>
      </c>
      <c r="G461" s="187">
        <v>105</v>
      </c>
      <c r="H461" s="188">
        <f t="shared" si="17"/>
        <v>433.5552</v>
      </c>
      <c r="I461" s="179"/>
      <c r="J461" s="191"/>
    </row>
    <row r="462" ht="30.95" customHeight="1" outlineLevel="1" spans="1:10">
      <c r="A462" s="178"/>
      <c r="B462" s="185" t="s">
        <v>492</v>
      </c>
      <c r="C462" s="185" t="s">
        <v>54</v>
      </c>
      <c r="D462" s="178" t="s">
        <v>39</v>
      </c>
      <c r="E462" s="178">
        <v>18.54</v>
      </c>
      <c r="F462" s="187">
        <v>6</v>
      </c>
      <c r="G462" s="187"/>
      <c r="H462" s="188">
        <f t="shared" si="17"/>
        <v>111.24</v>
      </c>
      <c r="I462" s="179"/>
      <c r="J462" s="191"/>
    </row>
    <row r="463" ht="30.95" customHeight="1" outlineLevel="1" spans="1:10">
      <c r="A463" s="178"/>
      <c r="B463" s="185" t="s">
        <v>44</v>
      </c>
      <c r="C463" s="185" t="s">
        <v>45</v>
      </c>
      <c r="D463" s="178" t="s">
        <v>46</v>
      </c>
      <c r="E463" s="186">
        <f>E462*0.08</f>
        <v>1.4832</v>
      </c>
      <c r="F463" s="187">
        <v>600</v>
      </c>
      <c r="G463" s="187">
        <v>160</v>
      </c>
      <c r="H463" s="188">
        <f t="shared" si="17"/>
        <v>889.92</v>
      </c>
      <c r="I463" s="179"/>
      <c r="J463" s="191"/>
    </row>
    <row r="464" ht="48.95" customHeight="1" outlineLevel="1" spans="1:10">
      <c r="A464" s="178"/>
      <c r="B464" s="185" t="s">
        <v>47</v>
      </c>
      <c r="C464" s="185" t="s">
        <v>55</v>
      </c>
      <c r="D464" s="178" t="s">
        <v>46</v>
      </c>
      <c r="E464" s="178">
        <v>1.85</v>
      </c>
      <c r="F464" s="187">
        <f>F450</f>
        <v>1000</v>
      </c>
      <c r="G464" s="187">
        <f>G450</f>
        <v>520</v>
      </c>
      <c r="H464" s="188">
        <f t="shared" si="17"/>
        <v>1850</v>
      </c>
      <c r="I464" s="179"/>
      <c r="J464" s="191"/>
    </row>
    <row r="465" ht="33.95" customHeight="1" outlineLevel="1" spans="1:10">
      <c r="A465" s="178"/>
      <c r="B465" s="185" t="s">
        <v>490</v>
      </c>
      <c r="C465" s="185" t="s">
        <v>128</v>
      </c>
      <c r="D465" s="178" t="s">
        <v>39</v>
      </c>
      <c r="E465" s="178">
        <v>0.54</v>
      </c>
      <c r="F465" s="187">
        <v>320.56</v>
      </c>
      <c r="G465" s="187">
        <v>195</v>
      </c>
      <c r="H465" s="188">
        <f t="shared" si="17"/>
        <v>173.1024</v>
      </c>
      <c r="I465" s="179"/>
      <c r="J465" s="191"/>
    </row>
    <row r="466" ht="33.95" customHeight="1" outlineLevel="1" spans="1:10">
      <c r="A466" s="178"/>
      <c r="B466" s="185" t="s">
        <v>493</v>
      </c>
      <c r="C466" s="185" t="s">
        <v>494</v>
      </c>
      <c r="D466" s="178" t="s">
        <v>39</v>
      </c>
      <c r="E466" s="178">
        <v>3.13</v>
      </c>
      <c r="F466" s="187">
        <f>F465</f>
        <v>320.56</v>
      </c>
      <c r="G466" s="187">
        <f>G465</f>
        <v>195</v>
      </c>
      <c r="H466" s="188">
        <f t="shared" si="17"/>
        <v>1003.3528</v>
      </c>
      <c r="I466" s="179"/>
      <c r="J466" s="191"/>
    </row>
    <row r="467" ht="48" customHeight="1" outlineLevel="1" spans="1:10">
      <c r="A467" s="178"/>
      <c r="B467" s="185" t="s">
        <v>495</v>
      </c>
      <c r="C467" s="185" t="s">
        <v>132</v>
      </c>
      <c r="D467" s="178" t="s">
        <v>46</v>
      </c>
      <c r="E467" s="178">
        <v>1.4</v>
      </c>
      <c r="F467" s="187">
        <v>635.73</v>
      </c>
      <c r="G467" s="187">
        <v>480</v>
      </c>
      <c r="H467" s="188">
        <f t="shared" si="17"/>
        <v>890.022</v>
      </c>
      <c r="I467" s="179"/>
      <c r="J467" s="191"/>
    </row>
    <row r="468" ht="26.1" customHeight="1" outlineLevel="1" spans="1:10">
      <c r="A468" s="178"/>
      <c r="B468" s="185" t="s">
        <v>193</v>
      </c>
      <c r="C468" s="185" t="s">
        <v>115</v>
      </c>
      <c r="D468" s="178" t="s">
        <v>39</v>
      </c>
      <c r="E468" s="186">
        <f>5.46*0.37</f>
        <v>2.0202</v>
      </c>
      <c r="F468" s="187">
        <v>62.87</v>
      </c>
      <c r="G468" s="189"/>
      <c r="H468" s="188">
        <f t="shared" si="17"/>
        <v>127.009974</v>
      </c>
      <c r="I468" s="179"/>
      <c r="J468" s="191"/>
    </row>
    <row r="469" ht="27" customHeight="1" outlineLevel="1" spans="1:10">
      <c r="A469" s="178"/>
      <c r="B469" s="185" t="s">
        <v>41</v>
      </c>
      <c r="C469" s="185" t="s">
        <v>54</v>
      </c>
      <c r="D469" s="178" t="s">
        <v>39</v>
      </c>
      <c r="E469" s="186">
        <f>0.89*5.46</f>
        <v>4.8594</v>
      </c>
      <c r="F469" s="187">
        <v>6</v>
      </c>
      <c r="G469" s="187"/>
      <c r="H469" s="188">
        <f t="shared" si="17"/>
        <v>29.1564</v>
      </c>
      <c r="I469" s="179"/>
      <c r="J469" s="191"/>
    </row>
    <row r="470" ht="27" customHeight="1" outlineLevel="1" spans="1:10">
      <c r="A470" s="178"/>
      <c r="B470" s="185" t="s">
        <v>44</v>
      </c>
      <c r="C470" s="185" t="s">
        <v>67</v>
      </c>
      <c r="D470" s="178" t="s">
        <v>46</v>
      </c>
      <c r="E470" s="178">
        <v>0.73</v>
      </c>
      <c r="F470" s="187">
        <f>F463</f>
        <v>600</v>
      </c>
      <c r="G470" s="187">
        <f>G463</f>
        <v>160</v>
      </c>
      <c r="H470" s="188">
        <f t="shared" si="17"/>
        <v>438</v>
      </c>
      <c r="I470" s="179"/>
      <c r="J470" s="191"/>
    </row>
    <row r="471" ht="45" customHeight="1" outlineLevel="1" spans="1:10">
      <c r="A471" s="178"/>
      <c r="B471" s="185" t="s">
        <v>47</v>
      </c>
      <c r="C471" s="185" t="s">
        <v>55</v>
      </c>
      <c r="D471" s="178" t="s">
        <v>46</v>
      </c>
      <c r="E471" s="178">
        <v>0.38</v>
      </c>
      <c r="F471" s="187">
        <f>F464</f>
        <v>1000</v>
      </c>
      <c r="G471" s="187">
        <f>G464</f>
        <v>520</v>
      </c>
      <c r="H471" s="188">
        <f t="shared" si="17"/>
        <v>380</v>
      </c>
      <c r="I471" s="179"/>
      <c r="J471" s="191"/>
    </row>
    <row r="472" ht="27.95" customHeight="1" spans="1:10">
      <c r="A472" s="178" t="s">
        <v>496</v>
      </c>
      <c r="B472" s="185" t="s">
        <v>497</v>
      </c>
      <c r="C472" s="185"/>
      <c r="D472" s="178"/>
      <c r="E472" s="178"/>
      <c r="F472" s="187"/>
      <c r="G472" s="189"/>
      <c r="H472" s="188">
        <f t="shared" si="17"/>
        <v>0</v>
      </c>
      <c r="I472" s="179"/>
      <c r="J472" s="191"/>
    </row>
    <row r="473" ht="23.1" customHeight="1" outlineLevel="1" spans="1:10">
      <c r="A473" s="178">
        <v>1</v>
      </c>
      <c r="B473" s="185" t="s">
        <v>498</v>
      </c>
      <c r="C473" s="185"/>
      <c r="D473" s="178"/>
      <c r="E473" s="178"/>
      <c r="F473" s="187"/>
      <c r="G473" s="189"/>
      <c r="H473" s="188">
        <f t="shared" si="17"/>
        <v>0</v>
      </c>
      <c r="I473" s="179"/>
      <c r="J473" s="191"/>
    </row>
    <row r="474" ht="29.1" customHeight="1" outlineLevel="2" spans="1:10">
      <c r="A474" s="178"/>
      <c r="B474" s="185" t="s">
        <v>41</v>
      </c>
      <c r="C474" s="185" t="s">
        <v>54</v>
      </c>
      <c r="D474" s="178" t="s">
        <v>39</v>
      </c>
      <c r="E474" s="178">
        <v>680.52</v>
      </c>
      <c r="F474" s="187">
        <v>6</v>
      </c>
      <c r="G474" s="189"/>
      <c r="H474" s="188">
        <f t="shared" si="17"/>
        <v>4083.12</v>
      </c>
      <c r="I474" s="179"/>
      <c r="J474" s="191"/>
    </row>
    <row r="475" ht="29.1" customHeight="1" outlineLevel="2" spans="1:10">
      <c r="A475" s="178"/>
      <c r="B475" s="185" t="s">
        <v>44</v>
      </c>
      <c r="C475" s="185" t="s">
        <v>45</v>
      </c>
      <c r="D475" s="178" t="s">
        <v>46</v>
      </c>
      <c r="E475" s="186">
        <f>680.52*0.08</f>
        <v>54.4416</v>
      </c>
      <c r="F475" s="187">
        <f>F470</f>
        <v>600</v>
      </c>
      <c r="G475" s="187">
        <f>G470</f>
        <v>160</v>
      </c>
      <c r="H475" s="188">
        <f t="shared" si="17"/>
        <v>32664.96</v>
      </c>
      <c r="I475" s="179"/>
      <c r="J475" s="191"/>
    </row>
    <row r="476" ht="48.95" customHeight="1" outlineLevel="2" spans="1:10">
      <c r="A476" s="178"/>
      <c r="B476" s="185" t="s">
        <v>47</v>
      </c>
      <c r="C476" s="185" t="s">
        <v>55</v>
      </c>
      <c r="D476" s="178" t="s">
        <v>46</v>
      </c>
      <c r="E476" s="186">
        <f>680.52*0.1</f>
        <v>68.052</v>
      </c>
      <c r="F476" s="187">
        <f>F471</f>
        <v>1000</v>
      </c>
      <c r="G476" s="187">
        <f>G471</f>
        <v>520</v>
      </c>
      <c r="H476" s="188">
        <f t="shared" si="17"/>
        <v>68052</v>
      </c>
      <c r="I476" s="179"/>
      <c r="J476" s="191"/>
    </row>
    <row r="477" ht="32.1" customHeight="1" outlineLevel="2" spans="1:10">
      <c r="A477" s="178"/>
      <c r="B477" s="185" t="s">
        <v>499</v>
      </c>
      <c r="C477" s="185" t="s">
        <v>500</v>
      </c>
      <c r="D477" s="178" t="s">
        <v>39</v>
      </c>
      <c r="E477" s="186">
        <v>621.93</v>
      </c>
      <c r="F477" s="187">
        <v>180.01</v>
      </c>
      <c r="G477" s="189"/>
      <c r="H477" s="188">
        <f t="shared" si="17"/>
        <v>111953.6193</v>
      </c>
      <c r="I477" s="179"/>
      <c r="J477" s="191"/>
    </row>
    <row r="478" ht="32.1" customHeight="1" outlineLevel="2" spans="1:10">
      <c r="A478" s="178"/>
      <c r="B478" s="185" t="s">
        <v>501</v>
      </c>
      <c r="C478" s="185" t="s">
        <v>502</v>
      </c>
      <c r="D478" s="178" t="s">
        <v>39</v>
      </c>
      <c r="E478" s="186">
        <v>58.59</v>
      </c>
      <c r="F478" s="187">
        <v>210</v>
      </c>
      <c r="G478" s="189">
        <v>85</v>
      </c>
      <c r="H478" s="188">
        <f t="shared" si="17"/>
        <v>12303.9</v>
      </c>
      <c r="I478" s="179"/>
      <c r="J478" s="191"/>
    </row>
    <row r="479" ht="32.1" customHeight="1" outlineLevel="2" spans="1:10">
      <c r="A479" s="178"/>
      <c r="B479" s="185" t="s">
        <v>503</v>
      </c>
      <c r="C479" s="185" t="s">
        <v>504</v>
      </c>
      <c r="D479" s="178" t="s">
        <v>505</v>
      </c>
      <c r="E479" s="186">
        <v>1</v>
      </c>
      <c r="F479" s="187">
        <v>4000</v>
      </c>
      <c r="G479" s="189"/>
      <c r="H479" s="188">
        <f t="shared" si="17"/>
        <v>4000</v>
      </c>
      <c r="I479" s="179"/>
      <c r="J479" s="191"/>
    </row>
    <row r="480" ht="32.1" customHeight="1" outlineLevel="2" spans="1:10">
      <c r="A480" s="178"/>
      <c r="B480" s="185" t="s">
        <v>506</v>
      </c>
      <c r="C480" s="185" t="s">
        <v>504</v>
      </c>
      <c r="D480" s="178" t="s">
        <v>505</v>
      </c>
      <c r="E480" s="186">
        <v>1</v>
      </c>
      <c r="F480" s="187">
        <v>3000</v>
      </c>
      <c r="G480" s="189"/>
      <c r="H480" s="188">
        <f t="shared" si="17"/>
        <v>3000</v>
      </c>
      <c r="I480" s="179"/>
      <c r="J480" s="191"/>
    </row>
    <row r="481" ht="32.1" customHeight="1" outlineLevel="2" spans="1:10">
      <c r="A481" s="178"/>
      <c r="B481" s="185" t="s">
        <v>507</v>
      </c>
      <c r="C481" s="185" t="s">
        <v>504</v>
      </c>
      <c r="D481" s="178" t="s">
        <v>505</v>
      </c>
      <c r="E481" s="186">
        <v>1</v>
      </c>
      <c r="F481" s="187">
        <v>2000</v>
      </c>
      <c r="G481" s="189"/>
      <c r="H481" s="188">
        <f t="shared" si="17"/>
        <v>2000</v>
      </c>
      <c r="I481" s="179"/>
      <c r="J481" s="191"/>
    </row>
    <row r="482" ht="32.1" customHeight="1" outlineLevel="2" spans="1:10">
      <c r="A482" s="178"/>
      <c r="B482" s="185" t="s">
        <v>508</v>
      </c>
      <c r="C482" s="185" t="s">
        <v>504</v>
      </c>
      <c r="D482" s="178" t="s">
        <v>505</v>
      </c>
      <c r="E482" s="186">
        <v>1</v>
      </c>
      <c r="F482" s="187">
        <v>3000</v>
      </c>
      <c r="G482" s="189"/>
      <c r="H482" s="188">
        <f t="shared" si="17"/>
        <v>3000</v>
      </c>
      <c r="I482" s="179"/>
      <c r="J482" s="191"/>
    </row>
    <row r="483" ht="32.1" customHeight="1" outlineLevel="2" spans="1:10">
      <c r="A483" s="178"/>
      <c r="B483" s="185" t="s">
        <v>509</v>
      </c>
      <c r="C483" s="185" t="s">
        <v>504</v>
      </c>
      <c r="D483" s="178" t="s">
        <v>505</v>
      </c>
      <c r="E483" s="186">
        <v>1</v>
      </c>
      <c r="F483" s="187">
        <v>2000</v>
      </c>
      <c r="G483" s="189"/>
      <c r="H483" s="188">
        <f t="shared" si="17"/>
        <v>2000</v>
      </c>
      <c r="I483" s="179"/>
      <c r="J483" s="191"/>
    </row>
    <row r="484" ht="32.1" customHeight="1" outlineLevel="2" spans="1:10">
      <c r="A484" s="178"/>
      <c r="B484" s="185" t="s">
        <v>510</v>
      </c>
      <c r="C484" s="185" t="s">
        <v>504</v>
      </c>
      <c r="D484" s="178" t="s">
        <v>505</v>
      </c>
      <c r="E484" s="186">
        <v>1</v>
      </c>
      <c r="F484" s="187">
        <v>2000</v>
      </c>
      <c r="G484" s="189"/>
      <c r="H484" s="188">
        <f t="shared" si="17"/>
        <v>2000</v>
      </c>
      <c r="I484" s="179"/>
      <c r="J484" s="191"/>
    </row>
    <row r="485" ht="32.1" customHeight="1" outlineLevel="2" spans="1:10">
      <c r="A485" s="178"/>
      <c r="B485" s="185" t="s">
        <v>511</v>
      </c>
      <c r="C485" s="185" t="s">
        <v>504</v>
      </c>
      <c r="D485" s="178" t="s">
        <v>505</v>
      </c>
      <c r="E485" s="186">
        <v>1</v>
      </c>
      <c r="F485" s="187">
        <v>2000</v>
      </c>
      <c r="G485" s="189"/>
      <c r="H485" s="188">
        <f t="shared" si="17"/>
        <v>2000</v>
      </c>
      <c r="I485" s="179"/>
      <c r="J485" s="191"/>
    </row>
    <row r="486" ht="32.1" customHeight="1" outlineLevel="2" spans="1:10">
      <c r="A486" s="178"/>
      <c r="B486" s="185" t="s">
        <v>512</v>
      </c>
      <c r="C486" s="185" t="s">
        <v>504</v>
      </c>
      <c r="D486" s="178" t="s">
        <v>505</v>
      </c>
      <c r="E486" s="186">
        <v>1</v>
      </c>
      <c r="F486" s="187">
        <v>2000</v>
      </c>
      <c r="G486" s="189"/>
      <c r="H486" s="188">
        <f t="shared" si="17"/>
        <v>2000</v>
      </c>
      <c r="I486" s="179"/>
      <c r="J486" s="191"/>
    </row>
    <row r="487" ht="32.1" customHeight="1" outlineLevel="2" spans="1:10">
      <c r="A487" s="178"/>
      <c r="B487" s="185" t="s">
        <v>513</v>
      </c>
      <c r="C487" s="185" t="s">
        <v>504</v>
      </c>
      <c r="D487" s="178" t="s">
        <v>505</v>
      </c>
      <c r="E487" s="186">
        <v>1</v>
      </c>
      <c r="F487" s="187">
        <v>2000</v>
      </c>
      <c r="G487" s="189"/>
      <c r="H487" s="188">
        <f t="shared" si="17"/>
        <v>2000</v>
      </c>
      <c r="I487" s="179"/>
      <c r="J487" s="191"/>
    </row>
    <row r="488" ht="27.95" customHeight="1" outlineLevel="1" spans="1:10">
      <c r="A488" s="178">
        <v>2</v>
      </c>
      <c r="B488" s="185" t="s">
        <v>514</v>
      </c>
      <c r="C488" s="200"/>
      <c r="D488" s="178"/>
      <c r="E488" s="178"/>
      <c r="F488" s="187"/>
      <c r="G488" s="189"/>
      <c r="H488" s="188">
        <f t="shared" si="17"/>
        <v>0</v>
      </c>
      <c r="I488" s="179"/>
      <c r="J488" s="191"/>
    </row>
    <row r="489" ht="32.1" customHeight="1" outlineLevel="2" spans="1:10">
      <c r="A489" s="178"/>
      <c r="B489" s="185" t="s">
        <v>41</v>
      </c>
      <c r="C489" s="185" t="s">
        <v>54</v>
      </c>
      <c r="D489" s="178" t="s">
        <v>39</v>
      </c>
      <c r="E489" s="186">
        <v>6.61</v>
      </c>
      <c r="F489" s="187">
        <v>6</v>
      </c>
      <c r="G489" s="189"/>
      <c r="H489" s="188">
        <f t="shared" si="17"/>
        <v>39.66</v>
      </c>
      <c r="I489" s="179"/>
      <c r="J489" s="191"/>
    </row>
    <row r="490" ht="27.95" customHeight="1" outlineLevel="2" spans="1:10">
      <c r="A490" s="178"/>
      <c r="B490" s="185" t="s">
        <v>44</v>
      </c>
      <c r="C490" s="185" t="s">
        <v>67</v>
      </c>
      <c r="D490" s="178" t="s">
        <v>46</v>
      </c>
      <c r="E490" s="186">
        <v>0.66</v>
      </c>
      <c r="F490" s="187">
        <f>F475</f>
        <v>600</v>
      </c>
      <c r="G490" s="187">
        <f>G475</f>
        <v>160</v>
      </c>
      <c r="H490" s="188">
        <f t="shared" si="17"/>
        <v>396</v>
      </c>
      <c r="I490" s="179"/>
      <c r="J490" s="191"/>
    </row>
    <row r="491" ht="45.95" customHeight="1" outlineLevel="2" spans="1:10">
      <c r="A491" s="178"/>
      <c r="B491" s="185" t="s">
        <v>47</v>
      </c>
      <c r="C491" s="185" t="s">
        <v>55</v>
      </c>
      <c r="D491" s="178" t="s">
        <v>46</v>
      </c>
      <c r="E491" s="186">
        <v>0.46</v>
      </c>
      <c r="F491" s="187">
        <f>F476</f>
        <v>1000</v>
      </c>
      <c r="G491" s="187">
        <f>G476</f>
        <v>520</v>
      </c>
      <c r="H491" s="188">
        <f t="shared" si="17"/>
        <v>460</v>
      </c>
      <c r="I491" s="179"/>
      <c r="J491" s="191"/>
    </row>
    <row r="492" ht="54.95" customHeight="1" outlineLevel="2" spans="1:10">
      <c r="A492" s="178"/>
      <c r="B492" s="185" t="s">
        <v>95</v>
      </c>
      <c r="C492" s="185" t="s">
        <v>132</v>
      </c>
      <c r="D492" s="178" t="s">
        <v>46</v>
      </c>
      <c r="E492" s="186">
        <f>1.79-0.44</f>
        <v>1.35</v>
      </c>
      <c r="F492" s="187">
        <v>635.73</v>
      </c>
      <c r="G492" s="189">
        <v>480</v>
      </c>
      <c r="H492" s="188">
        <f t="shared" si="17"/>
        <v>858.2355</v>
      </c>
      <c r="I492" s="179"/>
      <c r="J492" s="191"/>
    </row>
    <row r="493" ht="53.1" customHeight="1" outlineLevel="2" spans="1:10">
      <c r="A493" s="178"/>
      <c r="B493" s="185" t="s">
        <v>112</v>
      </c>
      <c r="C493" s="185" t="s">
        <v>113</v>
      </c>
      <c r="D493" s="178" t="s">
        <v>46</v>
      </c>
      <c r="E493" s="186">
        <f>0.275*0.24*6.67</f>
        <v>0.44022</v>
      </c>
      <c r="F493" s="187">
        <v>650.13</v>
      </c>
      <c r="G493" s="189">
        <v>480</v>
      </c>
      <c r="H493" s="188">
        <f t="shared" si="17"/>
        <v>286.2002286</v>
      </c>
      <c r="I493" s="179"/>
      <c r="J493" s="191"/>
    </row>
    <row r="494" ht="35.1" customHeight="1" outlineLevel="2" spans="1:10">
      <c r="A494" s="178"/>
      <c r="B494" s="185" t="s">
        <v>193</v>
      </c>
      <c r="C494" s="185" t="s">
        <v>115</v>
      </c>
      <c r="D494" s="178" t="s">
        <v>39</v>
      </c>
      <c r="E494" s="186">
        <f>0.24*6.67</f>
        <v>1.6008</v>
      </c>
      <c r="F494" s="187">
        <v>62.87</v>
      </c>
      <c r="G494" s="189"/>
      <c r="H494" s="188">
        <f t="shared" si="17"/>
        <v>100.642296</v>
      </c>
      <c r="I494" s="179"/>
      <c r="J494" s="191"/>
    </row>
    <row r="495" ht="48.95" customHeight="1" outlineLevel="2" spans="1:10">
      <c r="A495" s="178"/>
      <c r="B495" s="185" t="s">
        <v>234</v>
      </c>
      <c r="C495" s="185" t="s">
        <v>515</v>
      </c>
      <c r="D495" s="178" t="s">
        <v>46</v>
      </c>
      <c r="E495" s="186">
        <v>0.2</v>
      </c>
      <c r="F495" s="187">
        <v>989.18</v>
      </c>
      <c r="G495" s="187">
        <v>520</v>
      </c>
      <c r="H495" s="188">
        <f t="shared" si="17"/>
        <v>197.836</v>
      </c>
      <c r="I495" s="179"/>
      <c r="J495" s="191"/>
    </row>
    <row r="496" ht="44.1" customHeight="1" outlineLevel="2" spans="1:10">
      <c r="A496" s="178"/>
      <c r="B496" s="185" t="s">
        <v>478</v>
      </c>
      <c r="C496" s="185" t="s">
        <v>205</v>
      </c>
      <c r="D496" s="178" t="s">
        <v>72</v>
      </c>
      <c r="E496" s="193">
        <v>0.012</v>
      </c>
      <c r="F496" s="187">
        <v>9000</v>
      </c>
      <c r="G496" s="189">
        <v>4600</v>
      </c>
      <c r="H496" s="188">
        <f t="shared" si="17"/>
        <v>108</v>
      </c>
      <c r="I496" s="179"/>
      <c r="J496" s="191"/>
    </row>
    <row r="497" ht="36.95" customHeight="1" outlineLevel="2" spans="1:10">
      <c r="A497" s="178"/>
      <c r="B497" s="185" t="s">
        <v>516</v>
      </c>
      <c r="C497" s="185" t="s">
        <v>517</v>
      </c>
      <c r="D497" s="178" t="s">
        <v>39</v>
      </c>
      <c r="E497" s="186">
        <v>4.47</v>
      </c>
      <c r="F497" s="187">
        <v>550</v>
      </c>
      <c r="G497" s="187"/>
      <c r="H497" s="188">
        <f t="shared" si="17"/>
        <v>2458.5</v>
      </c>
      <c r="I497" s="179"/>
      <c r="J497" s="191"/>
    </row>
    <row r="498" ht="33.95" customHeight="1" outlineLevel="2" spans="1:10">
      <c r="A498" s="178"/>
      <c r="B498" s="185" t="s">
        <v>518</v>
      </c>
      <c r="C498" s="185" t="s">
        <v>519</v>
      </c>
      <c r="D498" s="178" t="s">
        <v>39</v>
      </c>
      <c r="E498" s="186">
        <v>3.75</v>
      </c>
      <c r="F498" s="187">
        <v>243.65</v>
      </c>
      <c r="G498" s="187">
        <v>115</v>
      </c>
      <c r="H498" s="188">
        <f t="shared" si="17"/>
        <v>913.6875</v>
      </c>
      <c r="I498" s="179"/>
      <c r="J498" s="191"/>
    </row>
    <row r="499" ht="27" customHeight="1" outlineLevel="2" spans="1:10">
      <c r="A499" s="178"/>
      <c r="B499" s="185" t="s">
        <v>520</v>
      </c>
      <c r="C499" s="185" t="s">
        <v>521</v>
      </c>
      <c r="D499" s="178" t="s">
        <v>522</v>
      </c>
      <c r="E499" s="186">
        <v>3</v>
      </c>
      <c r="F499" s="187">
        <v>7000</v>
      </c>
      <c r="G499" s="189"/>
      <c r="H499" s="188">
        <f t="shared" si="17"/>
        <v>21000</v>
      </c>
      <c r="I499" s="179"/>
      <c r="J499" s="191"/>
    </row>
    <row r="500" ht="21" customHeight="1" outlineLevel="1" collapsed="1" spans="1:10">
      <c r="A500" s="178">
        <v>3</v>
      </c>
      <c r="B500" s="185" t="s">
        <v>523</v>
      </c>
      <c r="D500" s="178"/>
      <c r="E500" s="178"/>
      <c r="F500" s="187"/>
      <c r="G500" s="187"/>
      <c r="H500" s="188">
        <f t="shared" si="17"/>
        <v>0</v>
      </c>
      <c r="I500" s="179"/>
      <c r="J500" s="191"/>
    </row>
    <row r="501" ht="39.95" customHeight="1" outlineLevel="1" spans="1:10">
      <c r="A501" s="178"/>
      <c r="B501" s="185" t="s">
        <v>93</v>
      </c>
      <c r="C501" s="185" t="s">
        <v>94</v>
      </c>
      <c r="D501" s="178" t="s">
        <v>46</v>
      </c>
      <c r="E501" s="186">
        <f>9*0.9</f>
        <v>8.1</v>
      </c>
      <c r="F501" s="187">
        <v>30</v>
      </c>
      <c r="G501" s="189"/>
      <c r="H501" s="188">
        <f t="shared" si="17"/>
        <v>243</v>
      </c>
      <c r="I501" s="179"/>
      <c r="J501" s="191"/>
    </row>
    <row r="502" ht="20.1" customHeight="1" outlineLevel="1" spans="1:10">
      <c r="A502" s="178"/>
      <c r="B502" s="185" t="s">
        <v>188</v>
      </c>
      <c r="C502" s="185" t="s">
        <v>453</v>
      </c>
      <c r="D502" s="178" t="s">
        <v>46</v>
      </c>
      <c r="E502" s="186">
        <f>8.1-1.43-1.4</f>
        <v>5.27</v>
      </c>
      <c r="F502" s="187">
        <v>10</v>
      </c>
      <c r="G502" s="189"/>
      <c r="H502" s="188">
        <f t="shared" si="17"/>
        <v>52.7</v>
      </c>
      <c r="I502" s="179"/>
      <c r="J502" s="191"/>
    </row>
    <row r="503" ht="29.1" customHeight="1" outlineLevel="1" spans="1:10">
      <c r="A503" s="178"/>
      <c r="B503" s="185" t="s">
        <v>41</v>
      </c>
      <c r="C503" s="185" t="s">
        <v>109</v>
      </c>
      <c r="D503" s="178" t="s">
        <v>39</v>
      </c>
      <c r="E503" s="186">
        <v>9</v>
      </c>
      <c r="F503" s="187">
        <v>6</v>
      </c>
      <c r="G503" s="189"/>
      <c r="H503" s="188">
        <f t="shared" si="17"/>
        <v>54</v>
      </c>
      <c r="I503" s="179"/>
      <c r="J503" s="191"/>
    </row>
    <row r="504" ht="45" customHeight="1" outlineLevel="1" spans="1:10">
      <c r="A504" s="178"/>
      <c r="B504" s="185" t="s">
        <v>385</v>
      </c>
      <c r="C504" s="185" t="s">
        <v>474</v>
      </c>
      <c r="D504" s="178" t="s">
        <v>46</v>
      </c>
      <c r="E504" s="186">
        <f>1.43</f>
        <v>1.43</v>
      </c>
      <c r="F504" s="187">
        <v>1217.21</v>
      </c>
      <c r="G504" s="187">
        <v>550</v>
      </c>
      <c r="H504" s="188">
        <f t="shared" si="17"/>
        <v>1740.6103</v>
      </c>
      <c r="I504" s="179"/>
      <c r="J504" s="191"/>
    </row>
    <row r="505" ht="51" customHeight="1" outlineLevel="1" spans="1:10">
      <c r="A505" s="178"/>
      <c r="B505" s="185" t="s">
        <v>47</v>
      </c>
      <c r="C505" s="185" t="s">
        <v>55</v>
      </c>
      <c r="D505" s="178" t="s">
        <v>46</v>
      </c>
      <c r="E505" s="186">
        <v>0.5</v>
      </c>
      <c r="F505" s="187">
        <v>1000</v>
      </c>
      <c r="G505" s="187">
        <v>520</v>
      </c>
      <c r="H505" s="188">
        <f t="shared" si="17"/>
        <v>500</v>
      </c>
      <c r="I505" s="179"/>
      <c r="J505" s="191"/>
    </row>
    <row r="506" ht="26.1" customHeight="1" outlineLevel="1" spans="1:10">
      <c r="A506" s="178"/>
      <c r="B506" s="185" t="s">
        <v>44</v>
      </c>
      <c r="C506" s="185" t="s">
        <v>67</v>
      </c>
      <c r="D506" s="178" t="s">
        <v>46</v>
      </c>
      <c r="E506" s="186">
        <v>0.9</v>
      </c>
      <c r="F506" s="187">
        <v>600</v>
      </c>
      <c r="G506" s="187">
        <v>160</v>
      </c>
      <c r="H506" s="188">
        <f t="shared" si="17"/>
        <v>540</v>
      </c>
      <c r="I506" s="179"/>
      <c r="J506" s="191"/>
    </row>
    <row r="507" ht="33.95" customHeight="1" outlineLevel="1" spans="1:10">
      <c r="A507" s="178"/>
      <c r="B507" s="185" t="s">
        <v>286</v>
      </c>
      <c r="C507" s="185" t="s">
        <v>524</v>
      </c>
      <c r="D507" s="178" t="s">
        <v>46</v>
      </c>
      <c r="E507" s="193">
        <v>0.146</v>
      </c>
      <c r="F507" s="187">
        <v>11338.8</v>
      </c>
      <c r="G507" s="187"/>
      <c r="H507" s="188">
        <f t="shared" si="17"/>
        <v>1655.4648</v>
      </c>
      <c r="I507" s="179"/>
      <c r="J507" s="191"/>
    </row>
    <row r="508" ht="44.1" customHeight="1" outlineLevel="1" spans="1:10">
      <c r="A508" s="178"/>
      <c r="B508" s="185" t="s">
        <v>478</v>
      </c>
      <c r="C508" s="185" t="s">
        <v>479</v>
      </c>
      <c r="D508" s="178" t="s">
        <v>72</v>
      </c>
      <c r="E508" s="193">
        <f>0.056</f>
        <v>0.056</v>
      </c>
      <c r="F508" s="187">
        <v>9000</v>
      </c>
      <c r="G508" s="189">
        <v>4800</v>
      </c>
      <c r="H508" s="188">
        <f t="shared" si="17"/>
        <v>504</v>
      </c>
      <c r="I508" s="179"/>
      <c r="J508" s="191"/>
    </row>
    <row r="509" ht="33" customHeight="1" outlineLevel="1" spans="1:10">
      <c r="A509" s="178"/>
      <c r="B509" s="185" t="s">
        <v>480</v>
      </c>
      <c r="C509" s="185" t="s">
        <v>525</v>
      </c>
      <c r="D509" s="178" t="s">
        <v>72</v>
      </c>
      <c r="E509" s="193">
        <v>0.317</v>
      </c>
      <c r="F509" s="187">
        <v>13000</v>
      </c>
      <c r="G509" s="187">
        <v>6400</v>
      </c>
      <c r="H509" s="188">
        <f t="shared" si="17"/>
        <v>4121</v>
      </c>
      <c r="I509" s="179"/>
      <c r="J509" s="191"/>
    </row>
    <row r="510" ht="33" customHeight="1" outlineLevel="1" spans="1:10">
      <c r="A510" s="178"/>
      <c r="B510" s="185" t="s">
        <v>394</v>
      </c>
      <c r="C510" s="185" t="s">
        <v>526</v>
      </c>
      <c r="D510" s="178" t="s">
        <v>72</v>
      </c>
      <c r="E510" s="193">
        <v>0.434</v>
      </c>
      <c r="F510" s="187">
        <f>F509</f>
        <v>13000</v>
      </c>
      <c r="G510" s="187">
        <f>G509</f>
        <v>6400</v>
      </c>
      <c r="H510" s="188">
        <f t="shared" si="17"/>
        <v>5642</v>
      </c>
      <c r="I510" s="179"/>
      <c r="J510" s="191"/>
    </row>
    <row r="511" ht="45.95" customHeight="1" outlineLevel="1" spans="1:10">
      <c r="A511" s="178"/>
      <c r="B511" s="185" t="s">
        <v>398</v>
      </c>
      <c r="C511" s="185" t="s">
        <v>527</v>
      </c>
      <c r="D511" s="178" t="s">
        <v>72</v>
      </c>
      <c r="E511" s="193">
        <f>1.062-0.317-0.434</f>
        <v>0.311</v>
      </c>
      <c r="F511" s="187">
        <f>F510</f>
        <v>13000</v>
      </c>
      <c r="G511" s="187">
        <f>G510</f>
        <v>6400</v>
      </c>
      <c r="H511" s="188">
        <f t="shared" si="17"/>
        <v>4043</v>
      </c>
      <c r="I511" s="179"/>
      <c r="J511" s="191"/>
    </row>
    <row r="512" ht="27.95" customHeight="1" outlineLevel="1" spans="1:10">
      <c r="A512" s="178"/>
      <c r="B512" s="185" t="s">
        <v>528</v>
      </c>
      <c r="C512" s="185" t="s">
        <v>529</v>
      </c>
      <c r="D512" s="178" t="s">
        <v>81</v>
      </c>
      <c r="E512" s="178">
        <v>19.32</v>
      </c>
      <c r="F512" s="187">
        <v>300</v>
      </c>
      <c r="G512" s="187"/>
      <c r="H512" s="188">
        <f t="shared" si="17"/>
        <v>5796</v>
      </c>
      <c r="I512" s="179"/>
      <c r="J512" s="191"/>
    </row>
    <row r="513" ht="33.95" customHeight="1" outlineLevel="1" spans="1:10">
      <c r="A513" s="178"/>
      <c r="B513" s="185" t="s">
        <v>530</v>
      </c>
      <c r="C513" s="185" t="s">
        <v>531</v>
      </c>
      <c r="D513" s="178" t="s">
        <v>39</v>
      </c>
      <c r="E513" s="178">
        <v>10.86</v>
      </c>
      <c r="F513" s="187">
        <v>650</v>
      </c>
      <c r="G513" s="187"/>
      <c r="H513" s="188">
        <f t="shared" si="17"/>
        <v>7059</v>
      </c>
      <c r="I513" s="179"/>
      <c r="J513" s="191"/>
    </row>
    <row r="514" ht="30.95" customHeight="1" outlineLevel="1" spans="1:10">
      <c r="A514" s="178"/>
      <c r="B514" s="185" t="s">
        <v>532</v>
      </c>
      <c r="C514" s="185" t="s">
        <v>533</v>
      </c>
      <c r="D514" s="178" t="s">
        <v>39</v>
      </c>
      <c r="E514" s="178">
        <f>6.88*1.2</f>
        <v>8.256</v>
      </c>
      <c r="F514" s="187">
        <v>300</v>
      </c>
      <c r="G514" s="187"/>
      <c r="H514" s="188">
        <f t="shared" si="17"/>
        <v>2476.8</v>
      </c>
      <c r="I514" s="179"/>
      <c r="J514" s="191"/>
    </row>
    <row r="515" ht="27.95" customHeight="1" spans="1:10">
      <c r="A515" s="178" t="s">
        <v>534</v>
      </c>
      <c r="B515" s="185" t="s">
        <v>535</v>
      </c>
      <c r="C515" s="185"/>
      <c r="D515" s="178"/>
      <c r="E515" s="178"/>
      <c r="F515" s="187"/>
      <c r="G515" s="189"/>
      <c r="H515" s="188">
        <f t="shared" si="17"/>
        <v>0</v>
      </c>
      <c r="I515" s="179"/>
      <c r="J515" s="191"/>
    </row>
    <row r="516" ht="63" customHeight="1" outlineLevel="1" spans="1:10">
      <c r="A516" s="178"/>
      <c r="B516" s="185" t="s">
        <v>536</v>
      </c>
      <c r="C516" s="185" t="s">
        <v>130</v>
      </c>
      <c r="D516" s="178" t="s">
        <v>46</v>
      </c>
      <c r="E516" s="186">
        <f>407.75+13.66</f>
        <v>421.41</v>
      </c>
      <c r="F516" s="187">
        <v>30</v>
      </c>
      <c r="G516" s="187"/>
      <c r="H516" s="188">
        <f t="shared" si="17"/>
        <v>12642.3</v>
      </c>
      <c r="I516" s="179"/>
      <c r="J516" s="191"/>
    </row>
    <row r="517" ht="66.95" customHeight="1" outlineLevel="1" spans="1:10">
      <c r="A517" s="178"/>
      <c r="B517" s="185" t="s">
        <v>188</v>
      </c>
      <c r="C517" s="185" t="s">
        <v>189</v>
      </c>
      <c r="D517" s="178" t="s">
        <v>46</v>
      </c>
      <c r="E517" s="186">
        <f>4.07+193.46</f>
        <v>197.53</v>
      </c>
      <c r="F517" s="187">
        <v>10</v>
      </c>
      <c r="G517" s="189"/>
      <c r="H517" s="188">
        <f t="shared" si="17"/>
        <v>1975.3</v>
      </c>
      <c r="I517" s="179"/>
      <c r="J517" s="191"/>
    </row>
    <row r="518" ht="32.1" customHeight="1" outlineLevel="1" spans="1:10">
      <c r="A518" s="178"/>
      <c r="B518" s="185" t="s">
        <v>41</v>
      </c>
      <c r="C518" s="185" t="s">
        <v>109</v>
      </c>
      <c r="D518" s="178" t="s">
        <v>39</v>
      </c>
      <c r="E518" s="186">
        <f>468.3</f>
        <v>468.3</v>
      </c>
      <c r="F518" s="187">
        <v>6</v>
      </c>
      <c r="G518" s="189"/>
      <c r="H518" s="188">
        <f t="shared" si="17"/>
        <v>2809.8</v>
      </c>
      <c r="I518" s="179"/>
      <c r="J518" s="191"/>
    </row>
    <row r="519" ht="53.1" customHeight="1" outlineLevel="1" spans="1:10">
      <c r="A519" s="178"/>
      <c r="B519" s="185" t="s">
        <v>47</v>
      </c>
      <c r="C519" s="185" t="s">
        <v>55</v>
      </c>
      <c r="D519" s="178" t="s">
        <v>46</v>
      </c>
      <c r="E519" s="186">
        <f>45.31+1.52</f>
        <v>46.83</v>
      </c>
      <c r="F519" s="187">
        <v>1000</v>
      </c>
      <c r="G519" s="187">
        <v>520</v>
      </c>
      <c r="H519" s="188">
        <f t="shared" si="17"/>
        <v>46830</v>
      </c>
      <c r="I519" s="179"/>
      <c r="J519" s="191"/>
    </row>
    <row r="520" ht="48.95" customHeight="1" outlineLevel="1" spans="1:10">
      <c r="A520" s="178"/>
      <c r="B520" s="185" t="s">
        <v>95</v>
      </c>
      <c r="C520" s="185" t="s">
        <v>230</v>
      </c>
      <c r="D520" s="178" t="s">
        <v>46</v>
      </c>
      <c r="E520" s="186">
        <v>69.1</v>
      </c>
      <c r="F520" s="187">
        <v>635.73</v>
      </c>
      <c r="G520" s="189">
        <v>480</v>
      </c>
      <c r="H520" s="188">
        <f t="shared" si="17"/>
        <v>43928.943</v>
      </c>
      <c r="I520" s="179"/>
      <c r="J520" s="191"/>
    </row>
    <row r="521" ht="59.1" customHeight="1" outlineLevel="1" spans="1:10">
      <c r="A521" s="178"/>
      <c r="B521" s="185" t="s">
        <v>537</v>
      </c>
      <c r="C521" s="185" t="s">
        <v>113</v>
      </c>
      <c r="D521" s="178" t="s">
        <v>46</v>
      </c>
      <c r="E521" s="186">
        <f>20.44+0.17</f>
        <v>20.61</v>
      </c>
      <c r="F521" s="187">
        <v>650.13</v>
      </c>
      <c r="G521" s="189">
        <v>480</v>
      </c>
      <c r="H521" s="188">
        <f t="shared" si="17"/>
        <v>13399.1793</v>
      </c>
      <c r="I521" s="179"/>
      <c r="J521" s="191"/>
    </row>
    <row r="522" ht="36" customHeight="1" outlineLevel="1" spans="1:10">
      <c r="A522" s="178"/>
      <c r="B522" s="185" t="s">
        <v>114</v>
      </c>
      <c r="C522" s="185" t="s">
        <v>115</v>
      </c>
      <c r="D522" s="178" t="s">
        <v>39</v>
      </c>
      <c r="E522" s="186">
        <v>97.33</v>
      </c>
      <c r="F522" s="187">
        <v>62.87</v>
      </c>
      <c r="G522" s="189"/>
      <c r="H522" s="188">
        <f t="shared" ref="H522:H527" si="18">E522*F522</f>
        <v>6119.1371</v>
      </c>
      <c r="I522" s="179"/>
      <c r="J522" s="191"/>
    </row>
    <row r="523" ht="57" customHeight="1" outlineLevel="1" spans="1:10">
      <c r="A523" s="178"/>
      <c r="B523" s="185" t="s">
        <v>197</v>
      </c>
      <c r="C523" s="185" t="s">
        <v>538</v>
      </c>
      <c r="D523" s="178" t="s">
        <v>46</v>
      </c>
      <c r="E523" s="186">
        <f>90.61+3.04</f>
        <v>93.65</v>
      </c>
      <c r="F523" s="187">
        <v>1217.21</v>
      </c>
      <c r="G523" s="187">
        <v>535</v>
      </c>
      <c r="H523" s="188">
        <f t="shared" si="18"/>
        <v>113991.7165</v>
      </c>
      <c r="I523" s="179"/>
      <c r="J523" s="191"/>
    </row>
    <row r="524" ht="59.1" customHeight="1" outlineLevel="1" spans="1:10">
      <c r="A524" s="178"/>
      <c r="B524" s="185" t="s">
        <v>199</v>
      </c>
      <c r="C524" s="185" t="s">
        <v>539</v>
      </c>
      <c r="D524" s="178" t="s">
        <v>46</v>
      </c>
      <c r="E524" s="186">
        <f>43.78+2.11</f>
        <v>45.89</v>
      </c>
      <c r="F524" s="187">
        <v>1455.74</v>
      </c>
      <c r="G524" s="187">
        <v>535</v>
      </c>
      <c r="H524" s="188">
        <f t="shared" si="18"/>
        <v>66803.9086</v>
      </c>
      <c r="I524" s="179"/>
      <c r="J524" s="191"/>
    </row>
    <row r="525" ht="60" customHeight="1" outlineLevel="1" spans="1:10">
      <c r="A525" s="178"/>
      <c r="B525" s="185" t="s">
        <v>110</v>
      </c>
      <c r="C525" s="185" t="s">
        <v>540</v>
      </c>
      <c r="D525" s="178" t="s">
        <v>46</v>
      </c>
      <c r="E525" s="186">
        <f>11.68+0.1</f>
        <v>11.78</v>
      </c>
      <c r="F525" s="187">
        <v>1000</v>
      </c>
      <c r="G525" s="187">
        <v>535</v>
      </c>
      <c r="H525" s="188">
        <f t="shared" si="18"/>
        <v>11780</v>
      </c>
      <c r="I525" s="179"/>
      <c r="J525" s="191"/>
    </row>
    <row r="526" ht="47.1" customHeight="1" outlineLevel="1" spans="1:10">
      <c r="A526" s="178"/>
      <c r="B526" s="185" t="s">
        <v>541</v>
      </c>
      <c r="C526" s="185" t="s">
        <v>542</v>
      </c>
      <c r="D526" s="178" t="s">
        <v>46</v>
      </c>
      <c r="E526" s="186">
        <f>1.37+0.07</f>
        <v>1.44</v>
      </c>
      <c r="F526" s="187">
        <v>650.13</v>
      </c>
      <c r="G526" s="187">
        <v>480</v>
      </c>
      <c r="H526" s="188">
        <f t="shared" si="18"/>
        <v>936.1872</v>
      </c>
      <c r="I526" s="179"/>
      <c r="J526" s="191"/>
    </row>
    <row r="527" ht="60" customHeight="1" outlineLevel="1" spans="1:10">
      <c r="A527" s="178"/>
      <c r="B527" s="185" t="s">
        <v>543</v>
      </c>
      <c r="C527" s="185" t="s">
        <v>544</v>
      </c>
      <c r="D527" s="178" t="s">
        <v>46</v>
      </c>
      <c r="E527" s="186">
        <v>5.03</v>
      </c>
      <c r="F527" s="187">
        <v>2000</v>
      </c>
      <c r="G527" s="187">
        <v>535</v>
      </c>
      <c r="H527" s="188">
        <f t="shared" si="18"/>
        <v>10060</v>
      </c>
      <c r="I527" s="179"/>
      <c r="J527" s="191"/>
    </row>
    <row r="528" ht="42.95" customHeight="1" outlineLevel="1" spans="1:10">
      <c r="A528" s="178"/>
      <c r="B528" s="185" t="s">
        <v>137</v>
      </c>
      <c r="C528" s="185" t="s">
        <v>545</v>
      </c>
      <c r="D528" s="178" t="s">
        <v>72</v>
      </c>
      <c r="E528" s="193">
        <f>6.64-3.42</f>
        <v>3.22</v>
      </c>
      <c r="F528" s="187">
        <v>9000</v>
      </c>
      <c r="G528" s="189">
        <v>4600</v>
      </c>
      <c r="H528" s="188">
        <f t="shared" ref="H528:H562" si="19">E528*F528</f>
        <v>28980</v>
      </c>
      <c r="I528" s="179"/>
      <c r="J528" s="191"/>
    </row>
    <row r="529" ht="38.1" customHeight="1" outlineLevel="1" spans="1:10">
      <c r="A529" s="178"/>
      <c r="B529" s="185" t="s">
        <v>137</v>
      </c>
      <c r="C529" s="185" t="s">
        <v>546</v>
      </c>
      <c r="D529" s="178" t="s">
        <v>72</v>
      </c>
      <c r="E529" s="193">
        <v>3.42</v>
      </c>
      <c r="F529" s="187">
        <f>F528</f>
        <v>9000</v>
      </c>
      <c r="G529" s="189">
        <v>4600</v>
      </c>
      <c r="H529" s="188">
        <f t="shared" si="19"/>
        <v>30780</v>
      </c>
      <c r="I529" s="179"/>
      <c r="J529" s="191"/>
    </row>
    <row r="530" ht="39" customHeight="1" outlineLevel="1" spans="1:10">
      <c r="A530" s="178"/>
      <c r="B530" s="185" t="s">
        <v>547</v>
      </c>
      <c r="C530" s="185" t="s">
        <v>548</v>
      </c>
      <c r="D530" s="178" t="s">
        <v>39</v>
      </c>
      <c r="E530" s="186">
        <f>581.38+420.22</f>
        <v>1001.6</v>
      </c>
      <c r="F530" s="187">
        <v>143.24</v>
      </c>
      <c r="G530" s="187"/>
      <c r="H530" s="188">
        <f t="shared" si="19"/>
        <v>143469.184</v>
      </c>
      <c r="I530" s="179"/>
      <c r="J530" s="191"/>
    </row>
    <row r="531" ht="32.1" customHeight="1" outlineLevel="1" spans="1:10">
      <c r="A531" s="178"/>
      <c r="B531" s="185" t="s">
        <v>214</v>
      </c>
      <c r="C531" s="185" t="s">
        <v>549</v>
      </c>
      <c r="D531" s="178" t="s">
        <v>72</v>
      </c>
      <c r="E531" s="193">
        <v>0.406</v>
      </c>
      <c r="F531" s="187">
        <v>11338.8</v>
      </c>
      <c r="G531" s="187"/>
      <c r="H531" s="188">
        <f t="shared" si="19"/>
        <v>4603.5528</v>
      </c>
      <c r="I531" s="179"/>
      <c r="J531" s="191"/>
    </row>
    <row r="532" ht="75.95" customHeight="1" outlineLevel="1" spans="1:10">
      <c r="A532" s="178"/>
      <c r="B532" s="185" t="s">
        <v>550</v>
      </c>
      <c r="C532" s="185" t="s">
        <v>551</v>
      </c>
      <c r="D532" s="178" t="s">
        <v>39</v>
      </c>
      <c r="E532" s="186">
        <v>731.96</v>
      </c>
      <c r="F532" s="187">
        <v>1000</v>
      </c>
      <c r="G532" s="189"/>
      <c r="H532" s="188">
        <f t="shared" si="19"/>
        <v>731960</v>
      </c>
      <c r="I532" s="191"/>
      <c r="J532" s="191"/>
    </row>
    <row r="533" ht="30" customHeight="1" spans="1:10">
      <c r="A533" s="178" t="s">
        <v>552</v>
      </c>
      <c r="B533" s="185" t="s">
        <v>553</v>
      </c>
      <c r="C533" s="185"/>
      <c r="D533" s="178"/>
      <c r="E533" s="178"/>
      <c r="F533" s="187"/>
      <c r="G533" s="189"/>
      <c r="H533" s="188">
        <f t="shared" si="19"/>
        <v>0</v>
      </c>
      <c r="I533" s="191"/>
      <c r="J533" s="191"/>
    </row>
    <row r="534" ht="66" customHeight="1" outlineLevel="1" spans="1:10">
      <c r="A534" s="178"/>
      <c r="B534" s="185" t="s">
        <v>554</v>
      </c>
      <c r="C534" s="185" t="s">
        <v>555</v>
      </c>
      <c r="D534" s="178" t="s">
        <v>39</v>
      </c>
      <c r="E534" s="186">
        <f>4.1*2.2</f>
        <v>9.02</v>
      </c>
      <c r="F534" s="187">
        <v>1000</v>
      </c>
      <c r="G534" s="189"/>
      <c r="H534" s="188">
        <f t="shared" si="19"/>
        <v>9020</v>
      </c>
      <c r="I534" s="191"/>
      <c r="J534" s="191"/>
    </row>
    <row r="535" ht="63" customHeight="1" outlineLevel="1" spans="1:10">
      <c r="A535" s="178"/>
      <c r="B535" s="185" t="s">
        <v>556</v>
      </c>
      <c r="C535" s="185" t="s">
        <v>555</v>
      </c>
      <c r="D535" s="178" t="s">
        <v>39</v>
      </c>
      <c r="E535" s="186">
        <f>4.1*2.2</f>
        <v>9.02</v>
      </c>
      <c r="F535" s="187">
        <v>1000</v>
      </c>
      <c r="G535" s="189"/>
      <c r="H535" s="188">
        <f t="shared" si="19"/>
        <v>9020</v>
      </c>
      <c r="I535" s="191"/>
      <c r="J535" s="191"/>
    </row>
    <row r="536" ht="36" customHeight="1" spans="1:10">
      <c r="A536" s="181" t="s">
        <v>557</v>
      </c>
      <c r="B536" s="221" t="s">
        <v>558</v>
      </c>
      <c r="C536" s="222"/>
      <c r="D536" s="181"/>
      <c r="E536" s="222"/>
      <c r="F536" s="184"/>
      <c r="G536" s="184"/>
      <c r="H536" s="188">
        <f t="shared" si="19"/>
        <v>0</v>
      </c>
      <c r="I536" s="184"/>
      <c r="J536" s="184"/>
    </row>
    <row r="537" ht="30" customHeight="1" outlineLevel="1" spans="1:10">
      <c r="A537" s="178">
        <v>1</v>
      </c>
      <c r="B537" s="221" t="s">
        <v>559</v>
      </c>
      <c r="C537" s="222"/>
      <c r="D537" s="181"/>
      <c r="E537" s="183"/>
      <c r="F537" s="184"/>
      <c r="G537" s="184"/>
      <c r="H537" s="188">
        <f t="shared" si="19"/>
        <v>0</v>
      </c>
      <c r="I537" s="184"/>
      <c r="J537" s="184"/>
    </row>
    <row r="538" s="168" customFormat="1" ht="50.1" customHeight="1" outlineLevel="2" spans="1:11">
      <c r="A538" s="223"/>
      <c r="B538" s="205" t="s">
        <v>560</v>
      </c>
      <c r="C538" s="205" t="s">
        <v>561</v>
      </c>
      <c r="D538" s="223" t="s">
        <v>39</v>
      </c>
      <c r="E538" s="224">
        <v>83.61</v>
      </c>
      <c r="F538" s="71">
        <v>700</v>
      </c>
      <c r="G538" s="69"/>
      <c r="H538" s="188">
        <f t="shared" si="19"/>
        <v>58527</v>
      </c>
      <c r="I538" s="226"/>
      <c r="J538" s="226"/>
      <c r="K538" s="227"/>
    </row>
    <row r="539" s="169" customFormat="1" ht="33" customHeight="1" outlineLevel="2" spans="1:10">
      <c r="A539" s="223"/>
      <c r="B539" s="205" t="s">
        <v>562</v>
      </c>
      <c r="C539" s="205" t="s">
        <v>563</v>
      </c>
      <c r="D539" s="223" t="s">
        <v>39</v>
      </c>
      <c r="E539" s="224">
        <f>(11.425*2+6.339-3.45)*0.25</f>
        <v>6.43475</v>
      </c>
      <c r="F539" s="71">
        <v>1000</v>
      </c>
      <c r="G539" s="69">
        <v>550</v>
      </c>
      <c r="H539" s="188">
        <f t="shared" si="19"/>
        <v>6434.75</v>
      </c>
      <c r="I539" s="226"/>
      <c r="J539" s="226"/>
    </row>
    <row r="540" s="169" customFormat="1" ht="50.1" customHeight="1" outlineLevel="2" spans="1:10">
      <c r="A540" s="223"/>
      <c r="B540" s="205" t="s">
        <v>564</v>
      </c>
      <c r="C540" s="205" t="s">
        <v>565</v>
      </c>
      <c r="D540" s="223" t="s">
        <v>72</v>
      </c>
      <c r="E540" s="225">
        <f>(29.77+6.3*3)*30.62/1000</f>
        <v>1.4902754</v>
      </c>
      <c r="F540" s="71">
        <v>13000</v>
      </c>
      <c r="G540" s="71">
        <v>6400</v>
      </c>
      <c r="H540" s="188">
        <f t="shared" si="19"/>
        <v>19373.5802</v>
      </c>
      <c r="I540" s="226"/>
      <c r="J540" s="226"/>
    </row>
    <row r="541" s="169" customFormat="1" ht="48" customHeight="1" outlineLevel="2" spans="1:10">
      <c r="A541" s="223"/>
      <c r="B541" s="205" t="s">
        <v>566</v>
      </c>
      <c r="C541" s="205" t="s">
        <v>567</v>
      </c>
      <c r="D541" s="223" t="s">
        <v>72</v>
      </c>
      <c r="E541" s="225">
        <f>(2.25*4+2.617*4+0.742+2.55*8)*18.84/1000</f>
        <v>0.7650924</v>
      </c>
      <c r="F541" s="71">
        <f>F540</f>
        <v>13000</v>
      </c>
      <c r="G541" s="71">
        <f>G540</f>
        <v>6400</v>
      </c>
      <c r="H541" s="188">
        <f t="shared" si="19"/>
        <v>9946.2012</v>
      </c>
      <c r="I541" s="226"/>
      <c r="J541" s="226"/>
    </row>
    <row r="542" s="169" customFormat="1" ht="51.95" customHeight="1" outlineLevel="2" spans="1:10">
      <c r="A542" s="223"/>
      <c r="B542" s="205" t="s">
        <v>568</v>
      </c>
      <c r="C542" s="205" t="s">
        <v>569</v>
      </c>
      <c r="D542" s="223" t="s">
        <v>72</v>
      </c>
      <c r="E542" s="225">
        <f>(3*0.1+6*0.45)*22.77/1000</f>
        <v>0.06831</v>
      </c>
      <c r="F542" s="71">
        <v>12000</v>
      </c>
      <c r="G542" s="71">
        <f>G541</f>
        <v>6400</v>
      </c>
      <c r="H542" s="188">
        <f t="shared" si="19"/>
        <v>819.72</v>
      </c>
      <c r="I542" s="226"/>
      <c r="J542" s="226"/>
    </row>
    <row r="543" s="169" customFormat="1" ht="51" customHeight="1" outlineLevel="2" spans="1:10">
      <c r="A543" s="223"/>
      <c r="B543" s="205" t="s">
        <v>568</v>
      </c>
      <c r="C543" s="205" t="s">
        <v>570</v>
      </c>
      <c r="D543" s="223" t="s">
        <v>72</v>
      </c>
      <c r="E543" s="225">
        <f>(7*0.1+4*0.45)*18.84/1000</f>
        <v>0.0471</v>
      </c>
      <c r="F543" s="71">
        <f>F542</f>
        <v>12000</v>
      </c>
      <c r="G543" s="71">
        <f>G542</f>
        <v>6400</v>
      </c>
      <c r="H543" s="188">
        <f t="shared" si="19"/>
        <v>565.2</v>
      </c>
      <c r="I543" s="226"/>
      <c r="J543" s="226"/>
    </row>
    <row r="544" s="169" customFormat="1" ht="39" customHeight="1" outlineLevel="2" spans="1:10">
      <c r="A544" s="223"/>
      <c r="B544" s="205" t="s">
        <v>571</v>
      </c>
      <c r="C544" s="205" t="s">
        <v>572</v>
      </c>
      <c r="D544" s="223" t="s">
        <v>39</v>
      </c>
      <c r="E544" s="224">
        <f>(4.22*1.8+0.26*1.8+1/2*7.22*1.8)*2</f>
        <v>29.124</v>
      </c>
      <c r="F544" s="71">
        <v>143.24</v>
      </c>
      <c r="G544" s="71"/>
      <c r="H544" s="188">
        <f t="shared" si="19"/>
        <v>4171.72176</v>
      </c>
      <c r="I544" s="226"/>
      <c r="J544" s="226"/>
    </row>
    <row r="545" ht="33" customHeight="1" outlineLevel="1" spans="1:10">
      <c r="A545" s="178">
        <v>2</v>
      </c>
      <c r="B545" s="221" t="s">
        <v>573</v>
      </c>
      <c r="C545" s="222"/>
      <c r="D545" s="181"/>
      <c r="E545" s="183"/>
      <c r="F545" s="184"/>
      <c r="G545" s="184"/>
      <c r="H545" s="188">
        <f t="shared" si="19"/>
        <v>0</v>
      </c>
      <c r="I545" s="184"/>
      <c r="J545" s="184"/>
    </row>
    <row r="546" s="168" customFormat="1" ht="62.1" customHeight="1" outlineLevel="2" spans="1:10">
      <c r="A546" s="223"/>
      <c r="B546" s="205" t="s">
        <v>560</v>
      </c>
      <c r="C546" s="205" t="s">
        <v>561</v>
      </c>
      <c r="D546" s="223" t="s">
        <v>39</v>
      </c>
      <c r="E546" s="224">
        <v>79.66</v>
      </c>
      <c r="F546" s="71">
        <v>700</v>
      </c>
      <c r="G546" s="69"/>
      <c r="H546" s="188">
        <f t="shared" si="19"/>
        <v>55762</v>
      </c>
      <c r="I546" s="226"/>
      <c r="J546" s="226"/>
    </row>
    <row r="547" s="169" customFormat="1" ht="54" customHeight="1" outlineLevel="2" spans="1:10">
      <c r="A547" s="223"/>
      <c r="B547" s="205" t="s">
        <v>564</v>
      </c>
      <c r="C547" s="205" t="s">
        <v>565</v>
      </c>
      <c r="D547" s="223" t="s">
        <v>72</v>
      </c>
      <c r="E547" s="225">
        <f>((11.75+5.85)*2+5.7*3)*30.62/1000</f>
        <v>1.601426</v>
      </c>
      <c r="F547" s="71">
        <v>13000</v>
      </c>
      <c r="G547" s="71">
        <v>6400</v>
      </c>
      <c r="H547" s="188">
        <f t="shared" si="19"/>
        <v>20818.538</v>
      </c>
      <c r="I547" s="226"/>
      <c r="J547" s="226"/>
    </row>
    <row r="548" s="169" customFormat="1" ht="53.1" customHeight="1" outlineLevel="2" spans="1:10">
      <c r="A548" s="223"/>
      <c r="B548" s="205" t="s">
        <v>566</v>
      </c>
      <c r="C548" s="205" t="s">
        <v>567</v>
      </c>
      <c r="D548" s="223" t="s">
        <v>72</v>
      </c>
      <c r="E548" s="225">
        <f>((2.725+2.85)*2*3)*18.84/1000</f>
        <v>0.630198</v>
      </c>
      <c r="F548" s="71">
        <f>F547</f>
        <v>13000</v>
      </c>
      <c r="G548" s="71">
        <f>G547</f>
        <v>6400</v>
      </c>
      <c r="H548" s="188">
        <f t="shared" si="19"/>
        <v>8192.574</v>
      </c>
      <c r="I548" s="226"/>
      <c r="J548" s="226"/>
    </row>
    <row r="549" s="169" customFormat="1" ht="60" customHeight="1" outlineLevel="2" spans="1:10">
      <c r="A549" s="223"/>
      <c r="B549" s="205" t="s">
        <v>568</v>
      </c>
      <c r="C549" s="205" t="s">
        <v>574</v>
      </c>
      <c r="D549" s="223" t="s">
        <v>72</v>
      </c>
      <c r="E549" s="225">
        <f>0.27*11*22.77/1000</f>
        <v>0.0676269</v>
      </c>
      <c r="F549" s="71">
        <v>12000</v>
      </c>
      <c r="G549" s="71">
        <f>G548</f>
        <v>6400</v>
      </c>
      <c r="H549" s="188">
        <f t="shared" si="19"/>
        <v>811.5228</v>
      </c>
      <c r="I549" s="226"/>
      <c r="J549" s="226"/>
    </row>
    <row r="550" s="169" customFormat="1" ht="60" customHeight="1" outlineLevel="2" spans="1:10">
      <c r="A550" s="223"/>
      <c r="B550" s="205" t="s">
        <v>568</v>
      </c>
      <c r="C550" s="205" t="s">
        <v>575</v>
      </c>
      <c r="D550" s="223" t="s">
        <v>72</v>
      </c>
      <c r="E550" s="225">
        <f>0.27*10*18.84/1000</f>
        <v>0.050868</v>
      </c>
      <c r="F550" s="71">
        <f>F549</f>
        <v>12000</v>
      </c>
      <c r="G550" s="71">
        <f>G549</f>
        <v>6400</v>
      </c>
      <c r="H550" s="188">
        <f t="shared" si="19"/>
        <v>610.416</v>
      </c>
      <c r="I550" s="226"/>
      <c r="J550" s="226"/>
    </row>
    <row r="551" s="169" customFormat="1" ht="44.1" customHeight="1" outlineLevel="2" spans="1:10">
      <c r="A551" s="223"/>
      <c r="B551" s="205" t="s">
        <v>571</v>
      </c>
      <c r="C551" s="205" t="s">
        <v>572</v>
      </c>
      <c r="D551" s="223" t="s">
        <v>39</v>
      </c>
      <c r="E551" s="224">
        <f>(11.75*2+5.85)*0.58+2.78*0.31*2</f>
        <v>18.7466</v>
      </c>
      <c r="F551" s="71">
        <v>143.24</v>
      </c>
      <c r="G551" s="71"/>
      <c r="H551" s="188">
        <f t="shared" si="19"/>
        <v>2685.262984</v>
      </c>
      <c r="I551" s="226"/>
      <c r="J551" s="226"/>
    </row>
    <row r="552" ht="24" customHeight="1" outlineLevel="1" collapsed="1" spans="1:10">
      <c r="A552" s="178">
        <v>3</v>
      </c>
      <c r="B552" s="221" t="s">
        <v>576</v>
      </c>
      <c r="C552" s="222"/>
      <c r="D552" s="181"/>
      <c r="E552" s="183"/>
      <c r="F552" s="184"/>
      <c r="G552" s="184"/>
      <c r="H552" s="188">
        <f t="shared" si="19"/>
        <v>0</v>
      </c>
      <c r="I552" s="184"/>
      <c r="J552" s="184"/>
    </row>
    <row r="553" s="168" customFormat="1" ht="66" customHeight="1" outlineLevel="1" spans="1:11">
      <c r="A553" s="223"/>
      <c r="B553" s="205" t="s">
        <v>560</v>
      </c>
      <c r="C553" s="205" t="s">
        <v>561</v>
      </c>
      <c r="D553" s="223" t="s">
        <v>39</v>
      </c>
      <c r="E553" s="224">
        <v>44.41</v>
      </c>
      <c r="F553" s="71">
        <v>700</v>
      </c>
      <c r="G553" s="69"/>
      <c r="H553" s="188">
        <f t="shared" si="19"/>
        <v>31087</v>
      </c>
      <c r="I553" s="226"/>
      <c r="J553" s="226"/>
      <c r="K553" s="227"/>
    </row>
    <row r="554" s="169" customFormat="1" ht="53.1" customHeight="1" outlineLevel="1" spans="1:10">
      <c r="A554" s="223"/>
      <c r="B554" s="205" t="s">
        <v>564</v>
      </c>
      <c r="C554" s="205" t="s">
        <v>577</v>
      </c>
      <c r="D554" s="223" t="s">
        <v>72</v>
      </c>
      <c r="E554" s="225">
        <f>(34.42+2.48+2.88*2+2.76+2.38+2.15*4)*18.84/1000</f>
        <v>1.062576</v>
      </c>
      <c r="F554" s="71">
        <v>13000</v>
      </c>
      <c r="G554" s="71">
        <v>6400</v>
      </c>
      <c r="H554" s="188">
        <f t="shared" si="19"/>
        <v>13813.488</v>
      </c>
      <c r="I554" s="226"/>
      <c r="J554" s="226"/>
    </row>
    <row r="555" s="169" customFormat="1" ht="48" customHeight="1" outlineLevel="1" spans="1:10">
      <c r="A555" s="223"/>
      <c r="B555" s="205" t="s">
        <v>566</v>
      </c>
      <c r="C555" s="205" t="s">
        <v>578</v>
      </c>
      <c r="D555" s="223" t="s">
        <v>72</v>
      </c>
      <c r="E555" s="225">
        <f>(1.175*3+1.4*12)*10.99/1000</f>
        <v>0.22337175</v>
      </c>
      <c r="F555" s="71">
        <f>F554</f>
        <v>13000</v>
      </c>
      <c r="G555" s="71">
        <f>G554</f>
        <v>6400</v>
      </c>
      <c r="H555" s="188">
        <f t="shared" si="19"/>
        <v>2903.83275</v>
      </c>
      <c r="I555" s="226"/>
      <c r="J555" s="226"/>
    </row>
    <row r="556" s="169" customFormat="1" ht="51.95" customHeight="1" outlineLevel="1" spans="1:10">
      <c r="A556" s="223"/>
      <c r="B556" s="205" t="s">
        <v>568</v>
      </c>
      <c r="C556" s="205" t="s">
        <v>579</v>
      </c>
      <c r="D556" s="223" t="s">
        <v>72</v>
      </c>
      <c r="E556" s="225">
        <f>0.17*9*22.77/1000</f>
        <v>0.0348381</v>
      </c>
      <c r="F556" s="71">
        <v>12000</v>
      </c>
      <c r="G556" s="71">
        <f>G555</f>
        <v>6400</v>
      </c>
      <c r="H556" s="188">
        <f t="shared" si="19"/>
        <v>418.0572</v>
      </c>
      <c r="I556" s="226"/>
      <c r="J556" s="226"/>
    </row>
    <row r="557" s="169" customFormat="1" ht="51" customHeight="1" outlineLevel="1" spans="1:10">
      <c r="A557" s="223"/>
      <c r="B557" s="205" t="s">
        <v>568</v>
      </c>
      <c r="C557" s="205" t="s">
        <v>580</v>
      </c>
      <c r="D557" s="223" t="s">
        <v>72</v>
      </c>
      <c r="E557" s="225">
        <f>0.17*6*14.92/1000</f>
        <v>0.0152184</v>
      </c>
      <c r="F557" s="71">
        <f>F556</f>
        <v>12000</v>
      </c>
      <c r="G557" s="71">
        <f>G556</f>
        <v>6400</v>
      </c>
      <c r="H557" s="188">
        <f t="shared" si="19"/>
        <v>182.6208</v>
      </c>
      <c r="I557" s="226"/>
      <c r="J557" s="226"/>
    </row>
    <row r="558" s="169" customFormat="1" ht="42.95" customHeight="1" outlineLevel="1" spans="1:10">
      <c r="A558" s="223"/>
      <c r="B558" s="205" t="s">
        <v>571</v>
      </c>
      <c r="C558" s="205" t="s">
        <v>572</v>
      </c>
      <c r="D558" s="223" t="s">
        <v>39</v>
      </c>
      <c r="E558" s="224">
        <f>(2.48+1.31)*14.8/2+2.85*2.48+2.25*0.58+2.48*0.31*2</f>
        <v>37.9566</v>
      </c>
      <c r="F558" s="71">
        <v>143.24</v>
      </c>
      <c r="G558" s="71"/>
      <c r="H558" s="188">
        <f t="shared" si="19"/>
        <v>5436.903384</v>
      </c>
      <c r="I558" s="226"/>
      <c r="J558" s="226"/>
    </row>
    <row r="559" s="170" customFormat="1" ht="42.95" customHeight="1" outlineLevel="1" spans="1:10">
      <c r="A559" s="223">
        <v>4</v>
      </c>
      <c r="B559" s="205" t="s">
        <v>581</v>
      </c>
      <c r="C559" s="205"/>
      <c r="D559" s="223"/>
      <c r="E559" s="224"/>
      <c r="F559" s="71"/>
      <c r="G559" s="71"/>
      <c r="H559" s="188">
        <f t="shared" si="19"/>
        <v>0</v>
      </c>
      <c r="I559" s="226"/>
      <c r="J559" s="226"/>
    </row>
    <row r="560" s="170" customFormat="1" ht="63" customHeight="1" outlineLevel="1" spans="1:10">
      <c r="A560" s="223"/>
      <c r="B560" s="205" t="s">
        <v>560</v>
      </c>
      <c r="C560" s="205" t="s">
        <v>582</v>
      </c>
      <c r="D560" s="223" t="s">
        <v>39</v>
      </c>
      <c r="E560" s="224">
        <v>30.75</v>
      </c>
      <c r="F560" s="71">
        <v>1000</v>
      </c>
      <c r="G560" s="71"/>
      <c r="H560" s="188">
        <f t="shared" si="19"/>
        <v>30750</v>
      </c>
      <c r="I560" s="226"/>
      <c r="J560" s="226"/>
    </row>
    <row r="561" s="170" customFormat="1" ht="78.95" customHeight="1" outlineLevel="1" spans="1:10">
      <c r="A561" s="223"/>
      <c r="B561" s="205" t="s">
        <v>583</v>
      </c>
      <c r="C561" s="205" t="s">
        <v>584</v>
      </c>
      <c r="D561" s="223" t="s">
        <v>39</v>
      </c>
      <c r="E561" s="224">
        <v>43.11</v>
      </c>
      <c r="F561" s="71">
        <v>700</v>
      </c>
      <c r="G561" s="71"/>
      <c r="H561" s="188">
        <f t="shared" si="19"/>
        <v>30177</v>
      </c>
      <c r="I561" s="226"/>
      <c r="J561" s="226"/>
    </row>
    <row r="562" s="170" customFormat="1" ht="60" customHeight="1" outlineLevel="1" spans="1:10">
      <c r="A562" s="223"/>
      <c r="B562" s="205" t="s">
        <v>585</v>
      </c>
      <c r="C562" s="205" t="s">
        <v>586</v>
      </c>
      <c r="D562" s="223" t="s">
        <v>39</v>
      </c>
      <c r="E562" s="224">
        <v>6</v>
      </c>
      <c r="F562" s="71">
        <v>1000</v>
      </c>
      <c r="G562" s="71"/>
      <c r="H562" s="188">
        <f t="shared" si="19"/>
        <v>6000</v>
      </c>
      <c r="I562" s="226"/>
      <c r="J562" s="226"/>
    </row>
    <row r="563" s="170" customFormat="1" ht="54" customHeight="1" outlineLevel="1" spans="1:10">
      <c r="A563" s="223"/>
      <c r="B563" s="205" t="s">
        <v>568</v>
      </c>
      <c r="C563" s="205" t="s">
        <v>587</v>
      </c>
      <c r="D563" s="223" t="s">
        <v>72</v>
      </c>
      <c r="E563" s="225">
        <v>0.557</v>
      </c>
      <c r="F563" s="71">
        <f>F557</f>
        <v>12000</v>
      </c>
      <c r="G563" s="71">
        <f>G557</f>
        <v>6400</v>
      </c>
      <c r="H563" s="188">
        <f t="shared" ref="H563:H570" si="20">F563*E563</f>
        <v>6684</v>
      </c>
      <c r="I563" s="226"/>
      <c r="J563" s="226"/>
    </row>
    <row r="564" s="170" customFormat="1" ht="59.1" customHeight="1" outlineLevel="1" spans="1:10">
      <c r="A564" s="223"/>
      <c r="B564" s="205" t="s">
        <v>564</v>
      </c>
      <c r="C564" s="205" t="s">
        <v>588</v>
      </c>
      <c r="D564" s="223" t="s">
        <v>72</v>
      </c>
      <c r="E564" s="225">
        <v>0.522</v>
      </c>
      <c r="F564" s="71">
        <f>F555</f>
        <v>13000</v>
      </c>
      <c r="G564" s="71">
        <f>G563</f>
        <v>6400</v>
      </c>
      <c r="H564" s="188">
        <f t="shared" si="20"/>
        <v>6786</v>
      </c>
      <c r="I564" s="226"/>
      <c r="J564" s="226"/>
    </row>
    <row r="565" s="170" customFormat="1" ht="57.95" customHeight="1" outlineLevel="1" spans="1:10">
      <c r="A565" s="223"/>
      <c r="B565" s="205" t="s">
        <v>201</v>
      </c>
      <c r="C565" s="185" t="s">
        <v>476</v>
      </c>
      <c r="D565" s="223" t="s">
        <v>46</v>
      </c>
      <c r="E565" s="224">
        <v>0.61</v>
      </c>
      <c r="F565" s="71">
        <f>F335</f>
        <v>1285.08</v>
      </c>
      <c r="G565" s="71">
        <v>535</v>
      </c>
      <c r="H565" s="188">
        <f t="shared" si="20"/>
        <v>783.8988</v>
      </c>
      <c r="I565" s="226"/>
      <c r="J565" s="226"/>
    </row>
    <row r="566" s="170" customFormat="1" ht="42.95" customHeight="1" outlineLevel="1" spans="1:10">
      <c r="A566" s="223"/>
      <c r="B566" s="205" t="s">
        <v>571</v>
      </c>
      <c r="C566" s="185" t="s">
        <v>589</v>
      </c>
      <c r="D566" s="223" t="s">
        <v>39</v>
      </c>
      <c r="E566" s="224">
        <v>10.24</v>
      </c>
      <c r="F566" s="71">
        <f>F558</f>
        <v>143.24</v>
      </c>
      <c r="G566" s="71"/>
      <c r="H566" s="188">
        <f t="shared" si="20"/>
        <v>1466.7776</v>
      </c>
      <c r="I566" s="226"/>
      <c r="J566" s="226"/>
    </row>
    <row r="567" s="170" customFormat="1" ht="42.95" customHeight="1" outlineLevel="1" spans="1:10">
      <c r="A567" s="223">
        <v>5</v>
      </c>
      <c r="B567" s="205" t="s">
        <v>590</v>
      </c>
      <c r="C567" s="185"/>
      <c r="D567" s="223"/>
      <c r="E567" s="224"/>
      <c r="F567" s="71"/>
      <c r="G567" s="71"/>
      <c r="H567" s="188">
        <f t="shared" si="20"/>
        <v>0</v>
      </c>
      <c r="I567" s="226"/>
      <c r="J567" s="226"/>
    </row>
    <row r="568" s="170" customFormat="1" ht="69" customHeight="1" outlineLevel="1" spans="1:10">
      <c r="A568" s="223"/>
      <c r="B568" s="205" t="s">
        <v>560</v>
      </c>
      <c r="C568" s="205" t="s">
        <v>582</v>
      </c>
      <c r="D568" s="223" t="s">
        <v>39</v>
      </c>
      <c r="E568" s="224">
        <v>67.76</v>
      </c>
      <c r="F568" s="71">
        <v>1500</v>
      </c>
      <c r="G568" s="71"/>
      <c r="H568" s="188">
        <f t="shared" si="20"/>
        <v>101640</v>
      </c>
      <c r="I568" s="226" t="s">
        <v>169</v>
      </c>
      <c r="J568" s="226"/>
    </row>
    <row r="569" s="170" customFormat="1" ht="42.95" customHeight="1" outlineLevel="1" spans="1:10">
      <c r="A569" s="223"/>
      <c r="B569" s="205" t="s">
        <v>571</v>
      </c>
      <c r="C569" s="185" t="s">
        <v>591</v>
      </c>
      <c r="D569" s="223" t="s">
        <v>39</v>
      </c>
      <c r="E569" s="224">
        <v>75.49</v>
      </c>
      <c r="F569" s="71">
        <f>F566</f>
        <v>143.24</v>
      </c>
      <c r="G569" s="71"/>
      <c r="H569" s="188">
        <f t="shared" si="20"/>
        <v>10813.1876</v>
      </c>
      <c r="I569" s="226"/>
      <c r="J569" s="226"/>
    </row>
    <row r="570" s="170" customFormat="1" ht="57.95" customHeight="1" outlineLevel="1" spans="1:10">
      <c r="A570" s="223"/>
      <c r="B570" s="205" t="s">
        <v>564</v>
      </c>
      <c r="C570" s="205" t="s">
        <v>592</v>
      </c>
      <c r="D570" s="223" t="s">
        <v>72</v>
      </c>
      <c r="E570" s="225">
        <v>2.92</v>
      </c>
      <c r="F570" s="71">
        <f>F564</f>
        <v>13000</v>
      </c>
      <c r="G570" s="71">
        <f>G563</f>
        <v>6400</v>
      </c>
      <c r="H570" s="188">
        <f t="shared" si="20"/>
        <v>37960</v>
      </c>
      <c r="I570" s="226"/>
      <c r="J570" s="226"/>
    </row>
    <row r="571" s="170" customFormat="1" ht="42.95" customHeight="1" spans="1:10">
      <c r="A571" s="223" t="s">
        <v>593</v>
      </c>
      <c r="B571" s="205" t="s">
        <v>594</v>
      </c>
      <c r="C571" s="205"/>
      <c r="D571" s="223"/>
      <c r="E571" s="224"/>
      <c r="F571" s="71"/>
      <c r="G571" s="71"/>
      <c r="H571" s="188">
        <f t="shared" ref="H571:H596" si="21">E571*F571</f>
        <v>0</v>
      </c>
      <c r="I571" s="226"/>
      <c r="J571" s="226"/>
    </row>
    <row r="572" s="170" customFormat="1" ht="35.1" customHeight="1" outlineLevel="1" spans="1:10">
      <c r="A572" s="223">
        <v>1</v>
      </c>
      <c r="B572" s="205" t="s">
        <v>595</v>
      </c>
      <c r="C572" s="205" t="s">
        <v>596</v>
      </c>
      <c r="D572" s="223" t="s">
        <v>126</v>
      </c>
      <c r="E572" s="224">
        <v>8</v>
      </c>
      <c r="F572" s="71">
        <v>5000</v>
      </c>
      <c r="G572" s="71"/>
      <c r="H572" s="188">
        <f t="shared" si="21"/>
        <v>40000</v>
      </c>
      <c r="I572" s="226"/>
      <c r="J572" s="226"/>
    </row>
    <row r="573" s="170" customFormat="1" ht="30.95" customHeight="1" outlineLevel="1" spans="1:10">
      <c r="A573" s="223">
        <v>3</v>
      </c>
      <c r="B573" s="205" t="s">
        <v>597</v>
      </c>
      <c r="C573" s="205" t="s">
        <v>598</v>
      </c>
      <c r="D573" s="223" t="s">
        <v>126</v>
      </c>
      <c r="E573" s="224">
        <v>1</v>
      </c>
      <c r="F573" s="71">
        <v>10000</v>
      </c>
      <c r="G573" s="71"/>
      <c r="H573" s="188">
        <f t="shared" si="21"/>
        <v>10000</v>
      </c>
      <c r="I573" s="226"/>
      <c r="J573" s="226"/>
    </row>
    <row r="574" s="170" customFormat="1" ht="33.95" customHeight="1" outlineLevel="1" spans="1:10">
      <c r="A574" s="223">
        <v>4</v>
      </c>
      <c r="B574" s="205" t="s">
        <v>599</v>
      </c>
      <c r="C574" s="205" t="s">
        <v>600</v>
      </c>
      <c r="D574" s="223" t="s">
        <v>126</v>
      </c>
      <c r="E574" s="224">
        <v>1</v>
      </c>
      <c r="F574" s="71">
        <v>8500</v>
      </c>
      <c r="G574" s="71"/>
      <c r="H574" s="188">
        <f t="shared" si="21"/>
        <v>8500</v>
      </c>
      <c r="I574" s="226"/>
      <c r="J574" s="226"/>
    </row>
    <row r="575" s="170" customFormat="1" ht="30.95" customHeight="1" outlineLevel="1" spans="1:10">
      <c r="A575" s="223">
        <v>5</v>
      </c>
      <c r="B575" s="205" t="s">
        <v>601</v>
      </c>
      <c r="C575" s="205" t="s">
        <v>600</v>
      </c>
      <c r="D575" s="223" t="s">
        <v>126</v>
      </c>
      <c r="E575" s="224">
        <v>7</v>
      </c>
      <c r="F575" s="71">
        <v>8500</v>
      </c>
      <c r="G575" s="71"/>
      <c r="H575" s="188">
        <f t="shared" si="21"/>
        <v>59500</v>
      </c>
      <c r="I575" s="226"/>
      <c r="J575" s="226"/>
    </row>
    <row r="576" s="170" customFormat="1" ht="32.1" customHeight="1" outlineLevel="1" spans="1:10">
      <c r="A576" s="223">
        <v>6</v>
      </c>
      <c r="B576" s="205" t="s">
        <v>602</v>
      </c>
      <c r="C576" s="205" t="s">
        <v>603</v>
      </c>
      <c r="D576" s="223" t="s">
        <v>126</v>
      </c>
      <c r="E576" s="224">
        <v>1</v>
      </c>
      <c r="F576" s="71">
        <v>23000</v>
      </c>
      <c r="G576" s="71"/>
      <c r="H576" s="188">
        <f t="shared" si="21"/>
        <v>23000</v>
      </c>
      <c r="I576" s="226"/>
      <c r="J576" s="226"/>
    </row>
    <row r="577" s="170" customFormat="1" ht="33.95" customHeight="1" outlineLevel="1" spans="1:10">
      <c r="A577" s="223">
        <v>7</v>
      </c>
      <c r="B577" s="205" t="s">
        <v>604</v>
      </c>
      <c r="C577" s="205" t="s">
        <v>596</v>
      </c>
      <c r="D577" s="223" t="s">
        <v>126</v>
      </c>
      <c r="E577" s="224">
        <v>2</v>
      </c>
      <c r="F577" s="71">
        <v>3000</v>
      </c>
      <c r="G577" s="71"/>
      <c r="H577" s="188">
        <f t="shared" si="21"/>
        <v>6000</v>
      </c>
      <c r="I577" s="226"/>
      <c r="J577" s="226"/>
    </row>
    <row r="578" s="170" customFormat="1" ht="30.95" customHeight="1" outlineLevel="1" spans="1:10">
      <c r="A578" s="223">
        <v>8</v>
      </c>
      <c r="B578" s="205" t="s">
        <v>605</v>
      </c>
      <c r="C578" s="205" t="s">
        <v>606</v>
      </c>
      <c r="D578" s="223" t="s">
        <v>126</v>
      </c>
      <c r="E578" s="224">
        <v>1</v>
      </c>
      <c r="F578" s="71">
        <v>10000</v>
      </c>
      <c r="G578" s="71"/>
      <c r="H578" s="188">
        <f t="shared" si="21"/>
        <v>10000</v>
      </c>
      <c r="I578" s="226"/>
      <c r="J578" s="226"/>
    </row>
    <row r="579" s="170" customFormat="1" ht="38.1" customHeight="1" outlineLevel="1" spans="1:10">
      <c r="A579" s="223">
        <v>9</v>
      </c>
      <c r="B579" s="205" t="s">
        <v>607</v>
      </c>
      <c r="C579" s="205" t="s">
        <v>608</v>
      </c>
      <c r="D579" s="223" t="s">
        <v>126</v>
      </c>
      <c r="E579" s="224">
        <v>1</v>
      </c>
      <c r="F579" s="71">
        <v>5000</v>
      </c>
      <c r="G579" s="71"/>
      <c r="H579" s="188">
        <f t="shared" si="21"/>
        <v>5000</v>
      </c>
      <c r="I579" s="226"/>
      <c r="J579" s="226"/>
    </row>
    <row r="580" s="170" customFormat="1" ht="39" customHeight="1" outlineLevel="1" spans="1:10">
      <c r="A580" s="223">
        <v>10</v>
      </c>
      <c r="B580" s="205" t="s">
        <v>609</v>
      </c>
      <c r="C580" s="205" t="s">
        <v>610</v>
      </c>
      <c r="D580" s="223" t="s">
        <v>126</v>
      </c>
      <c r="E580" s="224">
        <v>1</v>
      </c>
      <c r="F580" s="71">
        <v>5000</v>
      </c>
      <c r="G580" s="71"/>
      <c r="H580" s="188">
        <f t="shared" si="21"/>
        <v>5000</v>
      </c>
      <c r="I580" s="226"/>
      <c r="J580" s="226"/>
    </row>
    <row r="581" s="170" customFormat="1" ht="36.95" customHeight="1" outlineLevel="1" spans="1:10">
      <c r="A581" s="223">
        <v>11</v>
      </c>
      <c r="B581" s="205" t="s">
        <v>611</v>
      </c>
      <c r="C581" s="205" t="s">
        <v>612</v>
      </c>
      <c r="D581" s="223" t="s">
        <v>126</v>
      </c>
      <c r="E581" s="224">
        <v>1</v>
      </c>
      <c r="F581" s="71">
        <v>5000</v>
      </c>
      <c r="G581" s="71"/>
      <c r="H581" s="188">
        <f t="shared" si="21"/>
        <v>5000</v>
      </c>
      <c r="I581" s="226"/>
      <c r="J581" s="226"/>
    </row>
    <row r="582" s="170" customFormat="1" ht="36" customHeight="1" outlineLevel="1" spans="1:10">
      <c r="A582" s="223">
        <v>12</v>
      </c>
      <c r="B582" s="205" t="s">
        <v>613</v>
      </c>
      <c r="C582" s="205" t="s">
        <v>614</v>
      </c>
      <c r="D582" s="223" t="s">
        <v>126</v>
      </c>
      <c r="E582" s="224">
        <v>1</v>
      </c>
      <c r="F582" s="71">
        <v>5000</v>
      </c>
      <c r="G582" s="71"/>
      <c r="H582" s="188">
        <f t="shared" si="21"/>
        <v>5000</v>
      </c>
      <c r="I582" s="226"/>
      <c r="J582" s="226"/>
    </row>
    <row r="583" s="170" customFormat="1" ht="35.1" customHeight="1" outlineLevel="1" spans="1:10">
      <c r="A583" s="223">
        <v>13</v>
      </c>
      <c r="B583" s="205" t="s">
        <v>615</v>
      </c>
      <c r="C583" s="205" t="s">
        <v>616</v>
      </c>
      <c r="D583" s="223" t="s">
        <v>126</v>
      </c>
      <c r="E583" s="224">
        <v>1</v>
      </c>
      <c r="F583" s="71">
        <v>4950</v>
      </c>
      <c r="G583" s="71"/>
      <c r="H583" s="188">
        <f t="shared" si="21"/>
        <v>4950</v>
      </c>
      <c r="I583" s="226"/>
      <c r="J583" s="226"/>
    </row>
    <row r="584" s="170" customFormat="1" ht="30" customHeight="1" outlineLevel="1" spans="1:10">
      <c r="A584" s="223">
        <v>14</v>
      </c>
      <c r="B584" s="205" t="s">
        <v>617</v>
      </c>
      <c r="C584" s="205" t="s">
        <v>596</v>
      </c>
      <c r="D584" s="223" t="s">
        <v>126</v>
      </c>
      <c r="E584" s="224">
        <v>15</v>
      </c>
      <c r="F584" s="71">
        <v>5000</v>
      </c>
      <c r="G584" s="71"/>
      <c r="H584" s="188">
        <f t="shared" si="21"/>
        <v>75000</v>
      </c>
      <c r="I584" s="226"/>
      <c r="J584" s="226"/>
    </row>
    <row r="585" s="170" customFormat="1" ht="32.1" customHeight="1" outlineLevel="1" spans="1:10">
      <c r="A585" s="223">
        <v>17</v>
      </c>
      <c r="B585" s="205" t="s">
        <v>602</v>
      </c>
      <c r="C585" s="205" t="s">
        <v>618</v>
      </c>
      <c r="D585" s="223" t="s">
        <v>126</v>
      </c>
      <c r="E585" s="224">
        <v>1</v>
      </c>
      <c r="F585" s="71">
        <v>40000</v>
      </c>
      <c r="G585" s="71"/>
      <c r="H585" s="188">
        <f t="shared" si="21"/>
        <v>40000</v>
      </c>
      <c r="I585" s="226"/>
      <c r="J585" s="226"/>
    </row>
    <row r="586" s="170" customFormat="1" ht="33" customHeight="1" outlineLevel="1" spans="1:10">
      <c r="A586" s="223">
        <v>18</v>
      </c>
      <c r="B586" s="205" t="s">
        <v>619</v>
      </c>
      <c r="C586" s="205" t="s">
        <v>620</v>
      </c>
      <c r="D586" s="223" t="s">
        <v>126</v>
      </c>
      <c r="E586" s="224">
        <v>6</v>
      </c>
      <c r="F586" s="71">
        <v>2000</v>
      </c>
      <c r="G586" s="71"/>
      <c r="H586" s="188">
        <f t="shared" si="21"/>
        <v>12000</v>
      </c>
      <c r="I586" s="226"/>
      <c r="J586" s="226"/>
    </row>
    <row r="587" s="170" customFormat="1" ht="33.95" customHeight="1" outlineLevel="1" spans="1:10">
      <c r="A587" s="223">
        <v>19</v>
      </c>
      <c r="B587" s="205" t="s">
        <v>621</v>
      </c>
      <c r="C587" s="205" t="s">
        <v>620</v>
      </c>
      <c r="D587" s="223" t="s">
        <v>126</v>
      </c>
      <c r="E587" s="224">
        <v>2</v>
      </c>
      <c r="F587" s="71">
        <v>2650</v>
      </c>
      <c r="G587" s="71"/>
      <c r="H587" s="188">
        <f t="shared" si="21"/>
        <v>5300</v>
      </c>
      <c r="I587" s="226"/>
      <c r="J587" s="226"/>
    </row>
    <row r="588" ht="27.95" customHeight="1" spans="1:10">
      <c r="A588" s="178" t="s">
        <v>622</v>
      </c>
      <c r="B588" s="185" t="s">
        <v>623</v>
      </c>
      <c r="C588" s="185"/>
      <c r="D588" s="178"/>
      <c r="E588" s="178"/>
      <c r="F588" s="187"/>
      <c r="G588" s="189"/>
      <c r="H588" s="188">
        <f t="shared" si="21"/>
        <v>0</v>
      </c>
      <c r="I588" s="179"/>
      <c r="J588" s="191"/>
    </row>
    <row r="589" s="170" customFormat="1" ht="54.95" customHeight="1" outlineLevel="1" spans="1:15">
      <c r="A589" s="178"/>
      <c r="B589" s="185" t="s">
        <v>536</v>
      </c>
      <c r="C589" s="185" t="s">
        <v>130</v>
      </c>
      <c r="D589" s="178" t="s">
        <v>46</v>
      </c>
      <c r="E589" s="186">
        <f>16.3*1.3*1+2.7*0.56*0.4</f>
        <v>21.7948</v>
      </c>
      <c r="F589" s="187">
        <f>F516</f>
        <v>30</v>
      </c>
      <c r="G589" s="187"/>
      <c r="H589" s="188">
        <f t="shared" si="21"/>
        <v>653.844</v>
      </c>
      <c r="I589" s="179"/>
      <c r="J589" s="191"/>
      <c r="K589" s="173"/>
      <c r="L589" s="173"/>
      <c r="M589" s="173"/>
      <c r="N589" s="173"/>
      <c r="O589" s="173"/>
    </row>
    <row r="590" s="170" customFormat="1" ht="62.1" customHeight="1" outlineLevel="1" spans="1:15">
      <c r="A590" s="178"/>
      <c r="B590" s="185" t="s">
        <v>188</v>
      </c>
      <c r="C590" s="185" t="s">
        <v>189</v>
      </c>
      <c r="D590" s="178" t="s">
        <v>46</v>
      </c>
      <c r="E590" s="186">
        <f>21.79-9.16-0.38</f>
        <v>12.25</v>
      </c>
      <c r="F590" s="187">
        <f>F517</f>
        <v>10</v>
      </c>
      <c r="G590" s="189"/>
      <c r="H590" s="188">
        <f t="shared" si="21"/>
        <v>122.5</v>
      </c>
      <c r="I590" s="179"/>
      <c r="J590" s="191"/>
      <c r="K590" s="173"/>
      <c r="L590" s="173"/>
      <c r="M590" s="173"/>
      <c r="N590" s="173"/>
      <c r="O590" s="173"/>
    </row>
    <row r="591" s="170" customFormat="1" ht="32.1" customHeight="1" outlineLevel="1" spans="1:15">
      <c r="A591" s="178"/>
      <c r="B591" s="185" t="s">
        <v>41</v>
      </c>
      <c r="C591" s="185" t="s">
        <v>109</v>
      </c>
      <c r="D591" s="178" t="s">
        <v>39</v>
      </c>
      <c r="E591" s="186">
        <v>22.7</v>
      </c>
      <c r="F591" s="187">
        <v>6</v>
      </c>
      <c r="G591" s="189"/>
      <c r="H591" s="188">
        <f t="shared" si="21"/>
        <v>136.2</v>
      </c>
      <c r="I591" s="179"/>
      <c r="J591" s="191"/>
      <c r="K591" s="173"/>
      <c r="L591" s="173"/>
      <c r="M591" s="173"/>
      <c r="N591" s="173"/>
      <c r="O591" s="173"/>
    </row>
    <row r="592" s="170" customFormat="1" ht="48" customHeight="1" outlineLevel="1" spans="1:15">
      <c r="A592" s="178"/>
      <c r="B592" s="185" t="s">
        <v>47</v>
      </c>
      <c r="C592" s="185" t="s">
        <v>55</v>
      </c>
      <c r="D592" s="178" t="s">
        <v>46</v>
      </c>
      <c r="E592" s="186">
        <v>1.78</v>
      </c>
      <c r="F592" s="187">
        <f>F519</f>
        <v>1000</v>
      </c>
      <c r="G592" s="187">
        <v>520</v>
      </c>
      <c r="H592" s="188">
        <f t="shared" si="21"/>
        <v>1780</v>
      </c>
      <c r="I592" s="179"/>
      <c r="J592" s="191"/>
      <c r="K592" s="173"/>
      <c r="L592" s="173"/>
      <c r="M592" s="173"/>
      <c r="N592" s="173"/>
      <c r="O592" s="173"/>
    </row>
    <row r="593" s="170" customFormat="1" ht="39.95" customHeight="1" outlineLevel="1" spans="1:15">
      <c r="A593" s="178"/>
      <c r="B593" s="185" t="s">
        <v>44</v>
      </c>
      <c r="C593" s="185" t="s">
        <v>624</v>
      </c>
      <c r="D593" s="178" t="s">
        <v>46</v>
      </c>
      <c r="E593" s="186">
        <v>2.12</v>
      </c>
      <c r="F593" s="187">
        <f>F506</f>
        <v>600</v>
      </c>
      <c r="G593" s="187">
        <v>160</v>
      </c>
      <c r="H593" s="188">
        <f t="shared" si="21"/>
        <v>1272</v>
      </c>
      <c r="I593" s="179"/>
      <c r="J593" s="191"/>
      <c r="K593" s="173"/>
      <c r="L593" s="173"/>
      <c r="M593" s="173"/>
      <c r="N593" s="173"/>
      <c r="O593" s="173"/>
    </row>
    <row r="594" s="170" customFormat="1" ht="48.95" customHeight="1" outlineLevel="1" spans="1:15">
      <c r="A594" s="178"/>
      <c r="B594" s="185" t="s">
        <v>95</v>
      </c>
      <c r="C594" s="185" t="s">
        <v>96</v>
      </c>
      <c r="D594" s="178" t="s">
        <v>46</v>
      </c>
      <c r="E594" s="186">
        <v>0.44</v>
      </c>
      <c r="F594" s="187">
        <f>F520</f>
        <v>635.73</v>
      </c>
      <c r="G594" s="189">
        <v>480</v>
      </c>
      <c r="H594" s="188">
        <f t="shared" si="21"/>
        <v>279.7212</v>
      </c>
      <c r="I594" s="179"/>
      <c r="J594" s="191"/>
      <c r="K594" s="173"/>
      <c r="L594" s="173"/>
      <c r="M594" s="173"/>
      <c r="N594" s="173"/>
      <c r="O594" s="173"/>
    </row>
    <row r="595" s="170" customFormat="1" ht="30.95" customHeight="1" outlineLevel="1" spans="1:15">
      <c r="A595" s="178"/>
      <c r="B595" s="185" t="s">
        <v>114</v>
      </c>
      <c r="C595" s="185" t="s">
        <v>115</v>
      </c>
      <c r="D595" s="178" t="s">
        <v>39</v>
      </c>
      <c r="E595" s="186">
        <f>2.7*0.24</f>
        <v>0.648</v>
      </c>
      <c r="F595" s="187">
        <f>F522</f>
        <v>62.87</v>
      </c>
      <c r="G595" s="189"/>
      <c r="H595" s="188">
        <f t="shared" si="21"/>
        <v>40.73976</v>
      </c>
      <c r="I595" s="179"/>
      <c r="J595" s="191"/>
      <c r="K595" s="173"/>
      <c r="L595" s="173"/>
      <c r="M595" s="173"/>
      <c r="N595" s="173"/>
      <c r="O595" s="173"/>
    </row>
    <row r="596" s="170" customFormat="1" ht="45.95" customHeight="1" outlineLevel="1" spans="1:15">
      <c r="A596" s="178"/>
      <c r="B596" s="185" t="s">
        <v>197</v>
      </c>
      <c r="C596" s="185" t="s">
        <v>538</v>
      </c>
      <c r="D596" s="178" t="s">
        <v>46</v>
      </c>
      <c r="E596" s="186">
        <v>3.26</v>
      </c>
      <c r="F596" s="187">
        <f>F196</f>
        <v>1217.21</v>
      </c>
      <c r="G596" s="187">
        <v>550</v>
      </c>
      <c r="H596" s="188">
        <f t="shared" si="21"/>
        <v>3968.1046</v>
      </c>
      <c r="I596" s="179"/>
      <c r="J596" s="191"/>
      <c r="K596" s="173"/>
      <c r="L596" s="173"/>
      <c r="M596" s="173"/>
      <c r="N596" s="173"/>
      <c r="O596" s="173"/>
    </row>
    <row r="597" s="170" customFormat="1" ht="60" customHeight="1" outlineLevel="1" spans="1:15">
      <c r="A597" s="178"/>
      <c r="B597" s="185" t="s">
        <v>110</v>
      </c>
      <c r="C597" s="185" t="s">
        <v>540</v>
      </c>
      <c r="D597" s="178" t="s">
        <v>46</v>
      </c>
      <c r="E597" s="186">
        <v>0.06</v>
      </c>
      <c r="F597" s="187">
        <f>F525</f>
        <v>1000</v>
      </c>
      <c r="G597" s="187">
        <v>535</v>
      </c>
      <c r="H597" s="188">
        <f t="shared" ref="H597:H602" si="22">E597*F597</f>
        <v>60</v>
      </c>
      <c r="I597" s="179"/>
      <c r="J597" s="191"/>
      <c r="K597" s="173"/>
      <c r="L597" s="173"/>
      <c r="M597" s="173"/>
      <c r="N597" s="173"/>
      <c r="O597" s="173"/>
    </row>
    <row r="598" s="170" customFormat="1" ht="47.1" customHeight="1" outlineLevel="1" spans="1:15">
      <c r="A598" s="178"/>
      <c r="B598" s="185" t="s">
        <v>625</v>
      </c>
      <c r="C598" s="185" t="s">
        <v>538</v>
      </c>
      <c r="D598" s="178" t="s">
        <v>46</v>
      </c>
      <c r="E598" s="186">
        <v>6.31</v>
      </c>
      <c r="F598" s="187">
        <f>F527</f>
        <v>2000</v>
      </c>
      <c r="G598" s="187">
        <v>535</v>
      </c>
      <c r="H598" s="188">
        <f t="shared" si="22"/>
        <v>12620</v>
      </c>
      <c r="I598" s="179"/>
      <c r="J598" s="191"/>
      <c r="K598" s="173"/>
      <c r="L598" s="173"/>
      <c r="M598" s="173"/>
      <c r="N598" s="173"/>
      <c r="O598" s="173"/>
    </row>
    <row r="599" s="170" customFormat="1" ht="42.95" customHeight="1" outlineLevel="1" spans="1:15">
      <c r="A599" s="178"/>
      <c r="B599" s="185" t="s">
        <v>137</v>
      </c>
      <c r="C599" s="185" t="s">
        <v>545</v>
      </c>
      <c r="D599" s="178" t="s">
        <v>72</v>
      </c>
      <c r="E599" s="193">
        <f>0.412-0.072</f>
        <v>0.34</v>
      </c>
      <c r="F599" s="187">
        <f>F528</f>
        <v>9000</v>
      </c>
      <c r="G599" s="189">
        <v>4600</v>
      </c>
      <c r="H599" s="188">
        <f t="shared" si="22"/>
        <v>3060</v>
      </c>
      <c r="I599" s="179"/>
      <c r="J599" s="191"/>
      <c r="K599" s="173"/>
      <c r="L599" s="173"/>
      <c r="M599" s="173"/>
      <c r="N599" s="173"/>
      <c r="O599" s="173"/>
    </row>
    <row r="600" s="170" customFormat="1" ht="38.1" customHeight="1" outlineLevel="1" spans="1:15">
      <c r="A600" s="178"/>
      <c r="B600" s="185" t="s">
        <v>137</v>
      </c>
      <c r="C600" s="185" t="s">
        <v>546</v>
      </c>
      <c r="D600" s="178" t="s">
        <v>72</v>
      </c>
      <c r="E600" s="193">
        <v>0.072</v>
      </c>
      <c r="F600" s="187">
        <f>F599</f>
        <v>9000</v>
      </c>
      <c r="G600" s="189">
        <v>4600</v>
      </c>
      <c r="H600" s="188">
        <f t="shared" si="22"/>
        <v>648</v>
      </c>
      <c r="I600" s="179"/>
      <c r="J600" s="191"/>
      <c r="K600" s="173"/>
      <c r="L600" s="173"/>
      <c r="M600" s="173"/>
      <c r="N600" s="173"/>
      <c r="O600" s="173"/>
    </row>
    <row r="601" ht="39.95" customHeight="1" outlineLevel="1" spans="1:10">
      <c r="A601" s="178"/>
      <c r="B601" s="185" t="s">
        <v>626</v>
      </c>
      <c r="C601" s="185" t="s">
        <v>469</v>
      </c>
      <c r="D601" s="178" t="s">
        <v>39</v>
      </c>
      <c r="E601" s="186">
        <v>5.73</v>
      </c>
      <c r="F601" s="187">
        <f>F444</f>
        <v>223.42</v>
      </c>
      <c r="G601" s="189">
        <v>145</v>
      </c>
      <c r="H601" s="188">
        <f t="shared" si="22"/>
        <v>1280.1966</v>
      </c>
      <c r="I601" s="179"/>
      <c r="J601" s="191"/>
    </row>
    <row r="602" ht="50.1" customHeight="1" outlineLevel="1" spans="1:10">
      <c r="A602" s="178"/>
      <c r="B602" s="185" t="s">
        <v>470</v>
      </c>
      <c r="C602" s="185" t="s">
        <v>627</v>
      </c>
      <c r="D602" s="178" t="s">
        <v>39</v>
      </c>
      <c r="E602" s="186">
        <v>19.91</v>
      </c>
      <c r="F602" s="187">
        <f>F445</f>
        <v>249.05</v>
      </c>
      <c r="G602" s="189">
        <v>115</v>
      </c>
      <c r="H602" s="188">
        <f t="shared" si="22"/>
        <v>4958.5855</v>
      </c>
      <c r="I602" s="179"/>
      <c r="J602" s="191"/>
    </row>
    <row r="603" ht="39.95" customHeight="1" spans="1:10">
      <c r="A603" s="228" t="s">
        <v>628</v>
      </c>
      <c r="B603" s="229"/>
      <c r="C603" s="178"/>
      <c r="D603" s="178"/>
      <c r="E603" s="230"/>
      <c r="F603" s="231"/>
      <c r="G603" s="231"/>
      <c r="H603" s="232">
        <f>SUM(H7:H602)</f>
        <v>7825969.25707977</v>
      </c>
      <c r="I603" s="235"/>
      <c r="J603" s="236"/>
    </row>
    <row r="604" ht="39" customHeight="1" spans="1:10">
      <c r="A604" s="233" t="s">
        <v>629</v>
      </c>
      <c r="B604" s="234"/>
      <c r="C604" s="234"/>
      <c r="D604" s="234"/>
      <c r="E604" s="234"/>
      <c r="F604" s="234"/>
      <c r="G604" s="234"/>
      <c r="H604" s="234"/>
      <c r="I604" s="234"/>
      <c r="J604" s="234"/>
    </row>
    <row r="605" ht="9" customHeight="1"/>
  </sheetData>
  <sheetProtection selectLockedCells="1"/>
  <autoFilter ref="A1:J604">
    <extLst/>
  </autoFilter>
  <mergeCells count="13">
    <mergeCell ref="A1:J1"/>
    <mergeCell ref="F2:J2"/>
    <mergeCell ref="F3:G3"/>
    <mergeCell ref="A603:B603"/>
    <mergeCell ref="A604:J604"/>
    <mergeCell ref="A2:A4"/>
    <mergeCell ref="B2:B4"/>
    <mergeCell ref="C2:C4"/>
    <mergeCell ref="D2:D4"/>
    <mergeCell ref="E2:E4"/>
    <mergeCell ref="H3:H4"/>
    <mergeCell ref="I3:I4"/>
    <mergeCell ref="J3:J4"/>
  </mergeCells>
  <pageMargins left="0.786805555555556" right="0.196527777777778" top="0.786805555555556" bottom="0.393055555555556" header="0" footer="0"/>
  <pageSetup paperSize="9" scale="88" fitToHeight="0" orientation="landscape"/>
  <headerFooter/>
  <rowBreaks count="1" manualBreakCount="1">
    <brk id="572" max="9" man="1"/>
  </row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92"/>
  <sheetViews>
    <sheetView view="pageBreakPreview" zoomScale="64" zoomScaleNormal="70" topLeftCell="A65" workbookViewId="0">
      <selection activeCell="E90" sqref="E90"/>
    </sheetView>
  </sheetViews>
  <sheetFormatPr defaultColWidth="10.287037037037" defaultRowHeight="17.4"/>
  <cols>
    <col min="1" max="1" width="6.71296296296296" style="138" customWidth="1"/>
    <col min="2" max="2" width="22.4259259259259" style="138" customWidth="1"/>
    <col min="3" max="3" width="16.1388888888889" style="138" customWidth="1"/>
    <col min="4" max="4" width="10.5740740740741" style="138" customWidth="1"/>
    <col min="5" max="6" width="12" style="139" customWidth="1"/>
    <col min="7" max="7" width="17.712962962963" style="138" customWidth="1"/>
    <col min="8" max="8" width="14.5740740740741" style="138" customWidth="1"/>
    <col min="9" max="10" width="16.5740740740741" style="138" customWidth="1"/>
    <col min="11" max="11" width="112.712962962963" style="138" customWidth="1"/>
    <col min="12" max="16384" width="10.287037037037" style="140"/>
  </cols>
  <sheetData>
    <row r="1" ht="44.1" customHeight="1" spans="1:11">
      <c r="A1" s="141" t="s">
        <v>630</v>
      </c>
      <c r="B1" s="142"/>
      <c r="C1" s="142"/>
      <c r="D1" s="142"/>
      <c r="E1" s="143"/>
      <c r="F1" s="143"/>
      <c r="G1" s="142"/>
      <c r="H1" s="142"/>
      <c r="I1" s="142"/>
      <c r="J1" s="142"/>
      <c r="K1" s="142"/>
    </row>
    <row r="2" s="136" customFormat="1" ht="24.95" customHeight="1" spans="1:11">
      <c r="A2" s="142" t="s">
        <v>11</v>
      </c>
      <c r="B2" s="142" t="s">
        <v>631</v>
      </c>
      <c r="C2" s="142" t="s">
        <v>632</v>
      </c>
      <c r="D2" s="142" t="s">
        <v>633</v>
      </c>
      <c r="E2" s="143" t="s">
        <v>29</v>
      </c>
      <c r="F2" s="143" t="s">
        <v>634</v>
      </c>
      <c r="G2" s="144" t="s">
        <v>635</v>
      </c>
      <c r="H2" s="145"/>
      <c r="I2" s="145"/>
      <c r="J2" s="154"/>
      <c r="K2" s="142" t="s">
        <v>636</v>
      </c>
    </row>
    <row r="3" s="136" customFormat="1" ht="24.95" customHeight="1" spans="1:11">
      <c r="A3" s="142"/>
      <c r="B3" s="142"/>
      <c r="C3" s="142"/>
      <c r="D3" s="142"/>
      <c r="E3" s="143"/>
      <c r="F3" s="143"/>
      <c r="G3" s="146" t="s">
        <v>637</v>
      </c>
      <c r="H3" s="146" t="s">
        <v>638</v>
      </c>
      <c r="I3" s="146" t="s">
        <v>639</v>
      </c>
      <c r="J3" s="146" t="s">
        <v>640</v>
      </c>
      <c r="K3" s="142"/>
    </row>
    <row r="4" s="136" customFormat="1" ht="27.95" customHeight="1" spans="1:11">
      <c r="A4" s="147" t="s">
        <v>641</v>
      </c>
      <c r="B4" s="147"/>
      <c r="C4" s="142"/>
      <c r="D4" s="142"/>
      <c r="E4" s="143"/>
      <c r="F4" s="143"/>
      <c r="G4" s="142"/>
      <c r="H4" s="142"/>
      <c r="I4" s="142"/>
      <c r="J4" s="142"/>
      <c r="K4" s="142"/>
    </row>
    <row r="5" s="136" customFormat="1" ht="27.95" customHeight="1" outlineLevel="1" spans="1:13">
      <c r="A5" s="142">
        <v>1</v>
      </c>
      <c r="B5" s="146" t="s">
        <v>642</v>
      </c>
      <c r="C5" s="148">
        <v>18</v>
      </c>
      <c r="D5" s="146" t="s">
        <v>643</v>
      </c>
      <c r="E5" s="143">
        <v>35000</v>
      </c>
      <c r="F5" s="143">
        <f>C5*E5</f>
        <v>630000</v>
      </c>
      <c r="G5" s="148" t="s">
        <v>644</v>
      </c>
      <c r="H5" s="148" t="s">
        <v>645</v>
      </c>
      <c r="I5" s="148" t="s">
        <v>646</v>
      </c>
      <c r="J5" s="148" t="s">
        <v>644</v>
      </c>
      <c r="K5" s="146" t="s">
        <v>647</v>
      </c>
      <c r="M5" s="136">
        <v>2</v>
      </c>
    </row>
    <row r="6" s="136" customFormat="1" ht="27.95" customHeight="1" outlineLevel="1" spans="1:11">
      <c r="A6" s="142">
        <v>2</v>
      </c>
      <c r="B6" s="146" t="s">
        <v>648</v>
      </c>
      <c r="C6" s="148">
        <v>2</v>
      </c>
      <c r="D6" s="146" t="s">
        <v>643</v>
      </c>
      <c r="E6" s="143">
        <v>35000</v>
      </c>
      <c r="F6" s="143">
        <f>C6*E6</f>
        <v>70000</v>
      </c>
      <c r="G6" s="148" t="s">
        <v>644</v>
      </c>
      <c r="H6" s="148" t="s">
        <v>645</v>
      </c>
      <c r="I6" s="148" t="s">
        <v>649</v>
      </c>
      <c r="J6" s="148" t="s">
        <v>644</v>
      </c>
      <c r="K6" s="146" t="s">
        <v>650</v>
      </c>
    </row>
    <row r="7" s="136" customFormat="1" ht="27.95" customHeight="1" outlineLevel="1" spans="1:11">
      <c r="A7" s="142">
        <v>3</v>
      </c>
      <c r="B7" s="146" t="s">
        <v>651</v>
      </c>
      <c r="C7" s="148">
        <v>15</v>
      </c>
      <c r="D7" s="146" t="s">
        <v>643</v>
      </c>
      <c r="E7" s="143">
        <v>13000</v>
      </c>
      <c r="F7" s="143">
        <f>C7*E7</f>
        <v>195000</v>
      </c>
      <c r="G7" s="148">
        <v>20</v>
      </c>
      <c r="H7" s="148" t="s">
        <v>645</v>
      </c>
      <c r="I7" s="148" t="s">
        <v>652</v>
      </c>
      <c r="J7" s="148" t="s">
        <v>653</v>
      </c>
      <c r="K7" s="146" t="s">
        <v>654</v>
      </c>
    </row>
    <row r="8" s="136" customFormat="1" ht="27.95" customHeight="1" spans="1:11">
      <c r="A8" s="147" t="s">
        <v>655</v>
      </c>
      <c r="B8" s="147"/>
      <c r="C8" s="147">
        <f>SUM(C5:C7)</f>
        <v>35</v>
      </c>
      <c r="D8" s="142"/>
      <c r="E8" s="143">
        <v>0</v>
      </c>
      <c r="F8" s="143">
        <f>SUM(F5:F7)</f>
        <v>895000</v>
      </c>
      <c r="G8" s="142"/>
      <c r="H8" s="142"/>
      <c r="I8" s="142"/>
      <c r="J8" s="142"/>
      <c r="K8" s="142"/>
    </row>
    <row r="9" s="136" customFormat="1" ht="27.95" customHeight="1" spans="1:11">
      <c r="A9" s="147" t="s">
        <v>656</v>
      </c>
      <c r="B9" s="147"/>
      <c r="C9" s="142"/>
      <c r="D9" s="142"/>
      <c r="E9" s="143">
        <v>0</v>
      </c>
      <c r="F9" s="143"/>
      <c r="G9" s="142"/>
      <c r="H9" s="142"/>
      <c r="I9" s="142"/>
      <c r="J9" s="142"/>
      <c r="K9" s="142"/>
    </row>
    <row r="10" s="136" customFormat="1" ht="27.95" customHeight="1" outlineLevel="1" spans="1:11">
      <c r="A10" s="142">
        <v>1</v>
      </c>
      <c r="B10" s="149" t="s">
        <v>657</v>
      </c>
      <c r="C10" s="148">
        <v>60</v>
      </c>
      <c r="D10" s="149" t="s">
        <v>643</v>
      </c>
      <c r="E10" s="143">
        <v>15700</v>
      </c>
      <c r="F10" s="143">
        <f>C10*E10</f>
        <v>942000</v>
      </c>
      <c r="G10" s="148" t="s">
        <v>658</v>
      </c>
      <c r="H10" s="148" t="s">
        <v>659</v>
      </c>
      <c r="I10" s="148" t="s">
        <v>652</v>
      </c>
      <c r="J10" s="148" t="s">
        <v>653</v>
      </c>
      <c r="K10" s="146" t="s">
        <v>660</v>
      </c>
    </row>
    <row r="11" s="136" customFormat="1" ht="27.95" customHeight="1" outlineLevel="1" spans="1:11">
      <c r="A11" s="142">
        <v>2</v>
      </c>
      <c r="B11" s="149" t="s">
        <v>661</v>
      </c>
      <c r="C11" s="148">
        <v>65</v>
      </c>
      <c r="D11" s="149" t="s">
        <v>643</v>
      </c>
      <c r="E11" s="143">
        <v>11200</v>
      </c>
      <c r="F11" s="143">
        <f>C11*E11</f>
        <v>728000</v>
      </c>
      <c r="G11" s="148" t="s">
        <v>662</v>
      </c>
      <c r="H11" s="148" t="s">
        <v>663</v>
      </c>
      <c r="I11" s="148" t="s">
        <v>664</v>
      </c>
      <c r="J11" s="148" t="s">
        <v>665</v>
      </c>
      <c r="K11" s="146" t="s">
        <v>660</v>
      </c>
    </row>
    <row r="12" s="136" customFormat="1" ht="27.95" customHeight="1" outlineLevel="1" spans="1:11">
      <c r="A12" s="142">
        <v>3</v>
      </c>
      <c r="B12" s="146" t="s">
        <v>666</v>
      </c>
      <c r="C12" s="148">
        <v>23</v>
      </c>
      <c r="D12" s="149" t="s">
        <v>643</v>
      </c>
      <c r="E12" s="143">
        <v>11200</v>
      </c>
      <c r="F12" s="143">
        <f>C12*E12</f>
        <v>257600</v>
      </c>
      <c r="G12" s="148" t="s">
        <v>667</v>
      </c>
      <c r="H12" s="148" t="s">
        <v>668</v>
      </c>
      <c r="I12" s="148" t="s">
        <v>669</v>
      </c>
      <c r="J12" s="148" t="s">
        <v>665</v>
      </c>
      <c r="K12" s="146" t="s">
        <v>660</v>
      </c>
    </row>
    <row r="13" s="136" customFormat="1" ht="27.95" customHeight="1" outlineLevel="1" spans="1:11">
      <c r="A13" s="142">
        <v>4</v>
      </c>
      <c r="B13" s="146" t="s">
        <v>670</v>
      </c>
      <c r="C13" s="148">
        <v>8</v>
      </c>
      <c r="D13" s="149" t="s">
        <v>643</v>
      </c>
      <c r="E13" s="143">
        <v>11200</v>
      </c>
      <c r="F13" s="143">
        <f>C13*E13</f>
        <v>89600</v>
      </c>
      <c r="G13" s="148" t="s">
        <v>671</v>
      </c>
      <c r="H13" s="148" t="s">
        <v>672</v>
      </c>
      <c r="I13" s="148" t="s">
        <v>673</v>
      </c>
      <c r="J13" s="148" t="s">
        <v>674</v>
      </c>
      <c r="K13" s="146" t="s">
        <v>660</v>
      </c>
    </row>
    <row r="14" s="136" customFormat="1" ht="27.95" customHeight="1" spans="1:11">
      <c r="A14" s="147" t="s">
        <v>655</v>
      </c>
      <c r="B14" s="147"/>
      <c r="C14" s="147">
        <f>SUM(C10:C13)</f>
        <v>156</v>
      </c>
      <c r="D14" s="142"/>
      <c r="E14" s="143">
        <v>0</v>
      </c>
      <c r="F14" s="143">
        <f>SUM(F10:F13)</f>
        <v>2017200</v>
      </c>
      <c r="G14" s="142"/>
      <c r="H14" s="142"/>
      <c r="I14" s="142"/>
      <c r="J14" s="142"/>
      <c r="K14" s="142"/>
    </row>
    <row r="15" s="136" customFormat="1" ht="27.95" customHeight="1" spans="1:11">
      <c r="A15" s="147" t="s">
        <v>675</v>
      </c>
      <c r="B15" s="147"/>
      <c r="C15" s="142"/>
      <c r="D15" s="142"/>
      <c r="E15" s="143">
        <v>0</v>
      </c>
      <c r="F15" s="143"/>
      <c r="G15" s="142"/>
      <c r="H15" s="142"/>
      <c r="I15" s="142"/>
      <c r="J15" s="142"/>
      <c r="K15" s="142"/>
    </row>
    <row r="16" s="136" customFormat="1" ht="27.95" customHeight="1" outlineLevel="1" spans="1:11">
      <c r="A16" s="142">
        <v>1</v>
      </c>
      <c r="B16" s="146" t="s">
        <v>676</v>
      </c>
      <c r="C16" s="148">
        <v>7</v>
      </c>
      <c r="D16" s="146" t="s">
        <v>643</v>
      </c>
      <c r="E16" s="143">
        <v>5600</v>
      </c>
      <c r="F16" s="143">
        <f t="shared" ref="F16:F30" si="0">C16*E16</f>
        <v>39200</v>
      </c>
      <c r="G16" s="148" t="s">
        <v>677</v>
      </c>
      <c r="H16" s="148" t="s">
        <v>664</v>
      </c>
      <c r="I16" s="148" t="s">
        <v>678</v>
      </c>
      <c r="J16" s="146" t="s">
        <v>679</v>
      </c>
      <c r="K16" s="146" t="s">
        <v>680</v>
      </c>
    </row>
    <row r="17" s="136" customFormat="1" ht="27.95" customHeight="1" outlineLevel="1" spans="1:16">
      <c r="A17" s="142">
        <v>2</v>
      </c>
      <c r="B17" s="146" t="s">
        <v>681</v>
      </c>
      <c r="C17" s="148">
        <v>76</v>
      </c>
      <c r="D17" s="146" t="s">
        <v>643</v>
      </c>
      <c r="E17" s="143">
        <v>5400</v>
      </c>
      <c r="F17" s="143">
        <f t="shared" si="0"/>
        <v>410400</v>
      </c>
      <c r="G17" s="148" t="s">
        <v>677</v>
      </c>
      <c r="H17" s="148" t="s">
        <v>664</v>
      </c>
      <c r="I17" s="148" t="s">
        <v>678</v>
      </c>
      <c r="J17" s="146" t="s">
        <v>679</v>
      </c>
      <c r="K17" s="146" t="s">
        <v>680</v>
      </c>
      <c r="M17" s="95"/>
      <c r="N17" s="95"/>
      <c r="O17" s="95"/>
      <c r="P17" s="95"/>
    </row>
    <row r="18" s="136" customFormat="1" ht="27.95" customHeight="1" outlineLevel="1" spans="1:11">
      <c r="A18" s="142">
        <v>3</v>
      </c>
      <c r="B18" s="146" t="s">
        <v>682</v>
      </c>
      <c r="C18" s="148">
        <v>20</v>
      </c>
      <c r="D18" s="146" t="s">
        <v>643</v>
      </c>
      <c r="E18" s="143">
        <v>4200</v>
      </c>
      <c r="F18" s="143">
        <f t="shared" si="0"/>
        <v>84000</v>
      </c>
      <c r="G18" s="150" t="s">
        <v>683</v>
      </c>
      <c r="H18" s="148" t="s">
        <v>652</v>
      </c>
      <c r="I18" s="148" t="s">
        <v>678</v>
      </c>
      <c r="J18" s="146" t="s">
        <v>684</v>
      </c>
      <c r="K18" s="146" t="s">
        <v>680</v>
      </c>
    </row>
    <row r="19" s="136" customFormat="1" ht="27.95" customHeight="1" outlineLevel="1" spans="1:11">
      <c r="A19" s="142">
        <v>4</v>
      </c>
      <c r="B19" s="146" t="s">
        <v>685</v>
      </c>
      <c r="C19" s="148">
        <v>51</v>
      </c>
      <c r="D19" s="146" t="s">
        <v>643</v>
      </c>
      <c r="E19" s="143">
        <v>1300</v>
      </c>
      <c r="F19" s="143">
        <f t="shared" si="0"/>
        <v>66300</v>
      </c>
      <c r="G19" s="148" t="s">
        <v>686</v>
      </c>
      <c r="H19" s="148" t="s">
        <v>678</v>
      </c>
      <c r="I19" s="148" t="s">
        <v>687</v>
      </c>
      <c r="J19" s="146" t="s">
        <v>688</v>
      </c>
      <c r="K19" s="146" t="s">
        <v>689</v>
      </c>
    </row>
    <row r="20" s="136" customFormat="1" ht="27.95" customHeight="1" outlineLevel="1" spans="1:11">
      <c r="A20" s="142">
        <v>5</v>
      </c>
      <c r="B20" s="146" t="s">
        <v>690</v>
      </c>
      <c r="C20" s="148">
        <v>45</v>
      </c>
      <c r="D20" s="146" t="s">
        <v>643</v>
      </c>
      <c r="E20" s="143">
        <v>1300</v>
      </c>
      <c r="F20" s="143">
        <f t="shared" si="0"/>
        <v>58500</v>
      </c>
      <c r="G20" s="148" t="s">
        <v>686</v>
      </c>
      <c r="H20" s="148" t="s">
        <v>678</v>
      </c>
      <c r="I20" s="148" t="s">
        <v>687</v>
      </c>
      <c r="J20" s="146" t="s">
        <v>688</v>
      </c>
      <c r="K20" s="146" t="s">
        <v>680</v>
      </c>
    </row>
    <row r="21" s="136" customFormat="1" ht="27.95" customHeight="1" outlineLevel="1" spans="1:11">
      <c r="A21" s="142">
        <v>6</v>
      </c>
      <c r="B21" s="146" t="s">
        <v>691</v>
      </c>
      <c r="C21" s="148">
        <v>30</v>
      </c>
      <c r="D21" s="146" t="s">
        <v>643</v>
      </c>
      <c r="E21" s="143">
        <v>2400</v>
      </c>
      <c r="F21" s="143">
        <f t="shared" si="0"/>
        <v>72000</v>
      </c>
      <c r="G21" s="148" t="s">
        <v>692</v>
      </c>
      <c r="H21" s="148" t="s">
        <v>678</v>
      </c>
      <c r="I21" s="148" t="s">
        <v>687</v>
      </c>
      <c r="J21" s="146" t="s">
        <v>688</v>
      </c>
      <c r="K21" s="146" t="s">
        <v>693</v>
      </c>
    </row>
    <row r="22" s="136" customFormat="1" ht="27.95" customHeight="1" outlineLevel="1" spans="1:11">
      <c r="A22" s="142">
        <v>7</v>
      </c>
      <c r="B22" s="146" t="s">
        <v>694</v>
      </c>
      <c r="C22" s="148">
        <v>21</v>
      </c>
      <c r="D22" s="146" t="s">
        <v>643</v>
      </c>
      <c r="E22" s="143">
        <v>8400</v>
      </c>
      <c r="F22" s="143">
        <f t="shared" si="0"/>
        <v>176400</v>
      </c>
      <c r="G22" s="148" t="s">
        <v>695</v>
      </c>
      <c r="H22" s="148" t="s">
        <v>649</v>
      </c>
      <c r="I22" s="148" t="s">
        <v>652</v>
      </c>
      <c r="J22" s="146" t="s">
        <v>688</v>
      </c>
      <c r="K22" s="146" t="s">
        <v>696</v>
      </c>
    </row>
    <row r="23" s="136" customFormat="1" ht="27.95" customHeight="1" outlineLevel="1" spans="1:11">
      <c r="A23" s="142">
        <v>8</v>
      </c>
      <c r="B23" s="146" t="s">
        <v>697</v>
      </c>
      <c r="C23" s="148">
        <v>48</v>
      </c>
      <c r="D23" s="146" t="s">
        <v>643</v>
      </c>
      <c r="E23" s="143">
        <v>3600</v>
      </c>
      <c r="F23" s="143">
        <f t="shared" si="0"/>
        <v>172800</v>
      </c>
      <c r="G23" s="148" t="s">
        <v>698</v>
      </c>
      <c r="H23" s="148" t="s">
        <v>652</v>
      </c>
      <c r="I23" s="148" t="s">
        <v>664</v>
      </c>
      <c r="J23" s="146" t="s">
        <v>688</v>
      </c>
      <c r="K23" s="146" t="s">
        <v>696</v>
      </c>
    </row>
    <row r="24" s="136" customFormat="1" ht="27.95" customHeight="1" outlineLevel="1" spans="1:11">
      <c r="A24" s="142">
        <v>9</v>
      </c>
      <c r="B24" s="146" t="s">
        <v>699</v>
      </c>
      <c r="C24" s="148">
        <v>66</v>
      </c>
      <c r="D24" s="146" t="s">
        <v>643</v>
      </c>
      <c r="E24" s="143">
        <v>1800</v>
      </c>
      <c r="F24" s="143">
        <f t="shared" si="0"/>
        <v>118800</v>
      </c>
      <c r="G24" s="148" t="s">
        <v>700</v>
      </c>
      <c r="H24" s="148" t="s">
        <v>673</v>
      </c>
      <c r="I24" s="148" t="s">
        <v>673</v>
      </c>
      <c r="J24" s="146" t="s">
        <v>688</v>
      </c>
      <c r="K24" s="146" t="s">
        <v>696</v>
      </c>
    </row>
    <row r="25" s="136" customFormat="1" ht="27.95" customHeight="1" outlineLevel="1" spans="1:11">
      <c r="A25" s="142">
        <v>10</v>
      </c>
      <c r="B25" s="146" t="s">
        <v>701</v>
      </c>
      <c r="C25" s="148">
        <v>15</v>
      </c>
      <c r="D25" s="146" t="s">
        <v>643</v>
      </c>
      <c r="E25" s="143">
        <v>2400</v>
      </c>
      <c r="F25" s="143">
        <f t="shared" si="0"/>
        <v>36000</v>
      </c>
      <c r="G25" s="150" t="s">
        <v>702</v>
      </c>
      <c r="H25" s="148" t="s">
        <v>703</v>
      </c>
      <c r="I25" s="148" t="s">
        <v>704</v>
      </c>
      <c r="J25" s="148" t="s">
        <v>705</v>
      </c>
      <c r="K25" s="146" t="s">
        <v>680</v>
      </c>
    </row>
    <row r="26" s="136" customFormat="1" ht="27.95" customHeight="1" outlineLevel="1" spans="1:11">
      <c r="A26" s="142">
        <v>11</v>
      </c>
      <c r="B26" s="146" t="s">
        <v>706</v>
      </c>
      <c r="C26" s="148">
        <v>26</v>
      </c>
      <c r="D26" s="146" t="s">
        <v>643</v>
      </c>
      <c r="E26" s="143">
        <v>1600</v>
      </c>
      <c r="F26" s="143">
        <f t="shared" si="0"/>
        <v>41600</v>
      </c>
      <c r="G26" s="148" t="s">
        <v>644</v>
      </c>
      <c r="H26" s="148" t="s">
        <v>673</v>
      </c>
      <c r="I26" s="148" t="s">
        <v>678</v>
      </c>
      <c r="J26" s="148" t="s">
        <v>644</v>
      </c>
      <c r="K26" s="146" t="s">
        <v>707</v>
      </c>
    </row>
    <row r="27" s="136" customFormat="1" ht="27.95" customHeight="1" outlineLevel="1" spans="1:11">
      <c r="A27" s="142">
        <v>12</v>
      </c>
      <c r="B27" s="146" t="s">
        <v>708</v>
      </c>
      <c r="C27" s="148">
        <v>3</v>
      </c>
      <c r="D27" s="146" t="s">
        <v>643</v>
      </c>
      <c r="E27" s="143">
        <v>2000</v>
      </c>
      <c r="F27" s="143">
        <f t="shared" si="0"/>
        <v>6000</v>
      </c>
      <c r="G27" s="148" t="s">
        <v>644</v>
      </c>
      <c r="H27" s="148" t="s">
        <v>709</v>
      </c>
      <c r="I27" s="148" t="s">
        <v>710</v>
      </c>
      <c r="J27" s="148" t="s">
        <v>644</v>
      </c>
      <c r="K27" s="146" t="s">
        <v>680</v>
      </c>
    </row>
    <row r="28" s="136" customFormat="1" ht="27.95" customHeight="1" outlineLevel="1" spans="1:11">
      <c r="A28" s="142">
        <v>13</v>
      </c>
      <c r="B28" s="146" t="s">
        <v>711</v>
      </c>
      <c r="C28" s="148">
        <v>25</v>
      </c>
      <c r="D28" s="146" t="s">
        <v>643</v>
      </c>
      <c r="E28" s="143">
        <v>2000</v>
      </c>
      <c r="F28" s="143">
        <f t="shared" si="0"/>
        <v>50000</v>
      </c>
      <c r="G28" s="148" t="s">
        <v>644</v>
      </c>
      <c r="H28" s="148" t="s">
        <v>673</v>
      </c>
      <c r="I28" s="148" t="s">
        <v>678</v>
      </c>
      <c r="J28" s="148" t="s">
        <v>644</v>
      </c>
      <c r="K28" s="146" t="s">
        <v>712</v>
      </c>
    </row>
    <row r="29" s="136" customFormat="1" ht="27.95" customHeight="1" outlineLevel="1" spans="1:11">
      <c r="A29" s="142">
        <v>14</v>
      </c>
      <c r="B29" s="146" t="s">
        <v>713</v>
      </c>
      <c r="C29" s="148">
        <v>1</v>
      </c>
      <c r="D29" s="146" t="s">
        <v>643</v>
      </c>
      <c r="E29" s="143">
        <v>19000</v>
      </c>
      <c r="F29" s="143">
        <f t="shared" si="0"/>
        <v>19000</v>
      </c>
      <c r="G29" s="148">
        <v>15</v>
      </c>
      <c r="H29" s="148" t="s">
        <v>674</v>
      </c>
      <c r="I29" s="148" t="s">
        <v>653</v>
      </c>
      <c r="J29" s="146" t="s">
        <v>688</v>
      </c>
      <c r="K29" s="146" t="s">
        <v>714</v>
      </c>
    </row>
    <row r="30" s="136" customFormat="1" ht="27.95" customHeight="1" outlineLevel="1" spans="1:11">
      <c r="A30" s="142">
        <v>15</v>
      </c>
      <c r="B30" s="146" t="s">
        <v>715</v>
      </c>
      <c r="C30" s="148">
        <v>237</v>
      </c>
      <c r="D30" s="146" t="s">
        <v>643</v>
      </c>
      <c r="E30" s="143">
        <v>2760</v>
      </c>
      <c r="F30" s="143">
        <f t="shared" si="0"/>
        <v>654120</v>
      </c>
      <c r="G30" s="150" t="s">
        <v>683</v>
      </c>
      <c r="H30" s="148" t="s">
        <v>716</v>
      </c>
      <c r="I30" s="148" t="s">
        <v>703</v>
      </c>
      <c r="J30" s="148" t="s">
        <v>674</v>
      </c>
      <c r="K30" s="146" t="s">
        <v>717</v>
      </c>
    </row>
    <row r="31" s="136" customFormat="1" ht="27.95" customHeight="1" outlineLevel="1" spans="1:11">
      <c r="A31" s="142">
        <v>16</v>
      </c>
      <c r="B31" s="146" t="s">
        <v>718</v>
      </c>
      <c r="C31" s="148">
        <v>35</v>
      </c>
      <c r="D31" s="146" t="s">
        <v>643</v>
      </c>
      <c r="E31" s="143">
        <v>3000</v>
      </c>
      <c r="F31" s="143">
        <f t="shared" ref="F31:F48" si="1">C31*E31</f>
        <v>105000</v>
      </c>
      <c r="G31" s="150" t="s">
        <v>683</v>
      </c>
      <c r="H31" s="148" t="s">
        <v>646</v>
      </c>
      <c r="I31" s="148" t="s">
        <v>673</v>
      </c>
      <c r="J31" s="148" t="s">
        <v>674</v>
      </c>
      <c r="K31" s="146" t="s">
        <v>717</v>
      </c>
    </row>
    <row r="32" s="136" customFormat="1" ht="27.95" customHeight="1" outlineLevel="1" spans="1:11">
      <c r="A32" s="142">
        <v>17</v>
      </c>
      <c r="B32" s="146" t="s">
        <v>719</v>
      </c>
      <c r="C32" s="148">
        <v>3</v>
      </c>
      <c r="D32" s="146" t="s">
        <v>643</v>
      </c>
      <c r="E32" s="143">
        <v>16000</v>
      </c>
      <c r="F32" s="143">
        <f t="shared" si="1"/>
        <v>48000</v>
      </c>
      <c r="G32" s="148" t="s">
        <v>644</v>
      </c>
      <c r="H32" s="148" t="s">
        <v>720</v>
      </c>
      <c r="I32" s="148" t="s">
        <v>703</v>
      </c>
      <c r="J32" s="148" t="s">
        <v>644</v>
      </c>
      <c r="K32" s="146" t="s">
        <v>717</v>
      </c>
    </row>
    <row r="33" s="136" customFormat="1" ht="27.95" customHeight="1" outlineLevel="1" spans="1:11">
      <c r="A33" s="142">
        <v>18</v>
      </c>
      <c r="B33" s="146" t="s">
        <v>721</v>
      </c>
      <c r="C33" s="148">
        <v>19</v>
      </c>
      <c r="D33" s="146" t="s">
        <v>643</v>
      </c>
      <c r="E33" s="143">
        <v>7600</v>
      </c>
      <c r="F33" s="143">
        <f t="shared" si="1"/>
        <v>144400</v>
      </c>
      <c r="G33" s="148" t="s">
        <v>644</v>
      </c>
      <c r="H33" s="148" t="s">
        <v>664</v>
      </c>
      <c r="I33" s="148" t="s">
        <v>673</v>
      </c>
      <c r="J33" s="148" t="s">
        <v>644</v>
      </c>
      <c r="K33" s="146" t="s">
        <v>717</v>
      </c>
    </row>
    <row r="34" s="136" customFormat="1" ht="27.95" customHeight="1" outlineLevel="1" spans="1:11">
      <c r="A34" s="142">
        <v>19</v>
      </c>
      <c r="B34" s="146" t="s">
        <v>722</v>
      </c>
      <c r="C34" s="148">
        <v>62</v>
      </c>
      <c r="D34" s="146" t="s">
        <v>643</v>
      </c>
      <c r="E34" s="143">
        <v>3200</v>
      </c>
      <c r="F34" s="143">
        <f t="shared" si="1"/>
        <v>198400</v>
      </c>
      <c r="G34" s="148" t="s">
        <v>644</v>
      </c>
      <c r="H34" s="148" t="s">
        <v>673</v>
      </c>
      <c r="I34" s="148" t="s">
        <v>678</v>
      </c>
      <c r="J34" s="148" t="s">
        <v>644</v>
      </c>
      <c r="K34" s="146" t="s">
        <v>717</v>
      </c>
    </row>
    <row r="35" s="136" customFormat="1" ht="27.95" customHeight="1" outlineLevel="1" spans="1:11">
      <c r="A35" s="142">
        <v>20</v>
      </c>
      <c r="B35" s="146" t="s">
        <v>723</v>
      </c>
      <c r="C35" s="148">
        <v>83</v>
      </c>
      <c r="D35" s="146" t="s">
        <v>643</v>
      </c>
      <c r="E35" s="143">
        <v>6000</v>
      </c>
      <c r="F35" s="143">
        <f t="shared" si="1"/>
        <v>498000</v>
      </c>
      <c r="G35" s="148" t="s">
        <v>644</v>
      </c>
      <c r="H35" s="148" t="s">
        <v>664</v>
      </c>
      <c r="I35" s="148" t="s">
        <v>673</v>
      </c>
      <c r="J35" s="148" t="s">
        <v>644</v>
      </c>
      <c r="K35" s="146" t="s">
        <v>724</v>
      </c>
    </row>
    <row r="36" s="136" customFormat="1" ht="27.95" customHeight="1" outlineLevel="1" spans="1:11">
      <c r="A36" s="142">
        <v>21</v>
      </c>
      <c r="B36" s="146" t="s">
        <v>725</v>
      </c>
      <c r="C36" s="148">
        <v>3</v>
      </c>
      <c r="D36" s="146" t="s">
        <v>643</v>
      </c>
      <c r="E36" s="143">
        <v>4000</v>
      </c>
      <c r="F36" s="143">
        <f t="shared" si="1"/>
        <v>12000</v>
      </c>
      <c r="G36" s="148" t="s">
        <v>644</v>
      </c>
      <c r="H36" s="148" t="s">
        <v>644</v>
      </c>
      <c r="I36" s="148" t="s">
        <v>644</v>
      </c>
      <c r="J36" s="148" t="s">
        <v>644</v>
      </c>
      <c r="K36" s="148" t="s">
        <v>644</v>
      </c>
    </row>
    <row r="37" s="136" customFormat="1" ht="27.95" customHeight="1" outlineLevel="1" spans="1:11">
      <c r="A37" s="142">
        <v>22</v>
      </c>
      <c r="B37" s="146" t="s">
        <v>726</v>
      </c>
      <c r="C37" s="148">
        <v>3</v>
      </c>
      <c r="D37" s="146" t="s">
        <v>643</v>
      </c>
      <c r="E37" s="143">
        <v>1360</v>
      </c>
      <c r="F37" s="143">
        <f t="shared" si="1"/>
        <v>4080</v>
      </c>
      <c r="G37" s="148" t="s">
        <v>644</v>
      </c>
      <c r="H37" s="148" t="s">
        <v>644</v>
      </c>
      <c r="I37" s="148" t="s">
        <v>644</v>
      </c>
      <c r="J37" s="148" t="s">
        <v>644</v>
      </c>
      <c r="K37" s="148" t="s">
        <v>644</v>
      </c>
    </row>
    <row r="38" s="136" customFormat="1" ht="27.95" customHeight="1" outlineLevel="1" spans="1:11">
      <c r="A38" s="142">
        <v>23</v>
      </c>
      <c r="B38" s="146" t="s">
        <v>727</v>
      </c>
      <c r="C38" s="148">
        <v>2</v>
      </c>
      <c r="D38" s="146" t="s">
        <v>643</v>
      </c>
      <c r="E38" s="143">
        <v>1360</v>
      </c>
      <c r="F38" s="143">
        <f t="shared" si="1"/>
        <v>2720</v>
      </c>
      <c r="G38" s="148" t="s">
        <v>644</v>
      </c>
      <c r="H38" s="148" t="s">
        <v>644</v>
      </c>
      <c r="I38" s="148" t="s">
        <v>644</v>
      </c>
      <c r="J38" s="148" t="s">
        <v>644</v>
      </c>
      <c r="K38" s="148" t="s">
        <v>644</v>
      </c>
    </row>
    <row r="39" s="136" customFormat="1" ht="27.95" customHeight="1" outlineLevel="1" spans="1:11">
      <c r="A39" s="142">
        <v>24</v>
      </c>
      <c r="B39" s="146" t="s">
        <v>728</v>
      </c>
      <c r="C39" s="148">
        <v>2</v>
      </c>
      <c r="D39" s="146" t="s">
        <v>643</v>
      </c>
      <c r="E39" s="143">
        <v>1360</v>
      </c>
      <c r="F39" s="143">
        <f t="shared" si="1"/>
        <v>2720</v>
      </c>
      <c r="G39" s="148" t="s">
        <v>644</v>
      </c>
      <c r="H39" s="148" t="s">
        <v>644</v>
      </c>
      <c r="I39" s="148" t="s">
        <v>644</v>
      </c>
      <c r="J39" s="148" t="s">
        <v>644</v>
      </c>
      <c r="K39" s="148" t="s">
        <v>644</v>
      </c>
    </row>
    <row r="40" s="136" customFormat="1" ht="27.95" customHeight="1" outlineLevel="1" spans="1:11">
      <c r="A40" s="142">
        <v>25</v>
      </c>
      <c r="B40" s="146" t="s">
        <v>729</v>
      </c>
      <c r="C40" s="148">
        <v>1</v>
      </c>
      <c r="D40" s="146" t="s">
        <v>643</v>
      </c>
      <c r="E40" s="143">
        <v>3360</v>
      </c>
      <c r="F40" s="143">
        <f t="shared" si="1"/>
        <v>3360</v>
      </c>
      <c r="G40" s="148" t="s">
        <v>644</v>
      </c>
      <c r="H40" s="148" t="s">
        <v>644</v>
      </c>
      <c r="I40" s="148" t="s">
        <v>644</v>
      </c>
      <c r="J40" s="148" t="s">
        <v>644</v>
      </c>
      <c r="K40" s="148" t="s">
        <v>644</v>
      </c>
    </row>
    <row r="41" s="136" customFormat="1" ht="27.95" customHeight="1" outlineLevel="1" spans="1:11">
      <c r="A41" s="142">
        <v>26</v>
      </c>
      <c r="B41" s="146" t="s">
        <v>730</v>
      </c>
      <c r="C41" s="148">
        <v>7</v>
      </c>
      <c r="D41" s="146" t="s">
        <v>643</v>
      </c>
      <c r="E41" s="143">
        <v>1360</v>
      </c>
      <c r="F41" s="143">
        <f t="shared" si="1"/>
        <v>9520</v>
      </c>
      <c r="G41" s="148" t="s">
        <v>644</v>
      </c>
      <c r="H41" s="148" t="s">
        <v>644</v>
      </c>
      <c r="I41" s="148" t="s">
        <v>644</v>
      </c>
      <c r="J41" s="148" t="s">
        <v>644</v>
      </c>
      <c r="K41" s="148" t="s">
        <v>644</v>
      </c>
    </row>
    <row r="42" s="136" customFormat="1" ht="27.95" customHeight="1" outlineLevel="1" spans="1:11">
      <c r="A42" s="142">
        <v>27</v>
      </c>
      <c r="B42" s="146" t="s">
        <v>731</v>
      </c>
      <c r="C42" s="148">
        <v>2</v>
      </c>
      <c r="D42" s="146" t="s">
        <v>643</v>
      </c>
      <c r="E42" s="143">
        <v>2400</v>
      </c>
      <c r="F42" s="143">
        <f t="shared" si="1"/>
        <v>4800</v>
      </c>
      <c r="G42" s="148" t="s">
        <v>644</v>
      </c>
      <c r="H42" s="148" t="s">
        <v>644</v>
      </c>
      <c r="I42" s="148" t="s">
        <v>644</v>
      </c>
      <c r="J42" s="148" t="s">
        <v>644</v>
      </c>
      <c r="K42" s="148" t="s">
        <v>644</v>
      </c>
    </row>
    <row r="43" s="136" customFormat="1" ht="27.95" customHeight="1" outlineLevel="1" spans="1:11">
      <c r="A43" s="142">
        <v>28</v>
      </c>
      <c r="B43" s="146" t="s">
        <v>732</v>
      </c>
      <c r="C43" s="148">
        <v>2</v>
      </c>
      <c r="D43" s="146" t="s">
        <v>643</v>
      </c>
      <c r="E43" s="143">
        <v>1600</v>
      </c>
      <c r="F43" s="143">
        <f t="shared" si="1"/>
        <v>3200</v>
      </c>
      <c r="G43" s="148" t="s">
        <v>644</v>
      </c>
      <c r="H43" s="148" t="s">
        <v>644</v>
      </c>
      <c r="I43" s="148" t="s">
        <v>644</v>
      </c>
      <c r="J43" s="148" t="s">
        <v>644</v>
      </c>
      <c r="K43" s="148" t="s">
        <v>644</v>
      </c>
    </row>
    <row r="44" s="136" customFormat="1" ht="27.95" customHeight="1" outlineLevel="1" spans="1:11">
      <c r="A44" s="142">
        <v>29</v>
      </c>
      <c r="B44" s="146" t="s">
        <v>733</v>
      </c>
      <c r="C44" s="148">
        <v>3</v>
      </c>
      <c r="D44" s="146" t="s">
        <v>643</v>
      </c>
      <c r="E44" s="143">
        <v>1600</v>
      </c>
      <c r="F44" s="143">
        <f t="shared" si="1"/>
        <v>4800</v>
      </c>
      <c r="G44" s="148" t="s">
        <v>644</v>
      </c>
      <c r="H44" s="148" t="s">
        <v>644</v>
      </c>
      <c r="I44" s="148" t="s">
        <v>644</v>
      </c>
      <c r="J44" s="148" t="s">
        <v>644</v>
      </c>
      <c r="K44" s="148" t="s">
        <v>644</v>
      </c>
    </row>
    <row r="45" s="136" customFormat="1" ht="27.95" customHeight="1" outlineLevel="1" spans="1:11">
      <c r="A45" s="142">
        <v>30</v>
      </c>
      <c r="B45" s="146" t="s">
        <v>734</v>
      </c>
      <c r="C45" s="148">
        <v>4</v>
      </c>
      <c r="D45" s="146" t="s">
        <v>643</v>
      </c>
      <c r="E45" s="143">
        <v>1600</v>
      </c>
      <c r="F45" s="143">
        <f t="shared" si="1"/>
        <v>6400</v>
      </c>
      <c r="G45" s="148" t="s">
        <v>644</v>
      </c>
      <c r="H45" s="148" t="s">
        <v>644</v>
      </c>
      <c r="I45" s="148" t="s">
        <v>644</v>
      </c>
      <c r="J45" s="148" t="s">
        <v>644</v>
      </c>
      <c r="K45" s="148" t="s">
        <v>644</v>
      </c>
    </row>
    <row r="46" s="136" customFormat="1" ht="27.95" customHeight="1" outlineLevel="1" spans="1:11">
      <c r="A46" s="142">
        <v>31</v>
      </c>
      <c r="B46" s="146" t="s">
        <v>735</v>
      </c>
      <c r="C46" s="148">
        <v>3</v>
      </c>
      <c r="D46" s="146" t="s">
        <v>643</v>
      </c>
      <c r="E46" s="143">
        <v>1300</v>
      </c>
      <c r="F46" s="143">
        <f t="shared" si="1"/>
        <v>3900</v>
      </c>
      <c r="G46" s="148" t="s">
        <v>644</v>
      </c>
      <c r="H46" s="148" t="s">
        <v>644</v>
      </c>
      <c r="I46" s="148" t="s">
        <v>644</v>
      </c>
      <c r="J46" s="148" t="s">
        <v>644</v>
      </c>
      <c r="K46" s="148" t="s">
        <v>644</v>
      </c>
    </row>
    <row r="47" s="136" customFormat="1" ht="27.95" customHeight="1" outlineLevel="1" spans="1:11">
      <c r="A47" s="142">
        <v>32</v>
      </c>
      <c r="B47" s="146" t="s">
        <v>736</v>
      </c>
      <c r="C47" s="148">
        <v>2</v>
      </c>
      <c r="D47" s="146" t="s">
        <v>643</v>
      </c>
      <c r="E47" s="143">
        <v>6000</v>
      </c>
      <c r="F47" s="143">
        <f t="shared" si="1"/>
        <v>12000</v>
      </c>
      <c r="G47" s="148" t="s">
        <v>644</v>
      </c>
      <c r="H47" s="148" t="s">
        <v>644</v>
      </c>
      <c r="I47" s="148" t="s">
        <v>644</v>
      </c>
      <c r="J47" s="148" t="s">
        <v>644</v>
      </c>
      <c r="K47" s="148" t="s">
        <v>644</v>
      </c>
    </row>
    <row r="48" s="136" customFormat="1" ht="27.95" customHeight="1" outlineLevel="1" spans="1:11">
      <c r="A48" s="142">
        <v>33</v>
      </c>
      <c r="B48" s="146" t="s">
        <v>737</v>
      </c>
      <c r="C48" s="148">
        <v>1.7</v>
      </c>
      <c r="D48" s="148" t="s">
        <v>39</v>
      </c>
      <c r="E48" s="143">
        <v>800</v>
      </c>
      <c r="F48" s="143">
        <f t="shared" si="1"/>
        <v>1360</v>
      </c>
      <c r="G48" s="150" t="s">
        <v>738</v>
      </c>
      <c r="H48" s="148" t="s">
        <v>739</v>
      </c>
      <c r="I48" s="146" t="s">
        <v>740</v>
      </c>
      <c r="J48" s="148" t="s">
        <v>644</v>
      </c>
      <c r="K48" s="148" t="s">
        <v>741</v>
      </c>
    </row>
    <row r="49" s="136" customFormat="1" ht="27.95" customHeight="1" spans="1:11">
      <c r="A49" s="147" t="s">
        <v>655</v>
      </c>
      <c r="B49" s="147"/>
      <c r="C49" s="147">
        <f>SUM(C16:C48)</f>
        <v>908.7</v>
      </c>
      <c r="D49" s="142"/>
      <c r="E49" s="143">
        <v>0</v>
      </c>
      <c r="F49" s="143">
        <f>SUM(F16:F48)</f>
        <v>3069780</v>
      </c>
      <c r="G49" s="142"/>
      <c r="H49" s="142"/>
      <c r="I49" s="142"/>
      <c r="J49" s="142"/>
      <c r="K49" s="142"/>
    </row>
    <row r="50" s="136" customFormat="1" ht="27.95" customHeight="1" spans="1:11">
      <c r="A50" s="147" t="s">
        <v>742</v>
      </c>
      <c r="B50" s="147"/>
      <c r="C50" s="142"/>
      <c r="D50" s="142"/>
      <c r="E50" s="143">
        <v>0</v>
      </c>
      <c r="F50" s="143"/>
      <c r="G50" s="142"/>
      <c r="H50" s="146" t="s">
        <v>743</v>
      </c>
      <c r="I50" s="146" t="s">
        <v>744</v>
      </c>
      <c r="J50" s="142"/>
      <c r="K50" s="142"/>
    </row>
    <row r="51" s="136" customFormat="1" ht="27.95" customHeight="1" outlineLevel="1" spans="1:11">
      <c r="A51" s="142">
        <v>1</v>
      </c>
      <c r="B51" s="151" t="s">
        <v>745</v>
      </c>
      <c r="C51" s="152">
        <v>27</v>
      </c>
      <c r="D51" s="146" t="s">
        <v>643</v>
      </c>
      <c r="E51" s="153">
        <v>1760</v>
      </c>
      <c r="F51" s="143">
        <f>C51*E51</f>
        <v>47520</v>
      </c>
      <c r="G51" s="142"/>
      <c r="H51" s="152" t="s">
        <v>746</v>
      </c>
      <c r="I51" s="152" t="s">
        <v>747</v>
      </c>
      <c r="J51" s="149"/>
      <c r="K51" s="151" t="s">
        <v>748</v>
      </c>
    </row>
    <row r="52" s="136" customFormat="1" ht="27.95" customHeight="1" outlineLevel="1" spans="1:11">
      <c r="A52" s="142">
        <v>2</v>
      </c>
      <c r="B52" s="151" t="s">
        <v>749</v>
      </c>
      <c r="C52" s="152">
        <v>44</v>
      </c>
      <c r="D52" s="146" t="s">
        <v>643</v>
      </c>
      <c r="E52" s="153">
        <v>900</v>
      </c>
      <c r="F52" s="143">
        <f t="shared" ref="F52:F58" si="2">C52*E52</f>
        <v>39600</v>
      </c>
      <c r="G52" s="142"/>
      <c r="H52" s="152" t="s">
        <v>750</v>
      </c>
      <c r="I52" s="152" t="s">
        <v>751</v>
      </c>
      <c r="J52" s="149"/>
      <c r="K52" s="151" t="s">
        <v>748</v>
      </c>
    </row>
    <row r="53" s="136" customFormat="1" ht="27.95" customHeight="1" outlineLevel="1" spans="1:11">
      <c r="A53" s="142">
        <v>3</v>
      </c>
      <c r="B53" s="151" t="s">
        <v>752</v>
      </c>
      <c r="C53" s="152">
        <v>79</v>
      </c>
      <c r="D53" s="146" t="s">
        <v>643</v>
      </c>
      <c r="E53" s="153">
        <v>640</v>
      </c>
      <c r="F53" s="143">
        <f t="shared" si="2"/>
        <v>50560</v>
      </c>
      <c r="G53" s="142"/>
      <c r="H53" s="152" t="s">
        <v>750</v>
      </c>
      <c r="I53" s="152" t="s">
        <v>751</v>
      </c>
      <c r="J53" s="149"/>
      <c r="K53" s="151" t="s">
        <v>748</v>
      </c>
    </row>
    <row r="54" s="136" customFormat="1" ht="27.95" customHeight="1" outlineLevel="1" spans="1:11">
      <c r="A54" s="142">
        <v>4</v>
      </c>
      <c r="B54" s="151" t="s">
        <v>753</v>
      </c>
      <c r="C54" s="152">
        <v>31</v>
      </c>
      <c r="D54" s="146" t="s">
        <v>643</v>
      </c>
      <c r="E54" s="153">
        <v>840</v>
      </c>
      <c r="F54" s="143">
        <f t="shared" si="2"/>
        <v>26040</v>
      </c>
      <c r="G54" s="142"/>
      <c r="H54" s="152" t="s">
        <v>750</v>
      </c>
      <c r="I54" s="152" t="s">
        <v>751</v>
      </c>
      <c r="J54" s="149"/>
      <c r="K54" s="151" t="s">
        <v>754</v>
      </c>
    </row>
    <row r="55" s="136" customFormat="1" ht="27.95" customHeight="1" outlineLevel="1" spans="1:11">
      <c r="A55" s="142">
        <v>5</v>
      </c>
      <c r="B55" s="151" t="s">
        <v>755</v>
      </c>
      <c r="C55" s="152">
        <v>10</v>
      </c>
      <c r="D55" s="146" t="s">
        <v>643</v>
      </c>
      <c r="E55" s="153">
        <v>3600</v>
      </c>
      <c r="F55" s="143">
        <f t="shared" si="2"/>
        <v>36000</v>
      </c>
      <c r="G55" s="142"/>
      <c r="H55" s="152">
        <v>200</v>
      </c>
      <c r="I55" s="152">
        <v>200</v>
      </c>
      <c r="J55" s="149"/>
      <c r="K55" s="151" t="s">
        <v>756</v>
      </c>
    </row>
    <row r="56" s="136" customFormat="1" ht="27.95" customHeight="1" outlineLevel="1" spans="1:11">
      <c r="A56" s="142">
        <v>6</v>
      </c>
      <c r="B56" s="151" t="s">
        <v>757</v>
      </c>
      <c r="C56" s="152">
        <v>45</v>
      </c>
      <c r="D56" s="146" t="s">
        <v>643</v>
      </c>
      <c r="E56" s="153">
        <v>2400</v>
      </c>
      <c r="F56" s="143">
        <f t="shared" si="2"/>
        <v>108000</v>
      </c>
      <c r="G56" s="142"/>
      <c r="H56" s="152">
        <v>180</v>
      </c>
      <c r="I56" s="152">
        <v>180</v>
      </c>
      <c r="J56" s="149"/>
      <c r="K56" s="151" t="s">
        <v>756</v>
      </c>
    </row>
    <row r="57" s="136" customFormat="1" ht="27.95" customHeight="1" outlineLevel="1" spans="1:11">
      <c r="A57" s="142">
        <v>7</v>
      </c>
      <c r="B57" s="151" t="s">
        <v>758</v>
      </c>
      <c r="C57" s="152">
        <v>72</v>
      </c>
      <c r="D57" s="146" t="s">
        <v>643</v>
      </c>
      <c r="E57" s="153">
        <v>1700</v>
      </c>
      <c r="F57" s="143">
        <v>61200</v>
      </c>
      <c r="G57" s="142"/>
      <c r="H57" s="152">
        <v>150</v>
      </c>
      <c r="I57" s="152">
        <v>150</v>
      </c>
      <c r="J57" s="149"/>
      <c r="K57" s="151" t="s">
        <v>756</v>
      </c>
    </row>
    <row r="58" s="136" customFormat="1" ht="27.95" customHeight="1" outlineLevel="1" spans="1:11">
      <c r="A58" s="142">
        <v>8</v>
      </c>
      <c r="B58" s="151" t="s">
        <v>759</v>
      </c>
      <c r="C58" s="152">
        <v>34</v>
      </c>
      <c r="D58" s="146" t="s">
        <v>643</v>
      </c>
      <c r="E58" s="153">
        <v>2000</v>
      </c>
      <c r="F58" s="143">
        <f t="shared" si="2"/>
        <v>68000</v>
      </c>
      <c r="G58" s="142"/>
      <c r="H58" s="152">
        <v>180</v>
      </c>
      <c r="I58" s="152">
        <v>200</v>
      </c>
      <c r="J58" s="149"/>
      <c r="K58" s="151" t="s">
        <v>756</v>
      </c>
    </row>
    <row r="59" s="136" customFormat="1" ht="27.95" customHeight="1" outlineLevel="1" spans="1:11">
      <c r="A59" s="142">
        <v>9</v>
      </c>
      <c r="B59" s="151" t="s">
        <v>760</v>
      </c>
      <c r="C59" s="152">
        <v>61</v>
      </c>
      <c r="D59" s="146" t="s">
        <v>643</v>
      </c>
      <c r="E59" s="153">
        <v>1400</v>
      </c>
      <c r="F59" s="143">
        <f t="shared" ref="F59:F67" si="3">C59*E59</f>
        <v>85400</v>
      </c>
      <c r="G59" s="142"/>
      <c r="H59" s="152">
        <v>150</v>
      </c>
      <c r="I59" s="152">
        <v>150</v>
      </c>
      <c r="J59" s="149"/>
      <c r="K59" s="151" t="s">
        <v>756</v>
      </c>
    </row>
    <row r="60" s="136" customFormat="1" ht="27.95" customHeight="1" outlineLevel="1" spans="1:11">
      <c r="A60" s="142">
        <v>10</v>
      </c>
      <c r="B60" s="151" t="s">
        <v>761</v>
      </c>
      <c r="C60" s="152">
        <v>125</v>
      </c>
      <c r="D60" s="146" t="s">
        <v>643</v>
      </c>
      <c r="E60" s="153">
        <v>800</v>
      </c>
      <c r="F60" s="143">
        <f t="shared" si="3"/>
        <v>100000</v>
      </c>
      <c r="G60" s="142"/>
      <c r="H60" s="152">
        <v>120</v>
      </c>
      <c r="I60" s="152">
        <v>120</v>
      </c>
      <c r="J60" s="149"/>
      <c r="K60" s="151" t="s">
        <v>756</v>
      </c>
    </row>
    <row r="61" s="136" customFormat="1" ht="27.95" customHeight="1" outlineLevel="1" spans="1:11">
      <c r="A61" s="142">
        <v>11</v>
      </c>
      <c r="B61" s="151" t="s">
        <v>762</v>
      </c>
      <c r="C61" s="152">
        <v>39</v>
      </c>
      <c r="D61" s="146" t="s">
        <v>643</v>
      </c>
      <c r="E61" s="153">
        <v>2000</v>
      </c>
      <c r="F61" s="143">
        <f t="shared" si="3"/>
        <v>78000</v>
      </c>
      <c r="G61" s="142"/>
      <c r="H61" s="152">
        <v>180</v>
      </c>
      <c r="I61" s="152">
        <v>180</v>
      </c>
      <c r="J61" s="149"/>
      <c r="K61" s="151" t="s">
        <v>756</v>
      </c>
    </row>
    <row r="62" s="136" customFormat="1" ht="27.95" customHeight="1" outlineLevel="1" spans="1:11">
      <c r="A62" s="142">
        <v>12</v>
      </c>
      <c r="B62" s="151" t="s">
        <v>763</v>
      </c>
      <c r="C62" s="152">
        <v>76</v>
      </c>
      <c r="D62" s="146" t="s">
        <v>643</v>
      </c>
      <c r="E62" s="153">
        <v>1000</v>
      </c>
      <c r="F62" s="143">
        <f t="shared" si="3"/>
        <v>76000</v>
      </c>
      <c r="G62" s="142"/>
      <c r="H62" s="152">
        <v>150</v>
      </c>
      <c r="I62" s="152">
        <v>150</v>
      </c>
      <c r="J62" s="149"/>
      <c r="K62" s="151" t="s">
        <v>756</v>
      </c>
    </row>
    <row r="63" s="136" customFormat="1" ht="27.95" customHeight="1" outlineLevel="1" spans="1:11">
      <c r="A63" s="142">
        <v>13</v>
      </c>
      <c r="B63" s="151" t="s">
        <v>764</v>
      </c>
      <c r="C63" s="152">
        <v>38</v>
      </c>
      <c r="D63" s="146" t="s">
        <v>643</v>
      </c>
      <c r="E63" s="153">
        <v>1000</v>
      </c>
      <c r="F63" s="143">
        <f t="shared" si="3"/>
        <v>38000</v>
      </c>
      <c r="G63" s="142"/>
      <c r="H63" s="152" t="s">
        <v>765</v>
      </c>
      <c r="I63" s="152" t="s">
        <v>765</v>
      </c>
      <c r="J63" s="149"/>
      <c r="K63" s="151" t="s">
        <v>754</v>
      </c>
    </row>
    <row r="64" s="136" customFormat="1" ht="27.95" customHeight="1" outlineLevel="1" spans="1:11">
      <c r="A64" s="142">
        <v>14</v>
      </c>
      <c r="B64" s="151" t="s">
        <v>766</v>
      </c>
      <c r="C64" s="152">
        <v>53</v>
      </c>
      <c r="D64" s="146" t="s">
        <v>643</v>
      </c>
      <c r="E64" s="153">
        <v>1100</v>
      </c>
      <c r="F64" s="143">
        <f t="shared" si="3"/>
        <v>58300</v>
      </c>
      <c r="G64" s="142"/>
      <c r="H64" s="152">
        <v>120</v>
      </c>
      <c r="I64" s="152">
        <v>120</v>
      </c>
      <c r="J64" s="149"/>
      <c r="K64" s="151" t="s">
        <v>756</v>
      </c>
    </row>
    <row r="65" s="136" customFormat="1" ht="27.95" customHeight="1" outlineLevel="1" spans="1:11">
      <c r="A65" s="142">
        <v>15</v>
      </c>
      <c r="B65" s="151" t="s">
        <v>767</v>
      </c>
      <c r="C65" s="152">
        <v>154</v>
      </c>
      <c r="D65" s="146" t="s">
        <v>643</v>
      </c>
      <c r="E65" s="153">
        <v>900</v>
      </c>
      <c r="F65" s="143">
        <f t="shared" si="3"/>
        <v>138600</v>
      </c>
      <c r="G65" s="142"/>
      <c r="H65" s="152">
        <v>120</v>
      </c>
      <c r="I65" s="152">
        <v>120</v>
      </c>
      <c r="J65" s="149"/>
      <c r="K65" s="151" t="s">
        <v>756</v>
      </c>
    </row>
    <row r="66" s="136" customFormat="1" ht="30.95" customHeight="1" outlineLevel="1" spans="1:11">
      <c r="A66" s="142">
        <v>16</v>
      </c>
      <c r="B66" s="151" t="s">
        <v>768</v>
      </c>
      <c r="C66" s="152">
        <v>32</v>
      </c>
      <c r="D66" s="146" t="s">
        <v>643</v>
      </c>
      <c r="E66" s="153">
        <v>2000</v>
      </c>
      <c r="F66" s="143">
        <f t="shared" si="3"/>
        <v>64000</v>
      </c>
      <c r="G66" s="142"/>
      <c r="H66" s="152">
        <v>120</v>
      </c>
      <c r="I66" s="152">
        <v>150</v>
      </c>
      <c r="J66" s="149"/>
      <c r="K66" s="151" t="s">
        <v>756</v>
      </c>
    </row>
    <row r="67" s="136" customFormat="1" ht="30.95" customHeight="1" outlineLevel="1" spans="1:11">
      <c r="A67" s="142">
        <v>17</v>
      </c>
      <c r="B67" s="151" t="s">
        <v>769</v>
      </c>
      <c r="C67" s="152">
        <v>76</v>
      </c>
      <c r="D67" s="146" t="s">
        <v>643</v>
      </c>
      <c r="E67" s="153">
        <v>1300</v>
      </c>
      <c r="F67" s="143">
        <f t="shared" si="3"/>
        <v>98800</v>
      </c>
      <c r="G67" s="142"/>
      <c r="H67" s="152">
        <v>100</v>
      </c>
      <c r="I67" s="152">
        <v>120</v>
      </c>
      <c r="J67" s="149"/>
      <c r="K67" s="151" t="s">
        <v>756</v>
      </c>
    </row>
    <row r="68" s="136" customFormat="1" ht="27.95" customHeight="1" spans="1:11">
      <c r="A68" s="142">
        <v>18</v>
      </c>
      <c r="B68" s="147" t="s">
        <v>655</v>
      </c>
      <c r="C68" s="147">
        <f>SUM(C51:C67)</f>
        <v>996</v>
      </c>
      <c r="D68" s="142"/>
      <c r="E68" s="143">
        <v>0</v>
      </c>
      <c r="F68" s="143">
        <f>SUM(F51:F67)</f>
        <v>1174020</v>
      </c>
      <c r="G68" s="142"/>
      <c r="H68" s="142"/>
      <c r="I68" s="142"/>
      <c r="J68" s="142"/>
      <c r="K68" s="142"/>
    </row>
    <row r="69" s="136" customFormat="1" ht="39" customHeight="1" spans="1:11">
      <c r="A69" s="147" t="s">
        <v>770</v>
      </c>
      <c r="B69" s="147"/>
      <c r="C69" s="142"/>
      <c r="D69" s="142"/>
      <c r="E69" s="143">
        <v>0</v>
      </c>
      <c r="F69" s="143"/>
      <c r="G69" s="142"/>
      <c r="H69" s="151" t="s">
        <v>743</v>
      </c>
      <c r="I69" s="151" t="s">
        <v>744</v>
      </c>
      <c r="J69" s="151" t="s">
        <v>771</v>
      </c>
      <c r="K69" s="142"/>
    </row>
    <row r="70" s="137" customFormat="1" ht="42" customHeight="1" outlineLevel="1" spans="1:11">
      <c r="A70" s="142">
        <v>1</v>
      </c>
      <c r="B70" s="146" t="s">
        <v>772</v>
      </c>
      <c r="C70" s="148">
        <v>63.2</v>
      </c>
      <c r="D70" s="148" t="s">
        <v>81</v>
      </c>
      <c r="E70" s="143">
        <v>538</v>
      </c>
      <c r="F70" s="143">
        <f>C70*E70</f>
        <v>34001.6</v>
      </c>
      <c r="G70" s="142"/>
      <c r="H70" s="155" t="s">
        <v>773</v>
      </c>
      <c r="I70" s="152" t="s">
        <v>774</v>
      </c>
      <c r="J70" s="152" t="s">
        <v>775</v>
      </c>
      <c r="K70" s="151" t="s">
        <v>776</v>
      </c>
    </row>
    <row r="71" s="137" customFormat="1" ht="27.95" customHeight="1" outlineLevel="1" spans="1:11">
      <c r="A71" s="142">
        <v>2</v>
      </c>
      <c r="B71" s="146" t="s">
        <v>777</v>
      </c>
      <c r="C71" s="148">
        <v>707.5</v>
      </c>
      <c r="D71" s="148" t="s">
        <v>778</v>
      </c>
      <c r="E71" s="143">
        <v>400</v>
      </c>
      <c r="F71" s="143">
        <f t="shared" ref="F71:F86" si="4">C71*E71</f>
        <v>283000</v>
      </c>
      <c r="G71" s="142"/>
      <c r="H71" s="152" t="s">
        <v>779</v>
      </c>
      <c r="I71" s="152" t="s">
        <v>780</v>
      </c>
      <c r="J71" s="152" t="s">
        <v>781</v>
      </c>
      <c r="K71" s="151" t="s">
        <v>782</v>
      </c>
    </row>
    <row r="72" s="137" customFormat="1" ht="27.95" customHeight="1" outlineLevel="1" spans="1:11">
      <c r="A72" s="142">
        <v>3</v>
      </c>
      <c r="B72" s="146" t="s">
        <v>783</v>
      </c>
      <c r="C72" s="148">
        <v>1020.4</v>
      </c>
      <c r="D72" s="148" t="s">
        <v>778</v>
      </c>
      <c r="E72" s="143">
        <v>432</v>
      </c>
      <c r="F72" s="143">
        <f t="shared" si="4"/>
        <v>440812.8</v>
      </c>
      <c r="G72" s="142"/>
      <c r="H72" s="152" t="s">
        <v>784</v>
      </c>
      <c r="I72" s="152" t="s">
        <v>785</v>
      </c>
      <c r="J72" s="152" t="s">
        <v>786</v>
      </c>
      <c r="K72" s="151" t="s">
        <v>787</v>
      </c>
    </row>
    <row r="73" s="137" customFormat="1" ht="27.95" customHeight="1" outlineLevel="1" spans="1:11">
      <c r="A73" s="142">
        <v>4</v>
      </c>
      <c r="B73" s="146" t="s">
        <v>788</v>
      </c>
      <c r="C73" s="148">
        <v>275</v>
      </c>
      <c r="D73" s="148" t="s">
        <v>778</v>
      </c>
      <c r="E73" s="143">
        <v>490</v>
      </c>
      <c r="F73" s="143">
        <f t="shared" si="4"/>
        <v>134750</v>
      </c>
      <c r="G73" s="142"/>
      <c r="H73" s="152" t="s">
        <v>789</v>
      </c>
      <c r="I73" s="152" t="s">
        <v>790</v>
      </c>
      <c r="J73" s="152" t="s">
        <v>791</v>
      </c>
      <c r="K73" s="151" t="s">
        <v>792</v>
      </c>
    </row>
    <row r="74" s="137" customFormat="1" ht="27.95" customHeight="1" outlineLevel="1" spans="1:11">
      <c r="A74" s="142">
        <v>5</v>
      </c>
      <c r="B74" s="146" t="s">
        <v>793</v>
      </c>
      <c r="C74" s="148">
        <v>1311.2</v>
      </c>
      <c r="D74" s="148" t="s">
        <v>778</v>
      </c>
      <c r="E74" s="143">
        <v>392</v>
      </c>
      <c r="F74" s="143">
        <f t="shared" si="4"/>
        <v>513990.4</v>
      </c>
      <c r="G74" s="142"/>
      <c r="H74" s="152" t="s">
        <v>789</v>
      </c>
      <c r="I74" s="152" t="s">
        <v>790</v>
      </c>
      <c r="J74" s="152" t="s">
        <v>791</v>
      </c>
      <c r="K74" s="151" t="s">
        <v>792</v>
      </c>
    </row>
    <row r="75" s="137" customFormat="1" ht="27.95" customHeight="1" outlineLevel="1" spans="1:11">
      <c r="A75" s="142">
        <v>6</v>
      </c>
      <c r="B75" s="146" t="s">
        <v>794</v>
      </c>
      <c r="C75" s="148">
        <v>880.1</v>
      </c>
      <c r="D75" s="148" t="s">
        <v>778</v>
      </c>
      <c r="E75" s="143">
        <v>490</v>
      </c>
      <c r="F75" s="143">
        <f t="shared" si="4"/>
        <v>431249</v>
      </c>
      <c r="G75" s="142"/>
      <c r="H75" s="152" t="s">
        <v>789</v>
      </c>
      <c r="I75" s="152" t="s">
        <v>795</v>
      </c>
      <c r="J75" s="152" t="s">
        <v>791</v>
      </c>
      <c r="K75" s="151" t="s">
        <v>792</v>
      </c>
    </row>
    <row r="76" s="137" customFormat="1" ht="27.95" customHeight="1" outlineLevel="1" spans="1:11">
      <c r="A76" s="142">
        <v>7</v>
      </c>
      <c r="B76" s="146" t="s">
        <v>796</v>
      </c>
      <c r="C76" s="148">
        <v>526.8</v>
      </c>
      <c r="D76" s="148" t="s">
        <v>778</v>
      </c>
      <c r="E76" s="143">
        <v>486</v>
      </c>
      <c r="F76" s="143">
        <f t="shared" si="4"/>
        <v>256024.8</v>
      </c>
      <c r="G76" s="142"/>
      <c r="H76" s="152" t="s">
        <v>789</v>
      </c>
      <c r="I76" s="152" t="s">
        <v>795</v>
      </c>
      <c r="J76" s="152" t="s">
        <v>791</v>
      </c>
      <c r="K76" s="151" t="s">
        <v>792</v>
      </c>
    </row>
    <row r="77" s="137" customFormat="1" ht="27.95" customHeight="1" outlineLevel="1" spans="1:11">
      <c r="A77" s="142">
        <v>8</v>
      </c>
      <c r="B77" s="146" t="s">
        <v>797</v>
      </c>
      <c r="C77" s="148">
        <v>1267.5</v>
      </c>
      <c r="D77" s="148" t="s">
        <v>778</v>
      </c>
      <c r="E77" s="143">
        <v>490</v>
      </c>
      <c r="F77" s="143">
        <f t="shared" si="4"/>
        <v>621075</v>
      </c>
      <c r="G77" s="142"/>
      <c r="H77" s="152" t="s">
        <v>790</v>
      </c>
      <c r="I77" s="152" t="s">
        <v>798</v>
      </c>
      <c r="J77" s="152" t="s">
        <v>799</v>
      </c>
      <c r="K77" s="151" t="s">
        <v>800</v>
      </c>
    </row>
    <row r="78" s="137" customFormat="1" ht="27.95" customHeight="1" outlineLevel="1" spans="1:11">
      <c r="A78" s="142">
        <v>9</v>
      </c>
      <c r="B78" s="146" t="s">
        <v>801</v>
      </c>
      <c r="C78" s="148">
        <v>437.1</v>
      </c>
      <c r="D78" s="148" t="s">
        <v>778</v>
      </c>
      <c r="E78" s="143">
        <v>384</v>
      </c>
      <c r="F78" s="143">
        <f t="shared" si="4"/>
        <v>167846.4</v>
      </c>
      <c r="G78" s="142"/>
      <c r="H78" s="152" t="s">
        <v>790</v>
      </c>
      <c r="I78" s="152" t="s">
        <v>798</v>
      </c>
      <c r="J78" s="152" t="s">
        <v>799</v>
      </c>
      <c r="K78" s="151" t="s">
        <v>800</v>
      </c>
    </row>
    <row r="79" s="137" customFormat="1" ht="27.95" customHeight="1" outlineLevel="1" spans="1:11">
      <c r="A79" s="142">
        <v>10</v>
      </c>
      <c r="B79" s="146" t="s">
        <v>802</v>
      </c>
      <c r="C79" s="148">
        <v>1180.7</v>
      </c>
      <c r="D79" s="148" t="s">
        <v>778</v>
      </c>
      <c r="E79" s="143">
        <v>512</v>
      </c>
      <c r="F79" s="143">
        <f t="shared" si="4"/>
        <v>604518.4</v>
      </c>
      <c r="G79" s="142"/>
      <c r="H79" s="152" t="s">
        <v>798</v>
      </c>
      <c r="I79" s="152" t="s">
        <v>798</v>
      </c>
      <c r="J79" s="152" t="s">
        <v>799</v>
      </c>
      <c r="K79" s="151" t="s">
        <v>800</v>
      </c>
    </row>
    <row r="80" s="137" customFormat="1" ht="27.95" customHeight="1" outlineLevel="1" spans="1:11">
      <c r="A80" s="142">
        <v>11</v>
      </c>
      <c r="B80" s="146" t="s">
        <v>803</v>
      </c>
      <c r="C80" s="148">
        <v>131.9</v>
      </c>
      <c r="D80" s="148" t="s">
        <v>778</v>
      </c>
      <c r="E80" s="143">
        <v>490</v>
      </c>
      <c r="F80" s="143">
        <f t="shared" si="4"/>
        <v>64631</v>
      </c>
      <c r="G80" s="142"/>
      <c r="H80" s="152" t="s">
        <v>790</v>
      </c>
      <c r="I80" s="152" t="s">
        <v>798</v>
      </c>
      <c r="J80" s="152" t="s">
        <v>799</v>
      </c>
      <c r="K80" s="151" t="s">
        <v>800</v>
      </c>
    </row>
    <row r="81" s="137" customFormat="1" ht="27.95" customHeight="1" outlineLevel="1" spans="1:11">
      <c r="A81" s="142">
        <v>12</v>
      </c>
      <c r="B81" s="146" t="s">
        <v>804</v>
      </c>
      <c r="C81" s="148">
        <v>8.1</v>
      </c>
      <c r="D81" s="148" t="s">
        <v>778</v>
      </c>
      <c r="E81" s="143">
        <v>360</v>
      </c>
      <c r="F81" s="143">
        <f t="shared" si="4"/>
        <v>2916</v>
      </c>
      <c r="G81" s="142"/>
      <c r="H81" s="152" t="s">
        <v>805</v>
      </c>
      <c r="I81" s="152" t="s">
        <v>805</v>
      </c>
      <c r="J81" s="151" t="s">
        <v>806</v>
      </c>
      <c r="K81" s="151" t="s">
        <v>807</v>
      </c>
    </row>
    <row r="82" s="137" customFormat="1" ht="27.95" customHeight="1" outlineLevel="1" spans="1:11">
      <c r="A82" s="142">
        <v>13</v>
      </c>
      <c r="B82" s="146" t="s">
        <v>808</v>
      </c>
      <c r="C82" s="148">
        <v>69.9</v>
      </c>
      <c r="D82" s="148" t="s">
        <v>778</v>
      </c>
      <c r="E82" s="143">
        <v>200</v>
      </c>
      <c r="F82" s="143">
        <f t="shared" si="4"/>
        <v>13980</v>
      </c>
      <c r="G82" s="142"/>
      <c r="H82" s="152" t="s">
        <v>805</v>
      </c>
      <c r="I82" s="152" t="s">
        <v>809</v>
      </c>
      <c r="J82" s="152" t="s">
        <v>810</v>
      </c>
      <c r="K82" s="151" t="s">
        <v>811</v>
      </c>
    </row>
    <row r="83" s="137" customFormat="1" ht="27.95" customHeight="1" outlineLevel="1" spans="1:11">
      <c r="A83" s="142">
        <v>14</v>
      </c>
      <c r="B83" s="146" t="s">
        <v>812</v>
      </c>
      <c r="C83" s="148">
        <v>27.7</v>
      </c>
      <c r="D83" s="148" t="s">
        <v>778</v>
      </c>
      <c r="E83" s="143">
        <v>360</v>
      </c>
      <c r="F83" s="143">
        <f t="shared" si="4"/>
        <v>9972</v>
      </c>
      <c r="G83" s="142"/>
      <c r="H83" s="152" t="s">
        <v>805</v>
      </c>
      <c r="I83" s="152" t="s">
        <v>809</v>
      </c>
      <c r="J83" s="152" t="s">
        <v>810</v>
      </c>
      <c r="K83" s="151" t="s">
        <v>811</v>
      </c>
    </row>
    <row r="84" s="137" customFormat="1" ht="27.95" customHeight="1" outlineLevel="1" spans="1:11">
      <c r="A84" s="142">
        <v>15</v>
      </c>
      <c r="B84" s="146" t="s">
        <v>813</v>
      </c>
      <c r="C84" s="148">
        <v>14045.1</v>
      </c>
      <c r="D84" s="148" t="s">
        <v>778</v>
      </c>
      <c r="E84" s="143">
        <v>56</v>
      </c>
      <c r="F84" s="143">
        <f t="shared" si="4"/>
        <v>786525.6</v>
      </c>
      <c r="G84" s="142"/>
      <c r="H84" s="152" t="s">
        <v>810</v>
      </c>
      <c r="I84" s="152" t="s">
        <v>810</v>
      </c>
      <c r="J84" s="152" t="s">
        <v>810</v>
      </c>
      <c r="K84" s="151" t="s">
        <v>814</v>
      </c>
    </row>
    <row r="85" s="137" customFormat="1" ht="27.95" customHeight="1" outlineLevel="1" spans="1:11">
      <c r="A85" s="142">
        <v>16</v>
      </c>
      <c r="B85" s="146" t="s">
        <v>815</v>
      </c>
      <c r="C85" s="148">
        <v>3701.8</v>
      </c>
      <c r="D85" s="148" t="s">
        <v>778</v>
      </c>
      <c r="E85" s="143">
        <v>56</v>
      </c>
      <c r="F85" s="143">
        <f t="shared" si="4"/>
        <v>207300.8</v>
      </c>
      <c r="G85" s="142"/>
      <c r="H85" s="152" t="s">
        <v>810</v>
      </c>
      <c r="I85" s="152" t="s">
        <v>810</v>
      </c>
      <c r="J85" s="152" t="s">
        <v>810</v>
      </c>
      <c r="K85" s="151" t="s">
        <v>816</v>
      </c>
    </row>
    <row r="86" s="137" customFormat="1" ht="27.95" customHeight="1" outlineLevel="1" spans="1:11">
      <c r="A86" s="142">
        <v>17</v>
      </c>
      <c r="B86" s="146" t="s">
        <v>817</v>
      </c>
      <c r="C86" s="152">
        <v>731</v>
      </c>
      <c r="D86" s="146" t="s">
        <v>643</v>
      </c>
      <c r="E86" s="143">
        <v>160</v>
      </c>
      <c r="F86" s="143">
        <f t="shared" si="4"/>
        <v>116960</v>
      </c>
      <c r="G86" s="142"/>
      <c r="H86" s="156" t="s">
        <v>818</v>
      </c>
      <c r="I86" s="164"/>
      <c r="J86" s="152" t="s">
        <v>819</v>
      </c>
      <c r="K86" s="151" t="s">
        <v>820</v>
      </c>
    </row>
    <row r="87" s="136" customFormat="1" ht="27.95" customHeight="1" spans="1:11">
      <c r="A87" s="147" t="s">
        <v>655</v>
      </c>
      <c r="B87" s="147"/>
      <c r="C87" s="147">
        <f>SUM(C70:C86)</f>
        <v>26385</v>
      </c>
      <c r="D87" s="142"/>
      <c r="E87" s="143">
        <v>0</v>
      </c>
      <c r="F87" s="143">
        <f>SUM(F70:F86)</f>
        <v>4689553.8</v>
      </c>
      <c r="G87" s="142"/>
      <c r="H87" s="142"/>
      <c r="I87" s="142"/>
      <c r="J87" s="142"/>
      <c r="K87" s="142"/>
    </row>
    <row r="88" s="136" customFormat="1" ht="27.95" customHeight="1" spans="1:11">
      <c r="A88" s="147" t="s">
        <v>821</v>
      </c>
      <c r="B88" s="147"/>
      <c r="C88" s="142"/>
      <c r="D88" s="142"/>
      <c r="E88" s="143">
        <v>0</v>
      </c>
      <c r="F88" s="143"/>
      <c r="G88" s="142"/>
      <c r="H88" s="142"/>
      <c r="I88" s="142"/>
      <c r="J88" s="142"/>
      <c r="K88" s="142"/>
    </row>
    <row r="89" s="136" customFormat="1" ht="27.95" customHeight="1" outlineLevel="1" spans="1:11">
      <c r="A89" s="142">
        <v>1</v>
      </c>
      <c r="B89" s="142" t="s">
        <v>822</v>
      </c>
      <c r="C89" s="147">
        <v>25590.8</v>
      </c>
      <c r="D89" s="142" t="s">
        <v>823</v>
      </c>
      <c r="E89" s="157">
        <v>15</v>
      </c>
      <c r="F89" s="143">
        <f>C89*E89</f>
        <v>383862</v>
      </c>
      <c r="G89" s="158"/>
      <c r="H89" s="159"/>
      <c r="I89" s="159"/>
      <c r="J89" s="159"/>
      <c r="K89" s="159"/>
    </row>
    <row r="90" s="136" customFormat="1" ht="27.95" customHeight="1" spans="1:11">
      <c r="A90" s="147" t="s">
        <v>655</v>
      </c>
      <c r="B90" s="147"/>
      <c r="C90" s="142"/>
      <c r="D90" s="142"/>
      <c r="E90" s="143"/>
      <c r="F90" s="143">
        <f>F89</f>
        <v>383862</v>
      </c>
      <c r="G90" s="142"/>
      <c r="H90" s="142"/>
      <c r="I90" s="142"/>
      <c r="J90" s="142"/>
      <c r="K90" s="147"/>
    </row>
    <row r="91" s="136" customFormat="1" ht="27.95" customHeight="1" spans="1:11">
      <c r="A91" s="147" t="s">
        <v>824</v>
      </c>
      <c r="B91" s="147"/>
      <c r="C91" s="147"/>
      <c r="D91" s="147"/>
      <c r="E91" s="160">
        <f>F8+F14+F49+F68+F87+F90</f>
        <v>12229415.8</v>
      </c>
      <c r="F91" s="160"/>
      <c r="G91" s="161"/>
      <c r="H91" s="161"/>
      <c r="I91" s="161"/>
      <c r="J91" s="161"/>
      <c r="K91" s="161"/>
    </row>
    <row r="92" ht="62.1" customHeight="1" spans="1:11">
      <c r="A92" s="162" t="s">
        <v>825</v>
      </c>
      <c r="B92" s="163"/>
      <c r="C92" s="163"/>
      <c r="D92" s="163"/>
      <c r="E92" s="163"/>
      <c r="F92" s="163"/>
      <c r="G92" s="163"/>
      <c r="H92" s="163"/>
      <c r="I92" s="163"/>
      <c r="J92" s="163"/>
      <c r="K92" s="163"/>
    </row>
  </sheetData>
  <sheetProtection selectLockedCells="1"/>
  <mergeCells count="24">
    <mergeCell ref="A1:K1"/>
    <mergeCell ref="G2:J2"/>
    <mergeCell ref="A4:B4"/>
    <mergeCell ref="A8:B8"/>
    <mergeCell ref="A9:B9"/>
    <mergeCell ref="A14:B14"/>
    <mergeCell ref="A15:B15"/>
    <mergeCell ref="A49:B49"/>
    <mergeCell ref="A50:B50"/>
    <mergeCell ref="A69:B69"/>
    <mergeCell ref="H86:I86"/>
    <mergeCell ref="A87:B87"/>
    <mergeCell ref="A88:B88"/>
    <mergeCell ref="A90:B90"/>
    <mergeCell ref="A91:D91"/>
    <mergeCell ref="E91:I91"/>
    <mergeCell ref="A92:K92"/>
    <mergeCell ref="A2:A3"/>
    <mergeCell ref="B2:B3"/>
    <mergeCell ref="C2:C3"/>
    <mergeCell ref="D2:D3"/>
    <mergeCell ref="E2:E3"/>
    <mergeCell ref="F2:F3"/>
    <mergeCell ref="K2:K3"/>
  </mergeCells>
  <pageMargins left="0.75" right="0.75" top="1" bottom="1" header="0.5" footer="0.5"/>
  <pageSetup paperSize="9" scale="51" fitToHeight="0" orientation="landscape"/>
  <headerFooter/>
  <ignoredErrors>
    <ignoredError sqref="F83" unlockedFormula="1"/>
  </ignoredError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57"/>
  <sheetViews>
    <sheetView view="pageBreakPreview" zoomScale="73" zoomScaleNormal="85" topLeftCell="A7" workbookViewId="0">
      <selection activeCell="H42" sqref="H42"/>
    </sheetView>
  </sheetViews>
  <sheetFormatPr defaultColWidth="8.85185185185185" defaultRowHeight="13.2"/>
  <cols>
    <col min="1" max="1" width="8.85185185185185" style="95"/>
    <col min="2" max="2" width="13.4259259259259" style="95" customWidth="1"/>
    <col min="3" max="3" width="15.5740740740741" style="95" customWidth="1"/>
    <col min="4" max="4" width="13.8518518518519" style="95" customWidth="1"/>
    <col min="5" max="5" width="12.287037037037" style="95" customWidth="1"/>
    <col min="6" max="6" width="12.5740740740741" style="95" customWidth="1"/>
    <col min="7" max="7" width="8.85185185185185" style="95"/>
    <col min="8" max="8" width="13.1388888888889" style="95" customWidth="1"/>
    <col min="9" max="9" width="100.712962962963" style="95" customWidth="1"/>
    <col min="10" max="10" width="42.287037037037" style="96" customWidth="1"/>
    <col min="11" max="16384" width="8.85185185185185" style="96"/>
  </cols>
  <sheetData>
    <row r="1" ht="27.95" customHeight="1" spans="1:9">
      <c r="A1" s="97" t="s">
        <v>826</v>
      </c>
      <c r="B1" s="97"/>
      <c r="C1" s="97"/>
      <c r="D1" s="97"/>
      <c r="E1" s="97"/>
      <c r="F1" s="97"/>
      <c r="G1" s="97"/>
      <c r="H1" s="97"/>
      <c r="I1" s="121"/>
    </row>
    <row r="2" ht="32.1" customHeight="1" spans="1:10">
      <c r="A2" s="98" t="s">
        <v>11</v>
      </c>
      <c r="B2" s="99" t="s">
        <v>631</v>
      </c>
      <c r="C2" s="98" t="s">
        <v>827</v>
      </c>
      <c r="D2" s="99" t="s">
        <v>828</v>
      </c>
      <c r="E2" s="99" t="s">
        <v>829</v>
      </c>
      <c r="F2" s="99" t="s">
        <v>830</v>
      </c>
      <c r="G2" s="99" t="s">
        <v>633</v>
      </c>
      <c r="H2" s="98" t="s">
        <v>29</v>
      </c>
      <c r="I2" s="98" t="s">
        <v>31</v>
      </c>
      <c r="J2" s="122"/>
    </row>
    <row r="3" ht="18" customHeight="1" spans="1:9">
      <c r="A3" s="100" t="s">
        <v>831</v>
      </c>
      <c r="B3" s="100"/>
      <c r="C3" s="101"/>
      <c r="D3" s="101"/>
      <c r="E3" s="101"/>
      <c r="F3" s="101"/>
      <c r="G3" s="101"/>
      <c r="H3" s="101"/>
      <c r="I3" s="123"/>
    </row>
    <row r="4" ht="18" customHeight="1" spans="1:9">
      <c r="A4" s="101">
        <v>1</v>
      </c>
      <c r="B4" s="102" t="s">
        <v>832</v>
      </c>
      <c r="C4" s="102" t="s">
        <v>644</v>
      </c>
      <c r="D4" s="102" t="s">
        <v>645</v>
      </c>
      <c r="E4" s="102" t="s">
        <v>646</v>
      </c>
      <c r="F4" s="102" t="s">
        <v>644</v>
      </c>
      <c r="G4" s="101" t="s">
        <v>643</v>
      </c>
      <c r="H4" s="101">
        <v>15500</v>
      </c>
      <c r="I4" s="124" t="s">
        <v>833</v>
      </c>
    </row>
    <row r="5" ht="18" customHeight="1" spans="1:9">
      <c r="A5" s="101">
        <v>2</v>
      </c>
      <c r="B5" s="101" t="s">
        <v>834</v>
      </c>
      <c r="C5" s="101" t="s">
        <v>644</v>
      </c>
      <c r="D5" s="101" t="s">
        <v>835</v>
      </c>
      <c r="E5" s="101" t="s">
        <v>664</v>
      </c>
      <c r="F5" s="101" t="s">
        <v>644</v>
      </c>
      <c r="G5" s="101" t="s">
        <v>643</v>
      </c>
      <c r="H5" s="101">
        <v>15500</v>
      </c>
      <c r="I5" s="123" t="s">
        <v>836</v>
      </c>
    </row>
    <row r="6" ht="18" customHeight="1" spans="1:9">
      <c r="A6" s="101">
        <v>3</v>
      </c>
      <c r="B6" s="102" t="s">
        <v>837</v>
      </c>
      <c r="C6" s="102" t="s">
        <v>838</v>
      </c>
      <c r="D6" s="102" t="s">
        <v>645</v>
      </c>
      <c r="E6" s="102" t="s">
        <v>652</v>
      </c>
      <c r="F6" s="102" t="s">
        <v>678</v>
      </c>
      <c r="G6" s="101" t="s">
        <v>643</v>
      </c>
      <c r="H6" s="101">
        <v>12000</v>
      </c>
      <c r="I6" s="124" t="s">
        <v>660</v>
      </c>
    </row>
    <row r="7" ht="18" customHeight="1" spans="1:9">
      <c r="A7" s="101">
        <v>4</v>
      </c>
      <c r="B7" s="101" t="s">
        <v>839</v>
      </c>
      <c r="C7" s="101" t="s">
        <v>662</v>
      </c>
      <c r="D7" s="101" t="s">
        <v>663</v>
      </c>
      <c r="E7" s="101" t="s">
        <v>664</v>
      </c>
      <c r="F7" s="101" t="s">
        <v>687</v>
      </c>
      <c r="G7" s="101" t="s">
        <v>643</v>
      </c>
      <c r="H7" s="101">
        <v>9000</v>
      </c>
      <c r="I7" s="123" t="s">
        <v>660</v>
      </c>
    </row>
    <row r="8" ht="18" customHeight="1" spans="1:9">
      <c r="A8" s="101">
        <v>5</v>
      </c>
      <c r="B8" s="101" t="s">
        <v>715</v>
      </c>
      <c r="C8" s="103" t="s">
        <v>840</v>
      </c>
      <c r="D8" s="101" t="s">
        <v>646</v>
      </c>
      <c r="E8" s="101" t="s">
        <v>664</v>
      </c>
      <c r="F8" s="101" t="s">
        <v>841</v>
      </c>
      <c r="G8" s="101" t="s">
        <v>643</v>
      </c>
      <c r="H8" s="101">
        <v>3800</v>
      </c>
      <c r="I8" s="123" t="s">
        <v>717</v>
      </c>
    </row>
    <row r="9" ht="18" customHeight="1" spans="1:9">
      <c r="A9" s="101">
        <v>6</v>
      </c>
      <c r="B9" s="102" t="s">
        <v>842</v>
      </c>
      <c r="C9" s="102" t="s">
        <v>843</v>
      </c>
      <c r="D9" s="102" t="s">
        <v>649</v>
      </c>
      <c r="E9" s="102" t="s">
        <v>652</v>
      </c>
      <c r="F9" s="102" t="s">
        <v>844</v>
      </c>
      <c r="G9" s="101" t="s">
        <v>643</v>
      </c>
      <c r="H9" s="101">
        <v>4500</v>
      </c>
      <c r="I9" s="124" t="s">
        <v>845</v>
      </c>
    </row>
    <row r="10" ht="18" customHeight="1" spans="1:9">
      <c r="A10" s="101">
        <v>7</v>
      </c>
      <c r="B10" s="102" t="s">
        <v>846</v>
      </c>
      <c r="C10" s="102" t="s">
        <v>847</v>
      </c>
      <c r="D10" s="102" t="s">
        <v>652</v>
      </c>
      <c r="E10" s="102" t="s">
        <v>664</v>
      </c>
      <c r="F10" s="102" t="s">
        <v>844</v>
      </c>
      <c r="G10" s="101" t="s">
        <v>643</v>
      </c>
      <c r="H10" s="101">
        <v>2200</v>
      </c>
      <c r="I10" s="124" t="s">
        <v>845</v>
      </c>
    </row>
    <row r="11" ht="18" customHeight="1" spans="1:9">
      <c r="A11" s="101">
        <v>8</v>
      </c>
      <c r="B11" s="102" t="s">
        <v>848</v>
      </c>
      <c r="C11" s="102" t="s">
        <v>849</v>
      </c>
      <c r="D11" s="102" t="s">
        <v>664</v>
      </c>
      <c r="E11" s="102" t="s">
        <v>673</v>
      </c>
      <c r="F11" s="102" t="s">
        <v>844</v>
      </c>
      <c r="G11" s="101" t="s">
        <v>643</v>
      </c>
      <c r="H11" s="101">
        <v>1200</v>
      </c>
      <c r="I11" s="124" t="s">
        <v>845</v>
      </c>
    </row>
    <row r="12" ht="18" customHeight="1" spans="1:9">
      <c r="A12" s="101">
        <v>9</v>
      </c>
      <c r="B12" s="102" t="s">
        <v>850</v>
      </c>
      <c r="C12" s="104" t="s">
        <v>843</v>
      </c>
      <c r="D12" s="104" t="s">
        <v>649</v>
      </c>
      <c r="E12" s="104" t="s">
        <v>652</v>
      </c>
      <c r="F12" s="105" t="s">
        <v>851</v>
      </c>
      <c r="G12" s="101" t="s">
        <v>643</v>
      </c>
      <c r="H12" s="101">
        <v>9500</v>
      </c>
      <c r="I12" s="125" t="s">
        <v>845</v>
      </c>
    </row>
    <row r="13" ht="18" customHeight="1" spans="1:9">
      <c r="A13" s="101">
        <v>10</v>
      </c>
      <c r="B13" s="101" t="s">
        <v>852</v>
      </c>
      <c r="C13" s="101" t="s">
        <v>677</v>
      </c>
      <c r="D13" s="101" t="s">
        <v>664</v>
      </c>
      <c r="E13" s="101" t="s">
        <v>678</v>
      </c>
      <c r="F13" s="101" t="s">
        <v>853</v>
      </c>
      <c r="G13" s="101" t="s">
        <v>643</v>
      </c>
      <c r="H13" s="101">
        <v>4500</v>
      </c>
      <c r="I13" s="123" t="s">
        <v>680</v>
      </c>
    </row>
    <row r="14" ht="18" customHeight="1" spans="1:9">
      <c r="A14" s="101">
        <v>11</v>
      </c>
      <c r="B14" s="101" t="s">
        <v>854</v>
      </c>
      <c r="C14" s="101" t="s">
        <v>855</v>
      </c>
      <c r="D14" s="101" t="s">
        <v>664</v>
      </c>
      <c r="E14" s="101" t="s">
        <v>673</v>
      </c>
      <c r="F14" s="101" t="s">
        <v>853</v>
      </c>
      <c r="G14" s="101" t="s">
        <v>643</v>
      </c>
      <c r="H14" s="101">
        <v>3800</v>
      </c>
      <c r="I14" s="123" t="s">
        <v>680</v>
      </c>
    </row>
    <row r="15" ht="18" customHeight="1" spans="1:9">
      <c r="A15" s="101">
        <v>12</v>
      </c>
      <c r="B15" s="102" t="s">
        <v>856</v>
      </c>
      <c r="C15" s="102" t="s">
        <v>857</v>
      </c>
      <c r="D15" s="102" t="s">
        <v>664</v>
      </c>
      <c r="E15" s="102" t="s">
        <v>673</v>
      </c>
      <c r="F15" s="102" t="s">
        <v>844</v>
      </c>
      <c r="G15" s="101" t="s">
        <v>643</v>
      </c>
      <c r="H15" s="101">
        <v>1200</v>
      </c>
      <c r="I15" s="124" t="s">
        <v>689</v>
      </c>
    </row>
    <row r="16" ht="18" customHeight="1" spans="1:9">
      <c r="A16" s="101">
        <v>13</v>
      </c>
      <c r="B16" s="101" t="s">
        <v>858</v>
      </c>
      <c r="C16" s="101" t="s">
        <v>855</v>
      </c>
      <c r="D16" s="101" t="s">
        <v>652</v>
      </c>
      <c r="E16" s="101" t="s">
        <v>673</v>
      </c>
      <c r="F16" s="101" t="s">
        <v>859</v>
      </c>
      <c r="G16" s="101" t="s">
        <v>643</v>
      </c>
      <c r="H16" s="101">
        <v>4500</v>
      </c>
      <c r="I16" s="123" t="s">
        <v>680</v>
      </c>
    </row>
    <row r="17" ht="18" customHeight="1" spans="1:9">
      <c r="A17" s="101">
        <v>14</v>
      </c>
      <c r="B17" s="101" t="s">
        <v>685</v>
      </c>
      <c r="C17" s="101" t="s">
        <v>855</v>
      </c>
      <c r="D17" s="101" t="s">
        <v>739</v>
      </c>
      <c r="E17" s="101" t="s">
        <v>673</v>
      </c>
      <c r="F17" s="101" t="s">
        <v>844</v>
      </c>
      <c r="G17" s="101" t="s">
        <v>643</v>
      </c>
      <c r="H17" s="101">
        <v>4500</v>
      </c>
      <c r="I17" s="123" t="s">
        <v>689</v>
      </c>
    </row>
    <row r="18" ht="18" customHeight="1" spans="1:9">
      <c r="A18" s="101">
        <v>15</v>
      </c>
      <c r="B18" s="102" t="s">
        <v>685</v>
      </c>
      <c r="C18" s="102" t="s">
        <v>857</v>
      </c>
      <c r="D18" s="102" t="s">
        <v>664</v>
      </c>
      <c r="E18" s="102" t="s">
        <v>673</v>
      </c>
      <c r="F18" s="102" t="s">
        <v>844</v>
      </c>
      <c r="G18" s="101" t="s">
        <v>643</v>
      </c>
      <c r="H18" s="101">
        <v>1800</v>
      </c>
      <c r="I18" s="124" t="s">
        <v>689</v>
      </c>
    </row>
    <row r="19" ht="18" customHeight="1" spans="1:9">
      <c r="A19" s="101">
        <v>16</v>
      </c>
      <c r="B19" s="102" t="s">
        <v>691</v>
      </c>
      <c r="C19" s="102" t="s">
        <v>677</v>
      </c>
      <c r="D19" s="102" t="s">
        <v>664</v>
      </c>
      <c r="E19" s="102" t="s">
        <v>673</v>
      </c>
      <c r="F19" s="102" t="s">
        <v>844</v>
      </c>
      <c r="G19" s="101" t="s">
        <v>643</v>
      </c>
      <c r="H19" s="101">
        <v>4500</v>
      </c>
      <c r="I19" s="124" t="s">
        <v>693</v>
      </c>
    </row>
    <row r="20" ht="18" customHeight="1" spans="1:9">
      <c r="A20" s="101">
        <v>17</v>
      </c>
      <c r="B20" s="102" t="s">
        <v>690</v>
      </c>
      <c r="C20" s="102" t="s">
        <v>857</v>
      </c>
      <c r="D20" s="102" t="s">
        <v>664</v>
      </c>
      <c r="E20" s="102" t="s">
        <v>673</v>
      </c>
      <c r="F20" s="102" t="s">
        <v>844</v>
      </c>
      <c r="G20" s="101" t="s">
        <v>643</v>
      </c>
      <c r="H20" s="101">
        <v>2300</v>
      </c>
      <c r="I20" s="123" t="s">
        <v>680</v>
      </c>
    </row>
    <row r="21" ht="18" customHeight="1" spans="1:9">
      <c r="A21" s="101">
        <v>18</v>
      </c>
      <c r="B21" s="101" t="s">
        <v>860</v>
      </c>
      <c r="C21" s="101" t="s">
        <v>644</v>
      </c>
      <c r="D21" s="101" t="s">
        <v>673</v>
      </c>
      <c r="E21" s="101" t="s">
        <v>673</v>
      </c>
      <c r="F21" s="101" t="s">
        <v>644</v>
      </c>
      <c r="G21" s="101" t="s">
        <v>643</v>
      </c>
      <c r="H21" s="101">
        <v>3200</v>
      </c>
      <c r="I21" s="123" t="s">
        <v>861</v>
      </c>
    </row>
    <row r="22" ht="18" customHeight="1" spans="1:9">
      <c r="A22" s="101">
        <v>19</v>
      </c>
      <c r="B22" s="101" t="s">
        <v>749</v>
      </c>
      <c r="C22" s="101" t="s">
        <v>644</v>
      </c>
      <c r="D22" s="101" t="s">
        <v>673</v>
      </c>
      <c r="E22" s="101" t="s">
        <v>678</v>
      </c>
      <c r="F22" s="101" t="s">
        <v>644</v>
      </c>
      <c r="G22" s="101" t="s">
        <v>643</v>
      </c>
      <c r="H22" s="101">
        <v>420</v>
      </c>
      <c r="I22" s="123" t="s">
        <v>862</v>
      </c>
    </row>
    <row r="23" ht="18" customHeight="1" spans="1:9">
      <c r="A23" s="101">
        <v>20</v>
      </c>
      <c r="B23" s="101" t="s">
        <v>713</v>
      </c>
      <c r="C23" s="101" t="s">
        <v>857</v>
      </c>
      <c r="D23" s="101" t="s">
        <v>863</v>
      </c>
      <c r="E23" s="101" t="s">
        <v>687</v>
      </c>
      <c r="F23" s="101" t="s">
        <v>844</v>
      </c>
      <c r="G23" s="101" t="s">
        <v>643</v>
      </c>
      <c r="H23" s="101">
        <v>1800</v>
      </c>
      <c r="I23" s="123" t="s">
        <v>714</v>
      </c>
    </row>
    <row r="24" ht="18" customHeight="1" spans="1:9">
      <c r="A24" s="101">
        <v>21</v>
      </c>
      <c r="B24" s="101" t="s">
        <v>864</v>
      </c>
      <c r="C24" s="101" t="s">
        <v>644</v>
      </c>
      <c r="D24" s="101" t="s">
        <v>652</v>
      </c>
      <c r="E24" s="101" t="s">
        <v>664</v>
      </c>
      <c r="F24" s="101" t="s">
        <v>644</v>
      </c>
      <c r="G24" s="101" t="s">
        <v>643</v>
      </c>
      <c r="H24" s="101">
        <v>3200</v>
      </c>
      <c r="I24" s="123" t="s">
        <v>717</v>
      </c>
    </row>
    <row r="25" ht="18" customHeight="1" spans="1:9">
      <c r="A25" s="101">
        <v>22</v>
      </c>
      <c r="B25" s="101" t="s">
        <v>865</v>
      </c>
      <c r="C25" s="101" t="s">
        <v>644</v>
      </c>
      <c r="D25" s="101" t="s">
        <v>664</v>
      </c>
      <c r="E25" s="101" t="s">
        <v>673</v>
      </c>
      <c r="F25" s="101" t="s">
        <v>644</v>
      </c>
      <c r="G25" s="101" t="s">
        <v>643</v>
      </c>
      <c r="H25" s="101">
        <v>2200</v>
      </c>
      <c r="I25" s="123" t="s">
        <v>717</v>
      </c>
    </row>
    <row r="26" ht="18" customHeight="1" spans="1:9">
      <c r="A26" s="101">
        <v>23</v>
      </c>
      <c r="B26" s="101" t="s">
        <v>866</v>
      </c>
      <c r="C26" s="101" t="s">
        <v>644</v>
      </c>
      <c r="D26" s="101" t="s">
        <v>673</v>
      </c>
      <c r="E26" s="101" t="s">
        <v>678</v>
      </c>
      <c r="F26" s="101" t="s">
        <v>644</v>
      </c>
      <c r="G26" s="101" t="s">
        <v>643</v>
      </c>
      <c r="H26" s="101">
        <v>1600</v>
      </c>
      <c r="I26" s="123" t="s">
        <v>717</v>
      </c>
    </row>
    <row r="27" ht="18" customHeight="1" spans="1:9">
      <c r="A27" s="101">
        <v>24</v>
      </c>
      <c r="B27" s="106" t="s">
        <v>867</v>
      </c>
      <c r="C27" s="101" t="s">
        <v>644</v>
      </c>
      <c r="D27" s="107" t="s">
        <v>678</v>
      </c>
      <c r="E27" s="106" t="s">
        <v>687</v>
      </c>
      <c r="F27" s="101" t="s">
        <v>644</v>
      </c>
      <c r="G27" s="101" t="s">
        <v>643</v>
      </c>
      <c r="H27" s="101">
        <v>1200</v>
      </c>
      <c r="I27" s="123" t="s">
        <v>868</v>
      </c>
    </row>
    <row r="28" ht="18" customHeight="1" spans="1:9">
      <c r="A28" s="101">
        <v>25</v>
      </c>
      <c r="B28" s="101" t="s">
        <v>869</v>
      </c>
      <c r="C28" s="101" t="s">
        <v>644</v>
      </c>
      <c r="D28" s="106" t="s">
        <v>765</v>
      </c>
      <c r="E28" s="106" t="s">
        <v>870</v>
      </c>
      <c r="F28" s="101" t="s">
        <v>644</v>
      </c>
      <c r="G28" s="101" t="s">
        <v>643</v>
      </c>
      <c r="H28" s="101">
        <v>800</v>
      </c>
      <c r="I28" s="126" t="s">
        <v>871</v>
      </c>
    </row>
    <row r="29" ht="18" customHeight="1" spans="1:9">
      <c r="A29" s="100" t="s">
        <v>872</v>
      </c>
      <c r="B29" s="100"/>
      <c r="C29" s="101"/>
      <c r="D29" s="101" t="s">
        <v>873</v>
      </c>
      <c r="E29" s="101" t="s">
        <v>874</v>
      </c>
      <c r="F29" s="101"/>
      <c r="G29" s="101"/>
      <c r="H29" s="101"/>
      <c r="I29" s="123"/>
    </row>
    <row r="30" ht="18" customHeight="1" spans="1:9">
      <c r="A30" s="101">
        <v>1</v>
      </c>
      <c r="B30" s="101" t="s">
        <v>875</v>
      </c>
      <c r="C30" s="101" t="s">
        <v>644</v>
      </c>
      <c r="D30" s="101">
        <v>150</v>
      </c>
      <c r="E30" s="101">
        <v>150</v>
      </c>
      <c r="F30" s="101" t="s">
        <v>644</v>
      </c>
      <c r="G30" s="101" t="s">
        <v>643</v>
      </c>
      <c r="H30" s="101">
        <v>980</v>
      </c>
      <c r="I30" s="123" t="s">
        <v>876</v>
      </c>
    </row>
    <row r="31" ht="18" customHeight="1" spans="1:9">
      <c r="A31" s="101">
        <v>2</v>
      </c>
      <c r="B31" s="101" t="s">
        <v>877</v>
      </c>
      <c r="C31" s="101" t="s">
        <v>644</v>
      </c>
      <c r="D31" s="101">
        <v>150</v>
      </c>
      <c r="E31" s="101">
        <v>150</v>
      </c>
      <c r="F31" s="101" t="s">
        <v>644</v>
      </c>
      <c r="G31" s="101" t="s">
        <v>643</v>
      </c>
      <c r="H31" s="101">
        <v>780</v>
      </c>
      <c r="I31" s="123" t="s">
        <v>878</v>
      </c>
    </row>
    <row r="32" ht="18" customHeight="1" spans="1:9">
      <c r="A32" s="101">
        <v>3</v>
      </c>
      <c r="B32" s="101" t="s">
        <v>879</v>
      </c>
      <c r="C32" s="101" t="s">
        <v>644</v>
      </c>
      <c r="D32" s="106" t="s">
        <v>880</v>
      </c>
      <c r="E32" s="101" t="s">
        <v>644</v>
      </c>
      <c r="F32" s="101" t="s">
        <v>644</v>
      </c>
      <c r="G32" s="101" t="s">
        <v>643</v>
      </c>
      <c r="H32" s="101">
        <v>80</v>
      </c>
      <c r="I32" s="126" t="s">
        <v>881</v>
      </c>
    </row>
    <row r="33" ht="18" customHeight="1" spans="1:9">
      <c r="A33" s="101">
        <v>4</v>
      </c>
      <c r="B33" s="101" t="s">
        <v>882</v>
      </c>
      <c r="C33" s="101" t="s">
        <v>644</v>
      </c>
      <c r="D33" s="101" t="s">
        <v>883</v>
      </c>
      <c r="E33" s="101" t="s">
        <v>884</v>
      </c>
      <c r="F33" s="101" t="s">
        <v>644</v>
      </c>
      <c r="G33" s="101" t="s">
        <v>823</v>
      </c>
      <c r="H33" s="101">
        <v>216</v>
      </c>
      <c r="I33" s="126" t="s">
        <v>885</v>
      </c>
    </row>
    <row r="34" ht="18" customHeight="1" spans="1:9">
      <c r="A34" s="101">
        <v>5</v>
      </c>
      <c r="B34" s="101" t="s">
        <v>886</v>
      </c>
      <c r="C34" s="101" t="s">
        <v>644</v>
      </c>
      <c r="D34" s="101" t="s">
        <v>887</v>
      </c>
      <c r="E34" s="101" t="s">
        <v>888</v>
      </c>
      <c r="F34" s="101" t="s">
        <v>644</v>
      </c>
      <c r="G34" s="101" t="s">
        <v>823</v>
      </c>
      <c r="H34" s="101">
        <v>120</v>
      </c>
      <c r="I34" s="123" t="s">
        <v>889</v>
      </c>
    </row>
    <row r="35" ht="18" customHeight="1" spans="1:9">
      <c r="A35" s="101">
        <v>6</v>
      </c>
      <c r="B35" s="101" t="s">
        <v>890</v>
      </c>
      <c r="C35" s="101" t="s">
        <v>644</v>
      </c>
      <c r="D35" s="101" t="s">
        <v>891</v>
      </c>
      <c r="E35" s="101" t="s">
        <v>888</v>
      </c>
      <c r="F35" s="101" t="s">
        <v>644</v>
      </c>
      <c r="G35" s="101" t="s">
        <v>823</v>
      </c>
      <c r="H35" s="101">
        <v>216</v>
      </c>
      <c r="I35" s="127" t="s">
        <v>889</v>
      </c>
    </row>
    <row r="36" ht="18" customHeight="1" spans="1:9">
      <c r="A36" s="101">
        <v>7</v>
      </c>
      <c r="B36" s="101" t="s">
        <v>892</v>
      </c>
      <c r="C36" s="101" t="s">
        <v>644</v>
      </c>
      <c r="D36" s="101" t="s">
        <v>893</v>
      </c>
      <c r="E36" s="101" t="s">
        <v>894</v>
      </c>
      <c r="F36" s="101" t="s">
        <v>644</v>
      </c>
      <c r="G36" s="101" t="s">
        <v>823</v>
      </c>
      <c r="H36" s="101">
        <v>360</v>
      </c>
      <c r="I36" s="100" t="s">
        <v>895</v>
      </c>
    </row>
    <row r="37" ht="18" customHeight="1" spans="1:9">
      <c r="A37" s="101">
        <v>8</v>
      </c>
      <c r="B37" s="101" t="s">
        <v>896</v>
      </c>
      <c r="C37" s="101" t="s">
        <v>644</v>
      </c>
      <c r="D37" s="101" t="s">
        <v>644</v>
      </c>
      <c r="E37" s="101" t="s">
        <v>644</v>
      </c>
      <c r="F37" s="101" t="s">
        <v>644</v>
      </c>
      <c r="G37" s="101" t="s">
        <v>823</v>
      </c>
      <c r="H37" s="101">
        <v>180</v>
      </c>
      <c r="I37" s="100" t="s">
        <v>897</v>
      </c>
    </row>
    <row r="38" ht="18" customHeight="1" spans="1:15">
      <c r="A38" s="108" t="s">
        <v>898</v>
      </c>
      <c r="B38" s="108"/>
      <c r="C38" s="109"/>
      <c r="D38" s="110"/>
      <c r="E38" s="110"/>
      <c r="F38" s="110"/>
      <c r="G38" s="110"/>
      <c r="H38" s="111"/>
      <c r="I38" s="128"/>
      <c r="J38" s="129"/>
      <c r="K38" s="129"/>
      <c r="L38" s="129"/>
      <c r="M38" s="130"/>
      <c r="N38" s="131"/>
      <c r="O38" s="132"/>
    </row>
    <row r="39" ht="18" customHeight="1" spans="1:15">
      <c r="A39" s="99">
        <v>1</v>
      </c>
      <c r="B39" s="99" t="s">
        <v>899</v>
      </c>
      <c r="C39" s="112" t="s">
        <v>900</v>
      </c>
      <c r="D39" s="113"/>
      <c r="E39" s="111"/>
      <c r="F39" s="111"/>
      <c r="G39" s="114" t="s">
        <v>392</v>
      </c>
      <c r="H39" s="115">
        <v>750</v>
      </c>
      <c r="I39" s="133" t="s">
        <v>901</v>
      </c>
      <c r="J39" s="129"/>
      <c r="K39" s="129"/>
      <c r="L39" s="129"/>
      <c r="M39" s="134"/>
      <c r="N39" s="135"/>
      <c r="O39" s="132"/>
    </row>
    <row r="40" ht="18" customHeight="1" spans="1:15">
      <c r="A40" s="99">
        <v>2</v>
      </c>
      <c r="B40" s="99" t="s">
        <v>899</v>
      </c>
      <c r="C40" s="112" t="s">
        <v>902</v>
      </c>
      <c r="D40" s="113"/>
      <c r="E40" s="116"/>
      <c r="F40" s="116"/>
      <c r="G40" s="114" t="s">
        <v>392</v>
      </c>
      <c r="H40" s="115">
        <v>1050</v>
      </c>
      <c r="I40" s="133" t="s">
        <v>901</v>
      </c>
      <c r="J40" s="129"/>
      <c r="K40" s="129"/>
      <c r="L40" s="129"/>
      <c r="M40" s="134"/>
      <c r="N40" s="134"/>
      <c r="O40" s="132"/>
    </row>
    <row r="41" ht="18" customHeight="1" spans="1:15">
      <c r="A41" s="99">
        <v>3</v>
      </c>
      <c r="B41" s="99" t="s">
        <v>903</v>
      </c>
      <c r="C41" s="112" t="s">
        <v>904</v>
      </c>
      <c r="D41" s="113"/>
      <c r="E41" s="116"/>
      <c r="F41" s="116"/>
      <c r="G41" s="114" t="s">
        <v>392</v>
      </c>
      <c r="H41" s="115">
        <v>285</v>
      </c>
      <c r="I41" s="133" t="s">
        <v>901</v>
      </c>
      <c r="J41" s="129"/>
      <c r="K41" s="129"/>
      <c r="L41" s="129"/>
      <c r="M41" s="134"/>
      <c r="N41" s="134"/>
      <c r="O41" s="132"/>
    </row>
    <row r="42" ht="18" customHeight="1" spans="1:15">
      <c r="A42" s="99">
        <v>4</v>
      </c>
      <c r="B42" s="99" t="s">
        <v>903</v>
      </c>
      <c r="C42" s="112" t="s">
        <v>905</v>
      </c>
      <c r="D42" s="113"/>
      <c r="E42" s="116"/>
      <c r="F42" s="116"/>
      <c r="G42" s="114" t="s">
        <v>392</v>
      </c>
      <c r="H42" s="115">
        <v>336</v>
      </c>
      <c r="I42" s="133" t="s">
        <v>901</v>
      </c>
      <c r="J42" s="129"/>
      <c r="K42" s="129"/>
      <c r="L42" s="129"/>
      <c r="M42" s="134"/>
      <c r="N42" s="134"/>
      <c r="O42" s="132"/>
    </row>
    <row r="43" ht="18" customHeight="1" spans="1:15">
      <c r="A43" s="99">
        <v>5</v>
      </c>
      <c r="B43" s="99" t="s">
        <v>906</v>
      </c>
      <c r="C43" s="112"/>
      <c r="D43" s="113"/>
      <c r="E43" s="116"/>
      <c r="F43" s="116"/>
      <c r="G43" s="117" t="s">
        <v>522</v>
      </c>
      <c r="H43" s="115">
        <v>50</v>
      </c>
      <c r="I43" s="133" t="s">
        <v>907</v>
      </c>
      <c r="J43" s="129"/>
      <c r="K43" s="129"/>
      <c r="L43" s="129"/>
      <c r="M43" s="134"/>
      <c r="N43" s="134"/>
      <c r="O43" s="132"/>
    </row>
    <row r="44" ht="45" customHeight="1" spans="1:9">
      <c r="A44" s="118" t="s">
        <v>908</v>
      </c>
      <c r="B44" s="119"/>
      <c r="C44" s="119"/>
      <c r="D44" s="119"/>
      <c r="E44" s="119"/>
      <c r="F44" s="119"/>
      <c r="G44" s="119"/>
      <c r="H44" s="119"/>
      <c r="I44" s="119"/>
    </row>
    <row r="45" ht="18" customHeight="1"/>
    <row r="46" ht="18" customHeight="1"/>
    <row r="47" ht="18" customHeight="1"/>
    <row r="48" ht="18" customHeight="1"/>
    <row r="49" ht="18" customHeight="1"/>
    <row r="50" ht="18" customHeight="1"/>
    <row r="51" ht="18" customHeight="1"/>
    <row r="52" ht="18" customHeight="1"/>
    <row r="53" ht="18" customHeight="1"/>
    <row r="54" ht="18" customHeight="1"/>
    <row r="55" ht="18" customHeight="1"/>
    <row r="56" ht="18" customHeight="1" spans="3:3">
      <c r="C56" s="120"/>
    </row>
    <row r="57" ht="18" customHeight="1"/>
  </sheetData>
  <mergeCells count="10">
    <mergeCell ref="A1:I1"/>
    <mergeCell ref="A3:B3"/>
    <mergeCell ref="A29:B29"/>
    <mergeCell ref="A38:B38"/>
    <mergeCell ref="C39:D39"/>
    <mergeCell ref="C40:D40"/>
    <mergeCell ref="C41:D41"/>
    <mergeCell ref="C42:D42"/>
    <mergeCell ref="C43:D43"/>
    <mergeCell ref="A44:I44"/>
  </mergeCells>
  <pageMargins left="0.75" right="0.75" top="1" bottom="1" header="0.5" footer="0.5"/>
  <pageSetup paperSize="9" scale="44" orientation="portrait"/>
  <headerFooter alignWithMargins="0" scaleWithDoc="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FD50"/>
  <sheetViews>
    <sheetView view="pageBreakPreview" zoomScale="130" zoomScaleNormal="115" workbookViewId="0">
      <selection activeCell="F7" sqref="F7"/>
    </sheetView>
  </sheetViews>
  <sheetFormatPr defaultColWidth="10.287037037037" defaultRowHeight="15.6"/>
  <cols>
    <col min="1" max="2" width="10.287037037037" style="1"/>
    <col min="3" max="3" width="26.1388888888889" style="1" customWidth="1"/>
    <col min="4" max="4" width="8" style="1" customWidth="1"/>
    <col min="5" max="5" width="10.712962962963" style="1"/>
    <col min="6" max="6" width="10.5740740740741" style="1"/>
    <col min="7" max="7" width="10.287037037037" style="1"/>
    <col min="8" max="8" width="14.712962962963" style="1"/>
    <col min="9" max="16384" width="10.287037037037" style="1"/>
  </cols>
  <sheetData>
    <row r="1" ht="21.15" spans="1:10">
      <c r="A1" s="51" t="s">
        <v>909</v>
      </c>
      <c r="B1" s="51"/>
      <c r="C1" s="51"/>
      <c r="D1" s="51"/>
      <c r="E1" s="51"/>
      <c r="F1" s="51"/>
      <c r="G1" s="51"/>
      <c r="H1" s="51"/>
      <c r="I1" s="51"/>
      <c r="J1" s="51"/>
    </row>
    <row r="2" ht="24" customHeight="1" spans="1:10">
      <c r="A2" s="52" t="s">
        <v>11</v>
      </c>
      <c r="B2" s="53" t="s">
        <v>24</v>
      </c>
      <c r="C2" s="53" t="s">
        <v>25</v>
      </c>
      <c r="D2" s="53" t="s">
        <v>26</v>
      </c>
      <c r="E2" s="53" t="s">
        <v>27</v>
      </c>
      <c r="F2" s="53" t="s">
        <v>28</v>
      </c>
      <c r="G2" s="54"/>
      <c r="H2" s="54"/>
      <c r="I2" s="54"/>
      <c r="J2" s="80"/>
    </row>
    <row r="3" ht="24" customHeight="1" spans="1:10">
      <c r="A3" s="55"/>
      <c r="B3" s="56"/>
      <c r="C3" s="56"/>
      <c r="D3" s="56"/>
      <c r="E3" s="56"/>
      <c r="F3" s="28" t="s">
        <v>29</v>
      </c>
      <c r="G3" s="28"/>
      <c r="H3" s="57" t="s">
        <v>30</v>
      </c>
      <c r="I3" s="81" t="s">
        <v>31</v>
      </c>
      <c r="J3" s="82" t="s">
        <v>32</v>
      </c>
    </row>
    <row r="4" ht="24" customHeight="1" spans="1:10">
      <c r="A4" s="58"/>
      <c r="B4" s="59"/>
      <c r="C4" s="59"/>
      <c r="D4" s="59"/>
      <c r="E4" s="59"/>
      <c r="F4" s="28"/>
      <c r="G4" s="28" t="s">
        <v>33</v>
      </c>
      <c r="H4" s="60"/>
      <c r="I4" s="83"/>
      <c r="J4" s="84"/>
    </row>
    <row r="5" ht="23.1" customHeight="1" spans="1:10">
      <c r="A5" s="61"/>
      <c r="B5" s="62" t="s">
        <v>910</v>
      </c>
      <c r="C5" s="62"/>
      <c r="D5" s="63"/>
      <c r="E5" s="63"/>
      <c r="F5" s="64"/>
      <c r="G5" s="65"/>
      <c r="H5" s="64"/>
      <c r="I5" s="85"/>
      <c r="J5" s="86"/>
    </row>
    <row r="6" ht="72" spans="1:10">
      <c r="A6" s="61">
        <v>1</v>
      </c>
      <c r="B6" s="66" t="s">
        <v>911</v>
      </c>
      <c r="C6" s="66" t="s">
        <v>912</v>
      </c>
      <c r="D6" s="67" t="s">
        <v>913</v>
      </c>
      <c r="E6" s="67">
        <v>1</v>
      </c>
      <c r="F6" s="68">
        <v>20087.22</v>
      </c>
      <c r="G6" s="69">
        <v>9500</v>
      </c>
      <c r="H6" s="64">
        <f>E6*F6</f>
        <v>20087.22</v>
      </c>
      <c r="I6" s="85"/>
      <c r="J6" s="87"/>
    </row>
    <row r="7" ht="57.95" customHeight="1" spans="1:10">
      <c r="A7" s="61">
        <v>2</v>
      </c>
      <c r="B7" s="66" t="s">
        <v>914</v>
      </c>
      <c r="C7" s="66" t="s">
        <v>915</v>
      </c>
      <c r="D7" s="67" t="s">
        <v>81</v>
      </c>
      <c r="E7" s="67">
        <v>42.56</v>
      </c>
      <c r="F7" s="70">
        <v>125.88</v>
      </c>
      <c r="G7" s="70">
        <v>38.7</v>
      </c>
      <c r="H7" s="64">
        <f t="shared" ref="H7:H39" si="0">E7*F7</f>
        <v>5357.4528</v>
      </c>
      <c r="I7" s="88"/>
      <c r="J7" s="89"/>
    </row>
    <row r="8" ht="48" spans="1:10">
      <c r="A8" s="61">
        <v>3</v>
      </c>
      <c r="B8" s="66" t="s">
        <v>914</v>
      </c>
      <c r="C8" s="66" t="s">
        <v>916</v>
      </c>
      <c r="D8" s="67" t="s">
        <v>81</v>
      </c>
      <c r="E8" s="67">
        <v>39.82</v>
      </c>
      <c r="F8" s="68">
        <v>103.28</v>
      </c>
      <c r="G8" s="71">
        <v>32.15</v>
      </c>
      <c r="H8" s="64">
        <f t="shared" si="0"/>
        <v>4112.6096</v>
      </c>
      <c r="I8" s="85"/>
      <c r="J8" s="90"/>
    </row>
    <row r="9" ht="60" spans="1:10">
      <c r="A9" s="61">
        <v>4</v>
      </c>
      <c r="B9" s="66" t="s">
        <v>917</v>
      </c>
      <c r="C9" s="66" t="s">
        <v>918</v>
      </c>
      <c r="D9" s="67" t="s">
        <v>81</v>
      </c>
      <c r="E9" s="67">
        <v>75.59</v>
      </c>
      <c r="F9" s="68">
        <v>78.82</v>
      </c>
      <c r="G9" s="71">
        <v>21.96</v>
      </c>
      <c r="H9" s="64">
        <f t="shared" si="0"/>
        <v>5958.0038</v>
      </c>
      <c r="I9" s="85"/>
      <c r="J9" s="91" t="s">
        <v>919</v>
      </c>
    </row>
    <row r="10" ht="60" spans="1:10">
      <c r="A10" s="61">
        <v>5</v>
      </c>
      <c r="B10" s="66" t="s">
        <v>917</v>
      </c>
      <c r="C10" s="66" t="s">
        <v>920</v>
      </c>
      <c r="D10" s="67" t="s">
        <v>81</v>
      </c>
      <c r="E10" s="67">
        <v>314.35</v>
      </c>
      <c r="F10" s="68">
        <v>41.88</v>
      </c>
      <c r="G10" s="71">
        <v>8.87</v>
      </c>
      <c r="H10" s="64">
        <f t="shared" si="0"/>
        <v>13164.978</v>
      </c>
      <c r="I10" s="85"/>
      <c r="J10" s="91" t="s">
        <v>919</v>
      </c>
    </row>
    <row r="11" ht="60" spans="1:10">
      <c r="A11" s="61">
        <v>6</v>
      </c>
      <c r="B11" s="66" t="s">
        <v>917</v>
      </c>
      <c r="C11" s="66" t="s">
        <v>921</v>
      </c>
      <c r="D11" s="67" t="s">
        <v>81</v>
      </c>
      <c r="E11" s="67">
        <f>2682.99-42.56</f>
        <v>2640.43</v>
      </c>
      <c r="F11" s="68">
        <v>28.38</v>
      </c>
      <c r="G11" s="69">
        <v>5.81</v>
      </c>
      <c r="H11" s="64">
        <f t="shared" si="0"/>
        <v>74935.4034</v>
      </c>
      <c r="I11" s="85"/>
      <c r="J11" s="91" t="s">
        <v>919</v>
      </c>
    </row>
    <row r="12" ht="60" spans="1:10">
      <c r="A12" s="61">
        <v>7</v>
      </c>
      <c r="B12" s="72" t="s">
        <v>917</v>
      </c>
      <c r="C12" s="72" t="s">
        <v>922</v>
      </c>
      <c r="D12" s="73" t="s">
        <v>81</v>
      </c>
      <c r="E12" s="73">
        <v>1300.89</v>
      </c>
      <c r="F12" s="68">
        <v>24.46</v>
      </c>
      <c r="G12" s="69">
        <v>3.48</v>
      </c>
      <c r="H12" s="64">
        <f t="shared" si="0"/>
        <v>31819.7694</v>
      </c>
      <c r="I12" s="85"/>
      <c r="J12" s="91" t="s">
        <v>919</v>
      </c>
    </row>
    <row r="13" ht="60" spans="1:10">
      <c r="A13" s="61">
        <v>8</v>
      </c>
      <c r="B13" s="66" t="s">
        <v>917</v>
      </c>
      <c r="C13" s="66" t="s">
        <v>923</v>
      </c>
      <c r="D13" s="67" t="s">
        <v>81</v>
      </c>
      <c r="E13" s="67">
        <v>25</v>
      </c>
      <c r="F13" s="68">
        <v>18.9</v>
      </c>
      <c r="G13" s="69">
        <v>2.6</v>
      </c>
      <c r="H13" s="64">
        <f t="shared" si="0"/>
        <v>472.5</v>
      </c>
      <c r="I13" s="85"/>
      <c r="J13" s="91" t="s">
        <v>919</v>
      </c>
    </row>
    <row r="14" ht="72" spans="1:10">
      <c r="A14" s="61">
        <v>9</v>
      </c>
      <c r="B14" s="66" t="s">
        <v>924</v>
      </c>
      <c r="C14" s="66" t="s">
        <v>925</v>
      </c>
      <c r="D14" s="67" t="s">
        <v>81</v>
      </c>
      <c r="E14" s="67">
        <v>80.08</v>
      </c>
      <c r="F14" s="68">
        <v>166.6</v>
      </c>
      <c r="G14" s="69">
        <v>71.19</v>
      </c>
      <c r="H14" s="64">
        <f t="shared" si="0"/>
        <v>13341.328</v>
      </c>
      <c r="I14" s="85"/>
      <c r="J14" s="91" t="s">
        <v>926</v>
      </c>
    </row>
    <row r="15" ht="72" spans="1:10">
      <c r="A15" s="61">
        <v>10</v>
      </c>
      <c r="B15" s="66" t="s">
        <v>924</v>
      </c>
      <c r="C15" s="66" t="s">
        <v>927</v>
      </c>
      <c r="D15" s="67" t="s">
        <v>81</v>
      </c>
      <c r="E15" s="67">
        <v>324.81</v>
      </c>
      <c r="F15" s="68">
        <v>66.08</v>
      </c>
      <c r="G15" s="69">
        <v>27.28</v>
      </c>
      <c r="H15" s="64">
        <f t="shared" si="0"/>
        <v>21463.4448</v>
      </c>
      <c r="I15" s="85"/>
      <c r="J15" s="91" t="s">
        <v>926</v>
      </c>
    </row>
    <row r="16" ht="72" spans="1:10">
      <c r="A16" s="61">
        <v>11</v>
      </c>
      <c r="B16" s="66" t="s">
        <v>924</v>
      </c>
      <c r="C16" s="66" t="s">
        <v>928</v>
      </c>
      <c r="D16" s="67" t="s">
        <v>81</v>
      </c>
      <c r="E16" s="67">
        <v>2626.29</v>
      </c>
      <c r="F16" s="68">
        <v>42.7</v>
      </c>
      <c r="G16" s="71">
        <v>17.5</v>
      </c>
      <c r="H16" s="64">
        <f t="shared" si="0"/>
        <v>112142.583</v>
      </c>
      <c r="I16" s="85"/>
      <c r="J16" s="91" t="s">
        <v>926</v>
      </c>
    </row>
    <row r="17" ht="72" spans="1:10">
      <c r="A17" s="61">
        <v>12</v>
      </c>
      <c r="B17" s="72" t="s">
        <v>924</v>
      </c>
      <c r="C17" s="72" t="s">
        <v>929</v>
      </c>
      <c r="D17" s="73" t="s">
        <v>81</v>
      </c>
      <c r="E17" s="73">
        <v>1322.63</v>
      </c>
      <c r="F17" s="68">
        <v>33.24</v>
      </c>
      <c r="G17" s="71">
        <v>12.79</v>
      </c>
      <c r="H17" s="64">
        <f t="shared" si="0"/>
        <v>43964.2212</v>
      </c>
      <c r="I17" s="85"/>
      <c r="J17" s="91" t="s">
        <v>926</v>
      </c>
    </row>
    <row r="18" ht="72" spans="1:10">
      <c r="A18" s="61">
        <v>13</v>
      </c>
      <c r="B18" s="66" t="s">
        <v>924</v>
      </c>
      <c r="C18" s="66" t="s">
        <v>930</v>
      </c>
      <c r="D18" s="67" t="s">
        <v>81</v>
      </c>
      <c r="E18" s="67">
        <v>144.87</v>
      </c>
      <c r="F18" s="68">
        <v>59</v>
      </c>
      <c r="G18" s="71">
        <v>23.46</v>
      </c>
      <c r="H18" s="64">
        <f t="shared" si="0"/>
        <v>8547.33</v>
      </c>
      <c r="I18" s="85"/>
      <c r="J18" s="91" t="s">
        <v>926</v>
      </c>
    </row>
    <row r="19" ht="72" spans="1:10">
      <c r="A19" s="61">
        <v>14</v>
      </c>
      <c r="B19" s="66" t="s">
        <v>924</v>
      </c>
      <c r="C19" s="66" t="s">
        <v>931</v>
      </c>
      <c r="D19" s="67" t="s">
        <v>81</v>
      </c>
      <c r="E19" s="67">
        <v>75.24</v>
      </c>
      <c r="F19" s="68">
        <v>33.46</v>
      </c>
      <c r="G19" s="71">
        <v>12.9</v>
      </c>
      <c r="H19" s="64">
        <f t="shared" si="0"/>
        <v>2517.5304</v>
      </c>
      <c r="I19" s="85"/>
      <c r="J19" s="91" t="s">
        <v>926</v>
      </c>
    </row>
    <row r="20" ht="72" spans="1:10">
      <c r="A20" s="61">
        <v>15</v>
      </c>
      <c r="B20" s="66" t="s">
        <v>932</v>
      </c>
      <c r="C20" s="66" t="s">
        <v>933</v>
      </c>
      <c r="D20" s="67" t="s">
        <v>81</v>
      </c>
      <c r="E20" s="67">
        <f>25*3</f>
        <v>75</v>
      </c>
      <c r="F20" s="68">
        <v>13.3</v>
      </c>
      <c r="G20" s="71">
        <v>2.82</v>
      </c>
      <c r="H20" s="64">
        <f t="shared" si="0"/>
        <v>997.5</v>
      </c>
      <c r="I20" s="85"/>
      <c r="J20" s="91" t="s">
        <v>926</v>
      </c>
    </row>
    <row r="21" ht="96" spans="1:10">
      <c r="A21" s="61">
        <v>16</v>
      </c>
      <c r="B21" s="66" t="s">
        <v>934</v>
      </c>
      <c r="C21" s="66" t="s">
        <v>935</v>
      </c>
      <c r="D21" s="67" t="s">
        <v>392</v>
      </c>
      <c r="E21" s="67">
        <v>80</v>
      </c>
      <c r="F21" s="68">
        <f>(G21+188.89)*2</f>
        <v>2917.78</v>
      </c>
      <c r="G21" s="71">
        <v>1270</v>
      </c>
      <c r="H21" s="64">
        <f t="shared" si="0"/>
        <v>233422.4</v>
      </c>
      <c r="I21" s="85"/>
      <c r="J21" s="91" t="s">
        <v>936</v>
      </c>
    </row>
    <row r="22" ht="96" spans="1:10">
      <c r="A22" s="61">
        <v>17</v>
      </c>
      <c r="B22" s="66" t="s">
        <v>937</v>
      </c>
      <c r="C22" s="66" t="s">
        <v>938</v>
      </c>
      <c r="D22" s="67" t="s">
        <v>392</v>
      </c>
      <c r="E22" s="67">
        <v>52</v>
      </c>
      <c r="F22" s="68">
        <f>(G22+140.26)*2</f>
        <v>860.52</v>
      </c>
      <c r="G22" s="71">
        <v>290</v>
      </c>
      <c r="H22" s="64">
        <f t="shared" si="0"/>
        <v>44747.04</v>
      </c>
      <c r="I22" s="85"/>
      <c r="J22" s="91" t="s">
        <v>936</v>
      </c>
    </row>
    <row r="23" ht="89.1" customHeight="1" spans="1:10">
      <c r="A23" s="61">
        <v>18</v>
      </c>
      <c r="B23" s="72" t="s">
        <v>939</v>
      </c>
      <c r="C23" s="72" t="s">
        <v>940</v>
      </c>
      <c r="D23" s="73" t="s">
        <v>392</v>
      </c>
      <c r="E23" s="73">
        <v>10</v>
      </c>
      <c r="F23" s="68">
        <f>(G23+140.26)*2</f>
        <v>9280.52</v>
      </c>
      <c r="G23" s="71">
        <v>4500</v>
      </c>
      <c r="H23" s="64">
        <f t="shared" si="0"/>
        <v>92805.2</v>
      </c>
      <c r="I23" s="85"/>
      <c r="J23" s="91" t="s">
        <v>936</v>
      </c>
    </row>
    <row r="24" ht="87.95" customHeight="1" spans="1:10">
      <c r="A24" s="61">
        <v>19</v>
      </c>
      <c r="B24" s="66" t="s">
        <v>941</v>
      </c>
      <c r="C24" s="66" t="s">
        <v>942</v>
      </c>
      <c r="D24" s="67" t="s">
        <v>392</v>
      </c>
      <c r="E24" s="67">
        <v>8</v>
      </c>
      <c r="F24" s="68">
        <f t="shared" ref="F24:F32" si="1">(G24+116.81)*2</f>
        <v>1093.62</v>
      </c>
      <c r="G24" s="69">
        <v>430</v>
      </c>
      <c r="H24" s="64">
        <f t="shared" si="0"/>
        <v>8748.96</v>
      </c>
      <c r="I24" s="85"/>
      <c r="J24" s="91" t="s">
        <v>936</v>
      </c>
    </row>
    <row r="25" ht="90" customHeight="1" spans="1:10">
      <c r="A25" s="61">
        <v>20</v>
      </c>
      <c r="B25" s="66" t="s">
        <v>943</v>
      </c>
      <c r="C25" s="66" t="s">
        <v>944</v>
      </c>
      <c r="D25" s="67" t="s">
        <v>392</v>
      </c>
      <c r="E25" s="67">
        <v>8</v>
      </c>
      <c r="F25" s="68">
        <f>(G25+188.89)*2</f>
        <v>1617.78</v>
      </c>
      <c r="G25" s="69">
        <v>620</v>
      </c>
      <c r="H25" s="64">
        <f t="shared" si="0"/>
        <v>12942.24</v>
      </c>
      <c r="I25" s="85"/>
      <c r="J25" s="91" t="s">
        <v>936</v>
      </c>
    </row>
    <row r="26" ht="93" customHeight="1" spans="1:10">
      <c r="A26" s="61">
        <v>21</v>
      </c>
      <c r="B26" s="66" t="s">
        <v>945</v>
      </c>
      <c r="C26" s="66" t="s">
        <v>946</v>
      </c>
      <c r="D26" s="67" t="s">
        <v>392</v>
      </c>
      <c r="E26" s="67">
        <v>2</v>
      </c>
      <c r="F26" s="68">
        <f t="shared" si="1"/>
        <v>5433.62</v>
      </c>
      <c r="G26" s="69">
        <v>2600</v>
      </c>
      <c r="H26" s="64">
        <f t="shared" si="0"/>
        <v>10867.24</v>
      </c>
      <c r="I26" s="85"/>
      <c r="J26" s="91" t="s">
        <v>936</v>
      </c>
    </row>
    <row r="27" ht="87.95" customHeight="1" spans="1:10">
      <c r="A27" s="61">
        <v>22</v>
      </c>
      <c r="B27" s="66" t="s">
        <v>947</v>
      </c>
      <c r="C27" s="66" t="s">
        <v>948</v>
      </c>
      <c r="D27" s="67" t="s">
        <v>392</v>
      </c>
      <c r="E27" s="67">
        <v>8</v>
      </c>
      <c r="F27" s="68">
        <f t="shared" si="1"/>
        <v>793.62</v>
      </c>
      <c r="G27" s="69">
        <v>280</v>
      </c>
      <c r="H27" s="64">
        <f t="shared" si="0"/>
        <v>6348.96</v>
      </c>
      <c r="I27" s="85"/>
      <c r="J27" s="91" t="s">
        <v>936</v>
      </c>
    </row>
    <row r="28" ht="93.95" customHeight="1" spans="1:10">
      <c r="A28" s="61">
        <v>23</v>
      </c>
      <c r="B28" s="72" t="s">
        <v>949</v>
      </c>
      <c r="C28" s="72" t="s">
        <v>950</v>
      </c>
      <c r="D28" s="73" t="s">
        <v>392</v>
      </c>
      <c r="E28" s="73">
        <v>10</v>
      </c>
      <c r="F28" s="68">
        <f t="shared" si="1"/>
        <v>753.62</v>
      </c>
      <c r="G28" s="69">
        <v>260</v>
      </c>
      <c r="H28" s="64">
        <f t="shared" si="0"/>
        <v>7536.2</v>
      </c>
      <c r="I28" s="85"/>
      <c r="J28" s="91" t="s">
        <v>936</v>
      </c>
    </row>
    <row r="29" ht="87.95" customHeight="1" spans="1:10">
      <c r="A29" s="61">
        <v>24</v>
      </c>
      <c r="B29" s="72" t="s">
        <v>951</v>
      </c>
      <c r="C29" s="72" t="s">
        <v>952</v>
      </c>
      <c r="D29" s="73" t="s">
        <v>392</v>
      </c>
      <c r="E29" s="73">
        <v>47</v>
      </c>
      <c r="F29" s="68">
        <f t="shared" si="1"/>
        <v>613.62</v>
      </c>
      <c r="G29" s="69">
        <v>190</v>
      </c>
      <c r="H29" s="64">
        <f t="shared" si="0"/>
        <v>28840.14</v>
      </c>
      <c r="I29" s="85"/>
      <c r="J29" s="91" t="s">
        <v>936</v>
      </c>
    </row>
    <row r="30" ht="84" customHeight="1" spans="1:10">
      <c r="A30" s="61">
        <v>25</v>
      </c>
      <c r="B30" s="62" t="s">
        <v>953</v>
      </c>
      <c r="C30" s="66" t="s">
        <v>954</v>
      </c>
      <c r="D30" s="67" t="s">
        <v>392</v>
      </c>
      <c r="E30" s="63">
        <v>7</v>
      </c>
      <c r="F30" s="68">
        <f t="shared" si="1"/>
        <v>673.62</v>
      </c>
      <c r="G30" s="69">
        <v>220</v>
      </c>
      <c r="H30" s="64">
        <f t="shared" si="0"/>
        <v>4715.34</v>
      </c>
      <c r="I30" s="85"/>
      <c r="J30" s="91" t="s">
        <v>936</v>
      </c>
    </row>
    <row r="31" ht="89.1" customHeight="1" spans="1:10">
      <c r="A31" s="61">
        <v>26</v>
      </c>
      <c r="B31" s="62" t="s">
        <v>955</v>
      </c>
      <c r="C31" s="66" t="s">
        <v>956</v>
      </c>
      <c r="D31" s="67" t="s">
        <v>392</v>
      </c>
      <c r="E31" s="63">
        <v>10</v>
      </c>
      <c r="F31" s="68">
        <f t="shared" si="1"/>
        <v>753.62</v>
      </c>
      <c r="G31" s="69">
        <v>260</v>
      </c>
      <c r="H31" s="64">
        <f t="shared" si="0"/>
        <v>7536.2</v>
      </c>
      <c r="I31" s="85"/>
      <c r="J31" s="91" t="s">
        <v>936</v>
      </c>
    </row>
    <row r="32" ht="89.1" customHeight="1" spans="1:10">
      <c r="A32" s="61">
        <v>27</v>
      </c>
      <c r="B32" s="62" t="s">
        <v>957</v>
      </c>
      <c r="C32" s="66" t="s">
        <v>958</v>
      </c>
      <c r="D32" s="67" t="s">
        <v>392</v>
      </c>
      <c r="E32" s="63">
        <v>12</v>
      </c>
      <c r="F32" s="68">
        <f t="shared" si="1"/>
        <v>793.62</v>
      </c>
      <c r="G32" s="69">
        <v>280</v>
      </c>
      <c r="H32" s="64">
        <f t="shared" si="0"/>
        <v>9523.44</v>
      </c>
      <c r="I32" s="85"/>
      <c r="J32" s="91" t="s">
        <v>936</v>
      </c>
    </row>
    <row r="33" ht="89.1" customHeight="1" spans="1:10">
      <c r="A33" s="61">
        <v>28</v>
      </c>
      <c r="B33" s="62" t="s">
        <v>959</v>
      </c>
      <c r="C33" s="62" t="s">
        <v>960</v>
      </c>
      <c r="D33" s="63" t="s">
        <v>81</v>
      </c>
      <c r="E33" s="63">
        <v>54.89</v>
      </c>
      <c r="F33" s="68">
        <f>(G33+12.63)*2</f>
        <v>93.26</v>
      </c>
      <c r="G33" s="69">
        <v>34</v>
      </c>
      <c r="H33" s="64">
        <f t="shared" si="0"/>
        <v>5119.0414</v>
      </c>
      <c r="I33" s="85"/>
      <c r="J33" s="91" t="s">
        <v>936</v>
      </c>
    </row>
    <row r="34" ht="87.95" customHeight="1" spans="1:10">
      <c r="A34" s="61">
        <v>29</v>
      </c>
      <c r="B34" s="74" t="s">
        <v>961</v>
      </c>
      <c r="C34" s="74" t="s">
        <v>962</v>
      </c>
      <c r="D34" s="75" t="s">
        <v>392</v>
      </c>
      <c r="E34" s="75">
        <v>28</v>
      </c>
      <c r="F34" s="68">
        <f t="shared" ref="F34:F36" si="2">(G34+116.81)*2</f>
        <v>733.62</v>
      </c>
      <c r="G34" s="69">
        <v>250</v>
      </c>
      <c r="H34" s="64">
        <f t="shared" si="0"/>
        <v>20541.36</v>
      </c>
      <c r="I34" s="85"/>
      <c r="J34" s="91" t="s">
        <v>936</v>
      </c>
    </row>
    <row r="35" ht="98.1" customHeight="1" spans="1:10">
      <c r="A35" s="61">
        <v>30</v>
      </c>
      <c r="B35" s="74" t="s">
        <v>963</v>
      </c>
      <c r="C35" s="74" t="s">
        <v>964</v>
      </c>
      <c r="D35" s="75" t="s">
        <v>392</v>
      </c>
      <c r="E35" s="75">
        <v>7</v>
      </c>
      <c r="F35" s="68">
        <f t="shared" si="2"/>
        <v>1533.62</v>
      </c>
      <c r="G35" s="69">
        <v>650</v>
      </c>
      <c r="H35" s="64">
        <f t="shared" si="0"/>
        <v>10735.34</v>
      </c>
      <c r="I35" s="85"/>
      <c r="J35" s="91" t="s">
        <v>936</v>
      </c>
    </row>
    <row r="36" ht="60.95" customHeight="1" spans="1:10">
      <c r="A36" s="61">
        <v>31</v>
      </c>
      <c r="B36" s="62" t="s">
        <v>965</v>
      </c>
      <c r="C36" s="62" t="s">
        <v>966</v>
      </c>
      <c r="D36" s="67" t="s">
        <v>392</v>
      </c>
      <c r="E36" s="63">
        <v>2</v>
      </c>
      <c r="F36" s="68">
        <f t="shared" si="2"/>
        <v>873.62</v>
      </c>
      <c r="G36" s="69">
        <v>320</v>
      </c>
      <c r="H36" s="64">
        <f t="shared" si="0"/>
        <v>1747.24</v>
      </c>
      <c r="I36" s="85"/>
      <c r="J36" s="91" t="s">
        <v>936</v>
      </c>
    </row>
    <row r="37" ht="60.95" customHeight="1" spans="1:10">
      <c r="A37" s="61">
        <v>32</v>
      </c>
      <c r="B37" s="62" t="s">
        <v>967</v>
      </c>
      <c r="C37" s="62" t="s">
        <v>968</v>
      </c>
      <c r="D37" s="63" t="s">
        <v>969</v>
      </c>
      <c r="E37" s="63">
        <v>15</v>
      </c>
      <c r="F37" s="68">
        <v>1500</v>
      </c>
      <c r="G37" s="69"/>
      <c r="H37" s="64">
        <f t="shared" si="0"/>
        <v>22500</v>
      </c>
      <c r="I37" s="85"/>
      <c r="J37" s="90"/>
    </row>
    <row r="38" ht="60.95" customHeight="1" spans="1:10">
      <c r="A38" s="61">
        <v>33</v>
      </c>
      <c r="B38" s="62" t="s">
        <v>536</v>
      </c>
      <c r="C38" s="62" t="s">
        <v>970</v>
      </c>
      <c r="D38" s="63" t="s">
        <v>46</v>
      </c>
      <c r="E38" s="63">
        <v>396.64</v>
      </c>
      <c r="F38" s="68">
        <v>28.12</v>
      </c>
      <c r="G38" s="69"/>
      <c r="H38" s="64">
        <f t="shared" si="0"/>
        <v>11153.5168</v>
      </c>
      <c r="I38" s="92"/>
      <c r="J38" s="87"/>
    </row>
    <row r="39" ht="60.95" customHeight="1" spans="1:10">
      <c r="A39" s="61">
        <v>34</v>
      </c>
      <c r="B39" s="62" t="s">
        <v>971</v>
      </c>
      <c r="C39" s="62" t="s">
        <v>972</v>
      </c>
      <c r="D39" s="63" t="s">
        <v>46</v>
      </c>
      <c r="E39" s="63">
        <v>396.64</v>
      </c>
      <c r="F39" s="68">
        <v>17.28</v>
      </c>
      <c r="G39" s="69"/>
      <c r="H39" s="64">
        <f t="shared" si="0"/>
        <v>6853.9392</v>
      </c>
      <c r="I39" s="92"/>
      <c r="J39" s="87"/>
    </row>
    <row r="40" ht="44.1" customHeight="1" spans="1:10">
      <c r="A40" s="76" t="s">
        <v>973</v>
      </c>
      <c r="B40" s="77"/>
      <c r="C40" s="77"/>
      <c r="D40" s="77"/>
      <c r="E40" s="77"/>
      <c r="F40" s="77"/>
      <c r="G40" s="77"/>
      <c r="H40" s="78">
        <f>SUM(H6:H39)</f>
        <v>905565.6718</v>
      </c>
      <c r="I40" s="93"/>
      <c r="J40" s="94"/>
    </row>
    <row r="41" ht="72.95" customHeight="1" spans="1:16384">
      <c r="A41" s="16" t="s">
        <v>974</v>
      </c>
      <c r="B41" s="16"/>
      <c r="C41" s="16"/>
      <c r="D41" s="16"/>
      <c r="E41" s="16"/>
      <c r="F41" s="16"/>
      <c r="G41" s="16"/>
      <c r="H41" s="16"/>
      <c r="I41" s="16"/>
      <c r="J41" s="16"/>
      <c r="XFD41"/>
    </row>
    <row r="42" ht="44.1" customHeight="1"/>
    <row r="48" spans="5:5">
      <c r="E48" s="79"/>
    </row>
    <row r="49" spans="5:5">
      <c r="E49" s="79"/>
    </row>
    <row r="50" spans="5:5">
      <c r="E50" s="79"/>
    </row>
  </sheetData>
  <mergeCells count="14">
    <mergeCell ref="A1:J1"/>
    <mergeCell ref="F2:J2"/>
    <mergeCell ref="F3:G3"/>
    <mergeCell ref="B5:C5"/>
    <mergeCell ref="A40:G40"/>
    <mergeCell ref="A41:J41"/>
    <mergeCell ref="A2:A4"/>
    <mergeCell ref="B2:B4"/>
    <mergeCell ref="C2:C4"/>
    <mergeCell ref="D2:D4"/>
    <mergeCell ref="E2:E4"/>
    <mergeCell ref="H3:H4"/>
    <mergeCell ref="I3:I4"/>
    <mergeCell ref="J3:J4"/>
  </mergeCells>
  <pageMargins left="0.75" right="0.75" top="1" bottom="1" header="0.5" footer="0.5"/>
  <pageSetup paperSize="9" scale="72"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pageSetUpPr fitToPage="1"/>
  </sheetPr>
  <dimension ref="A1:XFD79"/>
  <sheetViews>
    <sheetView view="pageBreakPreview" zoomScale="130" zoomScaleNormal="145" workbookViewId="0">
      <selection activeCell="G8" sqref="G8"/>
    </sheetView>
  </sheetViews>
  <sheetFormatPr defaultColWidth="9.13888888888889" defaultRowHeight="13.2"/>
  <cols>
    <col min="1" max="1" width="4.85185185185185" style="2" customWidth="1"/>
    <col min="2" max="2" width="13.1388888888889" style="2" customWidth="1"/>
    <col min="3" max="3" width="35.1388888888889" style="2" customWidth="1"/>
    <col min="4" max="4" width="5.57407407407407" style="2" customWidth="1"/>
    <col min="5" max="5" width="9.71296296296296" style="2" customWidth="1"/>
    <col min="6" max="6" width="9.71296296296296" style="21" customWidth="1"/>
    <col min="7" max="7" width="13.712962962963" style="21" customWidth="1"/>
    <col min="8" max="8" width="15.4259259259259" style="21" customWidth="1"/>
    <col min="9" max="9" width="9.13888888888889" style="2"/>
    <col min="10" max="10" width="12" style="21" customWidth="1"/>
    <col min="11" max="16384" width="9.13888888888889" style="2"/>
  </cols>
  <sheetData>
    <row r="1" ht="39" customHeight="1" spans="1:10">
      <c r="A1" s="22" t="s">
        <v>975</v>
      </c>
      <c r="B1" s="22"/>
      <c r="C1" s="22"/>
      <c r="D1" s="22"/>
      <c r="E1" s="22"/>
      <c r="F1" s="22"/>
      <c r="G1" s="22"/>
      <c r="H1" s="22"/>
      <c r="I1" s="22"/>
      <c r="J1" s="22"/>
    </row>
    <row r="2" ht="14.25" customHeight="1" spans="1:10">
      <c r="A2" s="23" t="s">
        <v>11</v>
      </c>
      <c r="B2" s="24" t="s">
        <v>24</v>
      </c>
      <c r="C2" s="24" t="s">
        <v>25</v>
      </c>
      <c r="D2" s="24" t="s">
        <v>26</v>
      </c>
      <c r="E2" s="24" t="s">
        <v>27</v>
      </c>
      <c r="F2" s="24" t="s">
        <v>28</v>
      </c>
      <c r="G2" s="25"/>
      <c r="H2" s="25"/>
      <c r="I2" s="25"/>
      <c r="J2" s="39"/>
    </row>
    <row r="3" ht="15.6" customHeight="1" spans="1:10">
      <c r="A3" s="26"/>
      <c r="B3" s="27"/>
      <c r="C3" s="27"/>
      <c r="D3" s="27"/>
      <c r="E3" s="27"/>
      <c r="F3" s="28" t="s">
        <v>29</v>
      </c>
      <c r="G3" s="28"/>
      <c r="H3" s="29" t="s">
        <v>30</v>
      </c>
      <c r="I3" s="40" t="s">
        <v>31</v>
      </c>
      <c r="J3" s="41" t="s">
        <v>32</v>
      </c>
    </row>
    <row r="4" ht="14.1" customHeight="1" spans="1:10">
      <c r="A4" s="26"/>
      <c r="B4" s="27"/>
      <c r="C4" s="27"/>
      <c r="D4" s="27"/>
      <c r="E4" s="27"/>
      <c r="F4" s="30"/>
      <c r="G4" s="30" t="s">
        <v>33</v>
      </c>
      <c r="H4" s="29"/>
      <c r="I4" s="40"/>
      <c r="J4" s="42"/>
    </row>
    <row r="5" ht="22.7" customHeight="1" spans="1:10">
      <c r="A5" s="31"/>
      <c r="B5" s="32" t="s">
        <v>976</v>
      </c>
      <c r="C5" s="32"/>
      <c r="D5" s="33"/>
      <c r="E5" s="33"/>
      <c r="F5" s="34"/>
      <c r="G5" s="34"/>
      <c r="H5" s="35"/>
      <c r="I5" s="19"/>
      <c r="J5" s="43"/>
    </row>
    <row r="6" ht="87.2" customHeight="1" outlineLevel="1" spans="1:10">
      <c r="A6" s="31">
        <v>1</v>
      </c>
      <c r="B6" s="32" t="s">
        <v>977</v>
      </c>
      <c r="C6" s="32" t="s">
        <v>978</v>
      </c>
      <c r="D6" s="33" t="s">
        <v>81</v>
      </c>
      <c r="E6" s="33">
        <v>47.12</v>
      </c>
      <c r="F6" s="35">
        <v>187.56</v>
      </c>
      <c r="G6" s="35">
        <v>63.51</v>
      </c>
      <c r="H6" s="35">
        <f>E6*F6</f>
        <v>8837.8272</v>
      </c>
      <c r="I6" s="19"/>
      <c r="J6" s="44" t="s">
        <v>919</v>
      </c>
    </row>
    <row r="7" ht="87.2" customHeight="1" outlineLevel="1" spans="1:10">
      <c r="A7" s="31">
        <v>2</v>
      </c>
      <c r="B7" s="32" t="s">
        <v>977</v>
      </c>
      <c r="C7" s="32" t="s">
        <v>979</v>
      </c>
      <c r="D7" s="33" t="s">
        <v>81</v>
      </c>
      <c r="E7" s="33">
        <v>62.34</v>
      </c>
      <c r="F7" s="35">
        <v>130.16</v>
      </c>
      <c r="G7" s="35">
        <v>42.76</v>
      </c>
      <c r="H7" s="35">
        <f t="shared" ref="H7:H38" si="0">E7*F7</f>
        <v>8114.1744</v>
      </c>
      <c r="I7" s="19"/>
      <c r="J7" s="44" t="s">
        <v>919</v>
      </c>
    </row>
    <row r="8" ht="87.2" customHeight="1" outlineLevel="1" spans="1:10">
      <c r="A8" s="31">
        <v>3</v>
      </c>
      <c r="B8" s="32" t="s">
        <v>977</v>
      </c>
      <c r="C8" s="32" t="s">
        <v>980</v>
      </c>
      <c r="D8" s="33" t="s">
        <v>81</v>
      </c>
      <c r="E8" s="33">
        <v>97.1</v>
      </c>
      <c r="F8" s="35">
        <v>99.12</v>
      </c>
      <c r="G8" s="35">
        <v>29.71</v>
      </c>
      <c r="H8" s="35">
        <f t="shared" si="0"/>
        <v>9624.552</v>
      </c>
      <c r="I8" s="19"/>
      <c r="J8" s="44" t="s">
        <v>919</v>
      </c>
    </row>
    <row r="9" ht="87.2" customHeight="1" outlineLevel="1" spans="1:10">
      <c r="A9" s="31">
        <v>4</v>
      </c>
      <c r="B9" s="32" t="s">
        <v>977</v>
      </c>
      <c r="C9" s="32" t="s">
        <v>981</v>
      </c>
      <c r="D9" s="33" t="s">
        <v>81</v>
      </c>
      <c r="E9" s="33">
        <v>117.92</v>
      </c>
      <c r="F9" s="35">
        <v>85.02</v>
      </c>
      <c r="G9" s="35">
        <v>21.96</v>
      </c>
      <c r="H9" s="35">
        <f t="shared" si="0"/>
        <v>10025.5584</v>
      </c>
      <c r="I9" s="19"/>
      <c r="J9" s="44" t="s">
        <v>919</v>
      </c>
    </row>
    <row r="10" ht="87.2" customHeight="1" outlineLevel="1" spans="1:10">
      <c r="A10" s="31">
        <v>5</v>
      </c>
      <c r="B10" s="32" t="s">
        <v>977</v>
      </c>
      <c r="C10" s="32" t="s">
        <v>982</v>
      </c>
      <c r="D10" s="33" t="s">
        <v>81</v>
      </c>
      <c r="E10" s="33">
        <v>84.94</v>
      </c>
      <c r="F10" s="35">
        <v>59.98</v>
      </c>
      <c r="G10" s="35">
        <v>13.83</v>
      </c>
      <c r="H10" s="35">
        <f t="shared" si="0"/>
        <v>5094.7012</v>
      </c>
      <c r="I10" s="19"/>
      <c r="J10" s="44" t="s">
        <v>919</v>
      </c>
    </row>
    <row r="11" ht="87.2" customHeight="1" outlineLevel="1" spans="1:10">
      <c r="A11" s="31">
        <v>6</v>
      </c>
      <c r="B11" s="32" t="s">
        <v>977</v>
      </c>
      <c r="C11" s="32" t="s">
        <v>983</v>
      </c>
      <c r="D11" s="33" t="s">
        <v>81</v>
      </c>
      <c r="E11" s="33">
        <f>199.21+11.58</f>
        <v>210.79</v>
      </c>
      <c r="F11" s="35">
        <v>46.94</v>
      </c>
      <c r="G11" s="35">
        <v>8.87</v>
      </c>
      <c r="H11" s="35">
        <f t="shared" si="0"/>
        <v>9894.4826</v>
      </c>
      <c r="I11" s="19"/>
      <c r="J11" s="44" t="s">
        <v>919</v>
      </c>
    </row>
    <row r="12" ht="87.2" customHeight="1" outlineLevel="1" spans="1:10">
      <c r="A12" s="31">
        <v>7</v>
      </c>
      <c r="B12" s="32" t="s">
        <v>977</v>
      </c>
      <c r="C12" s="32" t="s">
        <v>984</v>
      </c>
      <c r="D12" s="33" t="s">
        <v>81</v>
      </c>
      <c r="E12" s="33">
        <v>673.91</v>
      </c>
      <c r="F12" s="35">
        <v>36.96</v>
      </c>
      <c r="G12" s="35">
        <v>5.81</v>
      </c>
      <c r="H12" s="35">
        <f t="shared" si="0"/>
        <v>24907.7136</v>
      </c>
      <c r="I12" s="19"/>
      <c r="J12" s="44" t="s">
        <v>919</v>
      </c>
    </row>
    <row r="13" ht="87.2" customHeight="1" outlineLevel="1" spans="1:10">
      <c r="A13" s="31">
        <v>8</v>
      </c>
      <c r="B13" s="32" t="s">
        <v>977</v>
      </c>
      <c r="C13" s="32" t="s">
        <v>985</v>
      </c>
      <c r="D13" s="33" t="s">
        <v>81</v>
      </c>
      <c r="E13" s="33">
        <v>49.95</v>
      </c>
      <c r="F13" s="35">
        <v>33.06</v>
      </c>
      <c r="G13" s="35">
        <v>3.48</v>
      </c>
      <c r="H13" s="35">
        <f t="shared" si="0"/>
        <v>1651.347</v>
      </c>
      <c r="I13" s="19"/>
      <c r="J13" s="44" t="s">
        <v>919</v>
      </c>
    </row>
    <row r="14" ht="63.95" customHeight="1" outlineLevel="1" spans="1:10">
      <c r="A14" s="31">
        <v>9</v>
      </c>
      <c r="B14" s="32" t="s">
        <v>986</v>
      </c>
      <c r="C14" s="32" t="s">
        <v>987</v>
      </c>
      <c r="D14" s="33" t="s">
        <v>969</v>
      </c>
      <c r="E14" s="33">
        <v>23</v>
      </c>
      <c r="F14" s="35">
        <v>156</v>
      </c>
      <c r="G14" s="35">
        <v>60</v>
      </c>
      <c r="H14" s="35">
        <f t="shared" si="0"/>
        <v>3588</v>
      </c>
      <c r="I14" s="19"/>
      <c r="J14" s="44" t="s">
        <v>919</v>
      </c>
    </row>
    <row r="15" ht="60.95" customHeight="1" outlineLevel="1" spans="1:10">
      <c r="A15" s="31">
        <v>10</v>
      </c>
      <c r="B15" s="32" t="s">
        <v>988</v>
      </c>
      <c r="C15" s="32" t="s">
        <v>989</v>
      </c>
      <c r="D15" s="33" t="s">
        <v>969</v>
      </c>
      <c r="E15" s="33">
        <v>1</v>
      </c>
      <c r="F15" s="35">
        <v>13000</v>
      </c>
      <c r="G15" s="35"/>
      <c r="H15" s="35">
        <f t="shared" si="0"/>
        <v>13000</v>
      </c>
      <c r="I15" s="19"/>
      <c r="J15" s="45"/>
    </row>
    <row r="16" s="20" customFormat="1" ht="62.1" customHeight="1" outlineLevel="1" spans="1:10">
      <c r="A16" s="31">
        <v>11</v>
      </c>
      <c r="B16" s="32" t="s">
        <v>988</v>
      </c>
      <c r="C16" s="32" t="s">
        <v>990</v>
      </c>
      <c r="D16" s="33" t="s">
        <v>969</v>
      </c>
      <c r="E16" s="33">
        <v>2</v>
      </c>
      <c r="F16" s="35">
        <v>2560</v>
      </c>
      <c r="G16" s="35"/>
      <c r="H16" s="35">
        <f t="shared" si="0"/>
        <v>5120</v>
      </c>
      <c r="I16" s="19"/>
      <c r="J16" s="44"/>
    </row>
    <row r="17" s="20" customFormat="1" ht="60.95" customHeight="1" outlineLevel="1" spans="1:10">
      <c r="A17" s="31">
        <v>12</v>
      </c>
      <c r="B17" s="32" t="s">
        <v>988</v>
      </c>
      <c r="C17" s="32" t="s">
        <v>991</v>
      </c>
      <c r="D17" s="33" t="s">
        <v>969</v>
      </c>
      <c r="E17" s="33">
        <v>1</v>
      </c>
      <c r="F17" s="35">
        <f>(F16)*2</f>
        <v>5120</v>
      </c>
      <c r="G17" s="35"/>
      <c r="H17" s="35">
        <f t="shared" si="0"/>
        <v>5120</v>
      </c>
      <c r="I17" s="19"/>
      <c r="J17" s="45"/>
    </row>
    <row r="18" customFormat="1" ht="54" customHeight="1" outlineLevel="1" spans="1:10">
      <c r="A18" s="31">
        <v>13</v>
      </c>
      <c r="B18" s="32" t="s">
        <v>988</v>
      </c>
      <c r="C18" s="32" t="s">
        <v>992</v>
      </c>
      <c r="D18" s="33" t="s">
        <v>969</v>
      </c>
      <c r="E18" s="33">
        <v>1</v>
      </c>
      <c r="F18" s="35">
        <v>1900</v>
      </c>
      <c r="G18" s="35"/>
      <c r="H18" s="35">
        <f t="shared" si="0"/>
        <v>1900</v>
      </c>
      <c r="I18" s="19"/>
      <c r="J18" s="45"/>
    </row>
    <row r="19" s="1" customFormat="1" ht="84.95" customHeight="1" outlineLevel="1" spans="1:10">
      <c r="A19" s="31">
        <v>14</v>
      </c>
      <c r="B19" s="32" t="s">
        <v>993</v>
      </c>
      <c r="C19" s="32" t="s">
        <v>994</v>
      </c>
      <c r="D19" s="33" t="s">
        <v>522</v>
      </c>
      <c r="E19" s="33">
        <v>1</v>
      </c>
      <c r="F19" s="35">
        <v>3758.32</v>
      </c>
      <c r="G19" s="35">
        <v>1496</v>
      </c>
      <c r="H19" s="35">
        <f t="shared" si="0"/>
        <v>3758.32</v>
      </c>
      <c r="I19" s="19"/>
      <c r="J19" s="44"/>
    </row>
    <row r="20" s="1" customFormat="1" ht="69" customHeight="1" outlineLevel="1" spans="1:10">
      <c r="A20" s="31">
        <v>15</v>
      </c>
      <c r="B20" s="32" t="s">
        <v>995</v>
      </c>
      <c r="C20" s="32" t="s">
        <v>996</v>
      </c>
      <c r="D20" s="33" t="s">
        <v>522</v>
      </c>
      <c r="E20" s="33">
        <v>2</v>
      </c>
      <c r="F20" s="35">
        <v>185.44</v>
      </c>
      <c r="G20" s="35">
        <v>65</v>
      </c>
      <c r="H20" s="35">
        <f t="shared" si="0"/>
        <v>370.88</v>
      </c>
      <c r="I20" s="19"/>
      <c r="J20" s="44" t="s">
        <v>919</v>
      </c>
    </row>
    <row r="21" s="1" customFormat="1" ht="69" customHeight="1" outlineLevel="1" spans="1:10">
      <c r="A21" s="31">
        <v>16</v>
      </c>
      <c r="B21" s="32" t="s">
        <v>997</v>
      </c>
      <c r="C21" s="32" t="s">
        <v>998</v>
      </c>
      <c r="D21" s="33" t="s">
        <v>522</v>
      </c>
      <c r="E21" s="33">
        <v>2</v>
      </c>
      <c r="F21" s="35">
        <v>189.04</v>
      </c>
      <c r="G21" s="35">
        <v>40</v>
      </c>
      <c r="H21" s="35">
        <f t="shared" si="0"/>
        <v>378.08</v>
      </c>
      <c r="I21" s="19"/>
      <c r="J21" s="44" t="s">
        <v>919</v>
      </c>
    </row>
    <row r="22" s="1" customFormat="1" ht="26.1" customHeight="1" outlineLevel="1" spans="1:10">
      <c r="A22" s="31">
        <v>17</v>
      </c>
      <c r="B22" s="32" t="s">
        <v>536</v>
      </c>
      <c r="C22" s="32" t="s">
        <v>999</v>
      </c>
      <c r="D22" s="33" t="s">
        <v>46</v>
      </c>
      <c r="E22" s="33">
        <v>213.2</v>
      </c>
      <c r="F22" s="35">
        <v>33.56</v>
      </c>
      <c r="G22" s="35"/>
      <c r="H22" s="35">
        <f t="shared" si="0"/>
        <v>7154.992</v>
      </c>
      <c r="I22" s="19"/>
      <c r="J22" s="45"/>
    </row>
    <row r="23" s="1" customFormat="1" ht="24.95" customHeight="1" outlineLevel="1" spans="1:10">
      <c r="A23" s="31">
        <v>18</v>
      </c>
      <c r="B23" s="32" t="s">
        <v>971</v>
      </c>
      <c r="C23" s="32" t="s">
        <v>1000</v>
      </c>
      <c r="D23" s="33" t="s">
        <v>46</v>
      </c>
      <c r="E23" s="33">
        <v>213.2</v>
      </c>
      <c r="F23" s="36">
        <v>17.28</v>
      </c>
      <c r="G23" s="36"/>
      <c r="H23" s="35">
        <f t="shared" si="0"/>
        <v>3684.096</v>
      </c>
      <c r="I23" s="46"/>
      <c r="J23" s="47"/>
    </row>
    <row r="24" s="1" customFormat="1" ht="45.95" customHeight="1" outlineLevel="1" spans="1:10">
      <c r="A24" s="31">
        <v>19</v>
      </c>
      <c r="B24" s="32" t="s">
        <v>1001</v>
      </c>
      <c r="C24" s="32" t="s">
        <v>1002</v>
      </c>
      <c r="D24" s="33" t="s">
        <v>522</v>
      </c>
      <c r="E24" s="33">
        <v>7</v>
      </c>
      <c r="F24" s="36">
        <v>0</v>
      </c>
      <c r="G24" s="36"/>
      <c r="H24" s="35">
        <f t="shared" si="0"/>
        <v>0</v>
      </c>
      <c r="I24" s="46"/>
      <c r="J24" s="47"/>
    </row>
    <row r="25" ht="22.7" customHeight="1" spans="1:10">
      <c r="A25" s="31"/>
      <c r="B25" s="32" t="s">
        <v>1003</v>
      </c>
      <c r="C25" s="32"/>
      <c r="D25" s="33"/>
      <c r="E25" s="33"/>
      <c r="F25" s="34">
        <v>0</v>
      </c>
      <c r="G25" s="34"/>
      <c r="H25" s="35">
        <f t="shared" si="0"/>
        <v>0</v>
      </c>
      <c r="I25" s="19"/>
      <c r="J25" s="43"/>
    </row>
    <row r="26" ht="87.2" customHeight="1" outlineLevel="1" spans="1:10">
      <c r="A26" s="31">
        <v>1</v>
      </c>
      <c r="B26" s="32" t="s">
        <v>1004</v>
      </c>
      <c r="C26" s="32" t="s">
        <v>1005</v>
      </c>
      <c r="D26" s="33" t="s">
        <v>81</v>
      </c>
      <c r="E26" s="33">
        <v>11.69</v>
      </c>
      <c r="F26" s="35">
        <f>(F9)*2</f>
        <v>170.04</v>
      </c>
      <c r="G26" s="35">
        <f>G9</f>
        <v>21.96</v>
      </c>
      <c r="H26" s="35">
        <f t="shared" si="0"/>
        <v>1987.7676</v>
      </c>
      <c r="I26" s="19"/>
      <c r="J26" s="44" t="s">
        <v>919</v>
      </c>
    </row>
    <row r="27" ht="87.2" customHeight="1" outlineLevel="1" spans="1:10">
      <c r="A27" s="31">
        <v>2</v>
      </c>
      <c r="B27" s="32" t="s">
        <v>977</v>
      </c>
      <c r="C27" s="32" t="s">
        <v>1006</v>
      </c>
      <c r="D27" s="33" t="s">
        <v>81</v>
      </c>
      <c r="E27" s="33">
        <f>24.69-9.4</f>
        <v>15.29</v>
      </c>
      <c r="F27" s="35">
        <v>444</v>
      </c>
      <c r="G27" s="35">
        <v>135</v>
      </c>
      <c r="H27" s="35">
        <f t="shared" si="0"/>
        <v>6788.76</v>
      </c>
      <c r="I27" s="19"/>
      <c r="J27" s="45"/>
    </row>
    <row r="28" ht="87.2" customHeight="1" outlineLevel="1" spans="1:10">
      <c r="A28" s="31">
        <v>3</v>
      </c>
      <c r="B28" s="32" t="s">
        <v>977</v>
      </c>
      <c r="C28" s="32" t="s">
        <v>1007</v>
      </c>
      <c r="D28" s="33" t="s">
        <v>81</v>
      </c>
      <c r="E28" s="33">
        <v>0.88</v>
      </c>
      <c r="F28" s="36">
        <v>130.6</v>
      </c>
      <c r="G28" s="36">
        <v>39</v>
      </c>
      <c r="H28" s="35">
        <f t="shared" si="0"/>
        <v>114.928</v>
      </c>
      <c r="I28" s="46"/>
      <c r="J28" s="45"/>
    </row>
    <row r="29" ht="87.2" customHeight="1" outlineLevel="1" spans="1:10">
      <c r="A29" s="31">
        <v>4</v>
      </c>
      <c r="B29" s="32" t="s">
        <v>977</v>
      </c>
      <c r="C29" s="32" t="s">
        <v>1008</v>
      </c>
      <c r="D29" s="33" t="s">
        <v>81</v>
      </c>
      <c r="E29" s="33">
        <v>2.24</v>
      </c>
      <c r="F29" s="36">
        <v>60.62</v>
      </c>
      <c r="G29" s="36">
        <v>18</v>
      </c>
      <c r="H29" s="35">
        <f t="shared" si="0"/>
        <v>135.7888</v>
      </c>
      <c r="I29" s="46"/>
      <c r="J29" s="45"/>
    </row>
    <row r="30" ht="87.2" customHeight="1" outlineLevel="1" spans="1:10">
      <c r="A30" s="31">
        <v>5</v>
      </c>
      <c r="B30" s="32" t="s">
        <v>1009</v>
      </c>
      <c r="C30" s="32" t="s">
        <v>1010</v>
      </c>
      <c r="D30" s="33" t="s">
        <v>81</v>
      </c>
      <c r="E30" s="33">
        <v>9.4</v>
      </c>
      <c r="F30" s="36">
        <v>615.2</v>
      </c>
      <c r="G30" s="36">
        <v>260</v>
      </c>
      <c r="H30" s="35">
        <f t="shared" si="0"/>
        <v>5782.88</v>
      </c>
      <c r="I30" s="46"/>
      <c r="J30" s="45"/>
    </row>
    <row r="31" ht="87.2" customHeight="1" outlineLevel="1" spans="1:10">
      <c r="A31" s="31">
        <v>6</v>
      </c>
      <c r="B31" s="32" t="s">
        <v>1011</v>
      </c>
      <c r="C31" s="32" t="s">
        <v>1012</v>
      </c>
      <c r="D31" s="33" t="s">
        <v>81</v>
      </c>
      <c r="E31" s="33">
        <v>1.84</v>
      </c>
      <c r="F31" s="36">
        <v>185.46</v>
      </c>
      <c r="G31" s="36">
        <v>60.63</v>
      </c>
      <c r="H31" s="35">
        <f t="shared" si="0"/>
        <v>341.2464</v>
      </c>
      <c r="I31" s="46"/>
      <c r="J31" s="44" t="s">
        <v>919</v>
      </c>
    </row>
    <row r="32" ht="87.2" customHeight="1" outlineLevel="1" spans="1:10">
      <c r="A32" s="31">
        <v>7</v>
      </c>
      <c r="B32" s="32" t="s">
        <v>1011</v>
      </c>
      <c r="C32" s="32" t="s">
        <v>1013</v>
      </c>
      <c r="D32" s="33" t="s">
        <v>81</v>
      </c>
      <c r="E32" s="33">
        <v>1.87</v>
      </c>
      <c r="F32" s="36">
        <f>(F6)*2</f>
        <v>375.12</v>
      </c>
      <c r="G32" s="36">
        <f>G6</f>
        <v>63.51</v>
      </c>
      <c r="H32" s="35">
        <f t="shared" si="0"/>
        <v>701.4744</v>
      </c>
      <c r="I32" s="46"/>
      <c r="J32" s="44" t="s">
        <v>919</v>
      </c>
    </row>
    <row r="33" ht="87.2" customHeight="1" outlineLevel="1" spans="1:10">
      <c r="A33" s="31">
        <v>8</v>
      </c>
      <c r="B33" s="32" t="s">
        <v>1011</v>
      </c>
      <c r="C33" s="32" t="s">
        <v>1014</v>
      </c>
      <c r="D33" s="33" t="s">
        <v>81</v>
      </c>
      <c r="E33" s="33">
        <v>2.28</v>
      </c>
      <c r="F33" s="36">
        <f>(F26)*2</f>
        <v>340.08</v>
      </c>
      <c r="G33" s="36">
        <f>G26</f>
        <v>21.96</v>
      </c>
      <c r="H33" s="35">
        <f t="shared" si="0"/>
        <v>775.3824</v>
      </c>
      <c r="I33" s="46"/>
      <c r="J33" s="44" t="s">
        <v>919</v>
      </c>
    </row>
    <row r="34" ht="75" customHeight="1" outlineLevel="1" spans="1:11">
      <c r="A34" s="31">
        <v>9</v>
      </c>
      <c r="B34" s="37" t="s">
        <v>995</v>
      </c>
      <c r="C34" s="32" t="s">
        <v>1015</v>
      </c>
      <c r="D34" s="33" t="s">
        <v>522</v>
      </c>
      <c r="E34" s="33">
        <v>2</v>
      </c>
      <c r="F34" s="36">
        <v>1587</v>
      </c>
      <c r="G34" s="36">
        <v>650</v>
      </c>
      <c r="H34" s="35">
        <f t="shared" si="0"/>
        <v>3174</v>
      </c>
      <c r="I34" s="46"/>
      <c r="J34" s="44" t="s">
        <v>919</v>
      </c>
      <c r="K34" s="48"/>
    </row>
    <row r="35" s="1" customFormat="1" ht="69" customHeight="1" outlineLevel="1" spans="1:10">
      <c r="A35" s="31">
        <v>10</v>
      </c>
      <c r="B35" s="32" t="s">
        <v>1016</v>
      </c>
      <c r="C35" s="32" t="s">
        <v>1017</v>
      </c>
      <c r="D35" s="33" t="s">
        <v>522</v>
      </c>
      <c r="E35" s="33">
        <v>3</v>
      </c>
      <c r="F35" s="35">
        <v>1547</v>
      </c>
      <c r="G35" s="35">
        <v>630</v>
      </c>
      <c r="H35" s="35">
        <f t="shared" si="0"/>
        <v>4641</v>
      </c>
      <c r="I35" s="19"/>
      <c r="J35" s="44" t="s">
        <v>919</v>
      </c>
    </row>
    <row r="36" ht="71.1" customHeight="1" outlineLevel="1" spans="1:10">
      <c r="A36" s="31">
        <v>11</v>
      </c>
      <c r="B36" s="32" t="s">
        <v>1016</v>
      </c>
      <c r="C36" s="32" t="s">
        <v>1018</v>
      </c>
      <c r="D36" s="33" t="s">
        <v>522</v>
      </c>
      <c r="E36" s="33">
        <v>1</v>
      </c>
      <c r="F36" s="36">
        <v>184.6</v>
      </c>
      <c r="G36" s="36">
        <v>65</v>
      </c>
      <c r="H36" s="35">
        <f t="shared" si="0"/>
        <v>184.6</v>
      </c>
      <c r="I36" s="46"/>
      <c r="J36" s="44" t="s">
        <v>919</v>
      </c>
    </row>
    <row r="37" ht="71.1" customHeight="1" outlineLevel="1" spans="1:10">
      <c r="A37" s="31">
        <v>12</v>
      </c>
      <c r="B37" s="32" t="s">
        <v>997</v>
      </c>
      <c r="C37" s="32" t="s">
        <v>1019</v>
      </c>
      <c r="D37" s="33" t="s">
        <v>522</v>
      </c>
      <c r="E37" s="38">
        <v>7</v>
      </c>
      <c r="F37" s="36">
        <v>164.6</v>
      </c>
      <c r="G37" s="36">
        <v>55</v>
      </c>
      <c r="H37" s="35">
        <f t="shared" si="0"/>
        <v>1152.2</v>
      </c>
      <c r="I37" s="46"/>
      <c r="J37" s="44" t="s">
        <v>919</v>
      </c>
    </row>
    <row r="38" ht="71.1" customHeight="1" outlineLevel="1" spans="1:10">
      <c r="A38" s="31">
        <v>13</v>
      </c>
      <c r="B38" s="32" t="s">
        <v>1020</v>
      </c>
      <c r="C38" s="32" t="s">
        <v>1021</v>
      </c>
      <c r="D38" s="33" t="s">
        <v>522</v>
      </c>
      <c r="E38" s="38">
        <v>8</v>
      </c>
      <c r="F38" s="36">
        <v>63</v>
      </c>
      <c r="G38" s="36">
        <v>22</v>
      </c>
      <c r="H38" s="35">
        <f t="shared" si="0"/>
        <v>504</v>
      </c>
      <c r="I38" s="46"/>
      <c r="J38" s="44" t="s">
        <v>919</v>
      </c>
    </row>
    <row r="39" ht="71.1" customHeight="1" outlineLevel="1" spans="1:10">
      <c r="A39" s="31">
        <v>14</v>
      </c>
      <c r="B39" s="32" t="s">
        <v>1022</v>
      </c>
      <c r="C39" s="32" t="s">
        <v>1023</v>
      </c>
      <c r="D39" s="33" t="s">
        <v>522</v>
      </c>
      <c r="E39" s="38">
        <v>1</v>
      </c>
      <c r="F39" s="36">
        <v>108.6</v>
      </c>
      <c r="G39" s="36">
        <v>38</v>
      </c>
      <c r="H39" s="35">
        <f t="shared" ref="H39:H68" si="1">E39*F39</f>
        <v>108.6</v>
      </c>
      <c r="I39" s="46"/>
      <c r="J39" s="44" t="s">
        <v>919</v>
      </c>
    </row>
    <row r="40" ht="50.1" customHeight="1" outlineLevel="1" spans="1:10">
      <c r="A40" s="31">
        <v>15</v>
      </c>
      <c r="B40" s="37" t="s">
        <v>1024</v>
      </c>
      <c r="C40" s="32" t="s">
        <v>1025</v>
      </c>
      <c r="D40" s="33" t="s">
        <v>522</v>
      </c>
      <c r="E40" s="38">
        <v>8</v>
      </c>
      <c r="F40" s="36">
        <v>117.2</v>
      </c>
      <c r="G40" s="36">
        <v>45</v>
      </c>
      <c r="H40" s="35">
        <f t="shared" si="1"/>
        <v>937.6</v>
      </c>
      <c r="I40" s="46"/>
      <c r="J40" s="45"/>
    </row>
    <row r="41" ht="48.95" customHeight="1" outlineLevel="1" spans="1:10">
      <c r="A41" s="31">
        <v>16</v>
      </c>
      <c r="B41" s="37" t="s">
        <v>1026</v>
      </c>
      <c r="C41" s="32" t="s">
        <v>1027</v>
      </c>
      <c r="D41" s="38" t="s">
        <v>913</v>
      </c>
      <c r="E41" s="38">
        <v>1</v>
      </c>
      <c r="F41" s="36">
        <v>6447.2</v>
      </c>
      <c r="G41" s="36">
        <v>2800</v>
      </c>
      <c r="H41" s="35">
        <f t="shared" si="1"/>
        <v>6447.2</v>
      </c>
      <c r="I41" s="46"/>
      <c r="J41" s="43"/>
    </row>
    <row r="42" ht="60.95" customHeight="1" outlineLevel="1" spans="1:10">
      <c r="A42" s="31">
        <v>17</v>
      </c>
      <c r="B42" s="32" t="s">
        <v>1028</v>
      </c>
      <c r="C42" s="32" t="s">
        <v>1029</v>
      </c>
      <c r="D42" s="33" t="s">
        <v>969</v>
      </c>
      <c r="E42" s="33">
        <v>1</v>
      </c>
      <c r="F42" s="35">
        <v>2560</v>
      </c>
      <c r="G42" s="35"/>
      <c r="H42" s="35">
        <f t="shared" si="1"/>
        <v>2560</v>
      </c>
      <c r="I42" s="19"/>
      <c r="J42" s="43"/>
    </row>
    <row r="43" ht="36.95" customHeight="1" outlineLevel="1" spans="1:10">
      <c r="A43" s="31">
        <v>18</v>
      </c>
      <c r="B43" s="32" t="s">
        <v>536</v>
      </c>
      <c r="C43" s="32" t="s">
        <v>999</v>
      </c>
      <c r="D43" s="33" t="s">
        <v>46</v>
      </c>
      <c r="E43" s="33">
        <v>1.28</v>
      </c>
      <c r="F43" s="35">
        <f>(F22)*2</f>
        <v>67.12</v>
      </c>
      <c r="G43" s="35"/>
      <c r="H43" s="35">
        <f t="shared" si="1"/>
        <v>85.9136</v>
      </c>
      <c r="I43" s="19"/>
      <c r="J43" s="43"/>
    </row>
    <row r="44" ht="33.95" customHeight="1" outlineLevel="1" spans="1:10">
      <c r="A44" s="31">
        <v>19</v>
      </c>
      <c r="B44" s="32" t="s">
        <v>971</v>
      </c>
      <c r="C44" s="32" t="s">
        <v>1000</v>
      </c>
      <c r="D44" s="33" t="s">
        <v>46</v>
      </c>
      <c r="E44" s="33">
        <v>1.28</v>
      </c>
      <c r="F44" s="35">
        <f>(F23)*2</f>
        <v>34.56</v>
      </c>
      <c r="G44" s="35"/>
      <c r="H44" s="35">
        <f t="shared" si="1"/>
        <v>44.2368</v>
      </c>
      <c r="I44" s="19"/>
      <c r="J44" s="43"/>
    </row>
    <row r="45" ht="22.7" customHeight="1" spans="1:10">
      <c r="A45" s="31"/>
      <c r="B45" s="32" t="s">
        <v>1030</v>
      </c>
      <c r="C45" s="32"/>
      <c r="D45" s="33"/>
      <c r="E45" s="33"/>
      <c r="F45" s="34">
        <v>0</v>
      </c>
      <c r="G45" s="34"/>
      <c r="H45" s="35">
        <f t="shared" si="1"/>
        <v>0</v>
      </c>
      <c r="I45" s="19"/>
      <c r="J45" s="43"/>
    </row>
    <row r="46" ht="87.2" customHeight="1" outlineLevel="1" spans="1:10">
      <c r="A46" s="31">
        <v>1</v>
      </c>
      <c r="B46" s="32" t="s">
        <v>1004</v>
      </c>
      <c r="C46" s="32" t="s">
        <v>1005</v>
      </c>
      <c r="D46" s="33" t="s">
        <v>81</v>
      </c>
      <c r="E46" s="33">
        <v>7.46</v>
      </c>
      <c r="F46" s="35">
        <f t="shared" ref="F46:F50" si="2">(F26)*2</f>
        <v>340.08</v>
      </c>
      <c r="G46" s="35">
        <f t="shared" ref="F46:G50" si="3">G26</f>
        <v>21.96</v>
      </c>
      <c r="H46" s="35">
        <f t="shared" si="1"/>
        <v>2536.9968</v>
      </c>
      <c r="I46" s="19"/>
      <c r="J46" s="45"/>
    </row>
    <row r="47" ht="80.1" customHeight="1" outlineLevel="1" spans="1:10">
      <c r="A47" s="31">
        <v>2</v>
      </c>
      <c r="B47" s="32" t="s">
        <v>977</v>
      </c>
      <c r="C47" s="32" t="s">
        <v>1006</v>
      </c>
      <c r="D47" s="33" t="s">
        <v>81</v>
      </c>
      <c r="E47" s="33">
        <f>92.16-48.9</f>
        <v>43.26</v>
      </c>
      <c r="F47" s="35">
        <f t="shared" si="2"/>
        <v>888</v>
      </c>
      <c r="G47" s="35">
        <f t="shared" si="3"/>
        <v>135</v>
      </c>
      <c r="H47" s="35">
        <f t="shared" si="1"/>
        <v>38414.88</v>
      </c>
      <c r="I47" s="19"/>
      <c r="J47" s="45"/>
    </row>
    <row r="48" ht="78.95" customHeight="1" outlineLevel="1" spans="1:10">
      <c r="A48" s="31">
        <v>3</v>
      </c>
      <c r="B48" s="32" t="s">
        <v>977</v>
      </c>
      <c r="C48" s="32" t="s">
        <v>1007</v>
      </c>
      <c r="D48" s="33" t="s">
        <v>81</v>
      </c>
      <c r="E48" s="33">
        <v>2.1</v>
      </c>
      <c r="F48" s="35">
        <f t="shared" si="2"/>
        <v>261.2</v>
      </c>
      <c r="G48" s="35">
        <f t="shared" si="3"/>
        <v>39</v>
      </c>
      <c r="H48" s="35">
        <f t="shared" si="1"/>
        <v>548.52</v>
      </c>
      <c r="I48" s="19"/>
      <c r="J48" s="45"/>
    </row>
    <row r="49" ht="75.95" customHeight="1" outlineLevel="1" spans="1:10">
      <c r="A49" s="31">
        <v>4</v>
      </c>
      <c r="B49" s="32" t="s">
        <v>977</v>
      </c>
      <c r="C49" s="32" t="s">
        <v>1008</v>
      </c>
      <c r="D49" s="33" t="s">
        <v>81</v>
      </c>
      <c r="E49" s="33">
        <v>0.44</v>
      </c>
      <c r="F49" s="35">
        <f t="shared" si="2"/>
        <v>121.24</v>
      </c>
      <c r="G49" s="35">
        <f t="shared" si="3"/>
        <v>18</v>
      </c>
      <c r="H49" s="35">
        <f t="shared" si="1"/>
        <v>53.3456</v>
      </c>
      <c r="I49" s="19"/>
      <c r="J49" s="45"/>
    </row>
    <row r="50" ht="84" customHeight="1" outlineLevel="1" spans="1:10">
      <c r="A50" s="31">
        <v>5</v>
      </c>
      <c r="B50" s="32" t="s">
        <v>1009</v>
      </c>
      <c r="C50" s="32" t="s">
        <v>1010</v>
      </c>
      <c r="D50" s="33" t="s">
        <v>81</v>
      </c>
      <c r="E50" s="33">
        <v>48.9</v>
      </c>
      <c r="F50" s="35">
        <f t="shared" si="2"/>
        <v>1230.4</v>
      </c>
      <c r="G50" s="35">
        <f t="shared" si="3"/>
        <v>260</v>
      </c>
      <c r="H50" s="35">
        <f t="shared" si="1"/>
        <v>60166.56</v>
      </c>
      <c r="I50" s="19"/>
      <c r="J50" s="45"/>
    </row>
    <row r="51" ht="77.1" customHeight="1" outlineLevel="1" spans="1:10">
      <c r="A51" s="31">
        <v>6</v>
      </c>
      <c r="B51" s="32" t="s">
        <v>1011</v>
      </c>
      <c r="C51" s="32" t="s">
        <v>1031</v>
      </c>
      <c r="D51" s="33" t="s">
        <v>81</v>
      </c>
      <c r="E51" s="33">
        <v>26</v>
      </c>
      <c r="F51" s="35">
        <v>302.12</v>
      </c>
      <c r="G51" s="35">
        <v>118.93</v>
      </c>
      <c r="H51" s="35">
        <f t="shared" si="1"/>
        <v>7855.12</v>
      </c>
      <c r="I51" s="19"/>
      <c r="J51" s="45" t="s">
        <v>919</v>
      </c>
    </row>
    <row r="52" ht="77.1" customHeight="1" outlineLevel="1" spans="1:10">
      <c r="A52" s="31">
        <v>7</v>
      </c>
      <c r="B52" s="32" t="s">
        <v>1011</v>
      </c>
      <c r="C52" s="32" t="s">
        <v>1012</v>
      </c>
      <c r="D52" s="33" t="s">
        <v>81</v>
      </c>
      <c r="E52" s="33">
        <v>23.23</v>
      </c>
      <c r="F52" s="35">
        <v>174.16</v>
      </c>
      <c r="G52" s="35">
        <v>60.63</v>
      </c>
      <c r="H52" s="35">
        <f t="shared" si="1"/>
        <v>4045.7368</v>
      </c>
      <c r="I52" s="19"/>
      <c r="J52" s="45" t="s">
        <v>919</v>
      </c>
    </row>
    <row r="53" ht="77.1" customHeight="1" outlineLevel="1" spans="1:10">
      <c r="A53" s="31">
        <v>8</v>
      </c>
      <c r="B53" s="32" t="s">
        <v>1011</v>
      </c>
      <c r="C53" s="32" t="s">
        <v>1013</v>
      </c>
      <c r="D53" s="33" t="s">
        <v>81</v>
      </c>
      <c r="E53" s="33">
        <v>3.43</v>
      </c>
      <c r="F53" s="35">
        <v>100.2</v>
      </c>
      <c r="G53" s="35">
        <v>28.71</v>
      </c>
      <c r="H53" s="35">
        <f t="shared" si="1"/>
        <v>343.686</v>
      </c>
      <c r="I53" s="19"/>
      <c r="J53" s="45" t="s">
        <v>919</v>
      </c>
    </row>
    <row r="54" ht="81" customHeight="1" outlineLevel="1" spans="1:10">
      <c r="A54" s="31">
        <v>9</v>
      </c>
      <c r="B54" s="32" t="s">
        <v>1011</v>
      </c>
      <c r="C54" s="32" t="s">
        <v>1014</v>
      </c>
      <c r="D54" s="33" t="s">
        <v>81</v>
      </c>
      <c r="E54" s="33">
        <v>4.19</v>
      </c>
      <c r="F54" s="35">
        <v>69.16</v>
      </c>
      <c r="G54" s="35">
        <v>18.08</v>
      </c>
      <c r="H54" s="35">
        <f t="shared" si="1"/>
        <v>289.7804</v>
      </c>
      <c r="I54" s="19"/>
      <c r="J54" s="45" t="s">
        <v>919</v>
      </c>
    </row>
    <row r="55" ht="66" customHeight="1" outlineLevel="1" spans="1:10">
      <c r="A55" s="31">
        <v>10</v>
      </c>
      <c r="B55" s="37" t="s">
        <v>995</v>
      </c>
      <c r="C55" s="32" t="s">
        <v>1015</v>
      </c>
      <c r="D55" s="33" t="s">
        <v>522</v>
      </c>
      <c r="E55" s="33">
        <v>2</v>
      </c>
      <c r="F55" s="35">
        <v>1587</v>
      </c>
      <c r="G55" s="35">
        <v>650</v>
      </c>
      <c r="H55" s="35">
        <f t="shared" si="1"/>
        <v>3174</v>
      </c>
      <c r="I55" s="19"/>
      <c r="J55" s="45" t="s">
        <v>919</v>
      </c>
    </row>
    <row r="56" ht="63.95" customHeight="1" outlineLevel="1" spans="1:10">
      <c r="A56" s="31">
        <v>11</v>
      </c>
      <c r="B56" s="32" t="s">
        <v>1016</v>
      </c>
      <c r="C56" s="32" t="s">
        <v>1017</v>
      </c>
      <c r="D56" s="33" t="s">
        <v>522</v>
      </c>
      <c r="E56" s="33">
        <v>4</v>
      </c>
      <c r="F56" s="35">
        <v>1547</v>
      </c>
      <c r="G56" s="35">
        <v>65</v>
      </c>
      <c r="H56" s="35">
        <f t="shared" si="1"/>
        <v>6188</v>
      </c>
      <c r="I56" s="19"/>
      <c r="J56" s="45" t="s">
        <v>919</v>
      </c>
    </row>
    <row r="57" ht="62.1" customHeight="1" outlineLevel="1" spans="1:10">
      <c r="A57" s="31">
        <v>12</v>
      </c>
      <c r="B57" s="32" t="s">
        <v>1016</v>
      </c>
      <c r="C57" s="32" t="s">
        <v>1018</v>
      </c>
      <c r="D57" s="33" t="s">
        <v>522</v>
      </c>
      <c r="E57" s="33">
        <v>1</v>
      </c>
      <c r="F57" s="35">
        <v>184.6</v>
      </c>
      <c r="G57" s="35">
        <v>65</v>
      </c>
      <c r="H57" s="35">
        <f t="shared" si="1"/>
        <v>184.6</v>
      </c>
      <c r="I57" s="19"/>
      <c r="J57" s="45" t="s">
        <v>919</v>
      </c>
    </row>
    <row r="58" ht="66.95" customHeight="1" outlineLevel="1" spans="1:10">
      <c r="A58" s="31">
        <v>13</v>
      </c>
      <c r="B58" s="32" t="s">
        <v>997</v>
      </c>
      <c r="C58" s="32" t="s">
        <v>1019</v>
      </c>
      <c r="D58" s="33" t="s">
        <v>522</v>
      </c>
      <c r="E58" s="33">
        <v>12</v>
      </c>
      <c r="F58" s="35">
        <v>164.6</v>
      </c>
      <c r="G58" s="35">
        <v>55</v>
      </c>
      <c r="H58" s="35">
        <f t="shared" si="1"/>
        <v>1975.2</v>
      </c>
      <c r="I58" s="19"/>
      <c r="J58" s="45" t="s">
        <v>919</v>
      </c>
    </row>
    <row r="59" ht="65.1" customHeight="1" outlineLevel="1" spans="1:10">
      <c r="A59" s="31">
        <v>14</v>
      </c>
      <c r="B59" s="32" t="s">
        <v>1020</v>
      </c>
      <c r="C59" s="32" t="s">
        <v>1021</v>
      </c>
      <c r="D59" s="33" t="s">
        <v>522</v>
      </c>
      <c r="E59" s="33">
        <v>4</v>
      </c>
      <c r="F59" s="35">
        <v>63</v>
      </c>
      <c r="G59" s="35">
        <v>22</v>
      </c>
      <c r="H59" s="35">
        <f t="shared" si="1"/>
        <v>252</v>
      </c>
      <c r="I59" s="19"/>
      <c r="J59" s="45" t="s">
        <v>919</v>
      </c>
    </row>
    <row r="60" ht="63" customHeight="1" outlineLevel="1" spans="1:10">
      <c r="A60" s="31">
        <v>15</v>
      </c>
      <c r="B60" s="32" t="s">
        <v>1022</v>
      </c>
      <c r="C60" s="32" t="s">
        <v>1023</v>
      </c>
      <c r="D60" s="33" t="s">
        <v>522</v>
      </c>
      <c r="E60" s="33">
        <v>1</v>
      </c>
      <c r="F60" s="35">
        <v>108.6</v>
      </c>
      <c r="G60" s="35">
        <v>38</v>
      </c>
      <c r="H60" s="35">
        <f t="shared" si="1"/>
        <v>108.6</v>
      </c>
      <c r="I60" s="19"/>
      <c r="J60" s="45" t="s">
        <v>919</v>
      </c>
    </row>
    <row r="61" ht="42.95" customHeight="1" outlineLevel="1" spans="1:10">
      <c r="A61" s="31">
        <v>16</v>
      </c>
      <c r="B61" s="37" t="s">
        <v>1024</v>
      </c>
      <c r="C61" s="32" t="s">
        <v>1025</v>
      </c>
      <c r="D61" s="33" t="s">
        <v>522</v>
      </c>
      <c r="E61" s="33">
        <v>4</v>
      </c>
      <c r="F61" s="35">
        <v>117.2</v>
      </c>
      <c r="G61" s="35">
        <v>45</v>
      </c>
      <c r="H61" s="35">
        <f t="shared" si="1"/>
        <v>468.8</v>
      </c>
      <c r="I61" s="19"/>
      <c r="J61" s="43"/>
    </row>
    <row r="62" ht="39" customHeight="1" outlineLevel="1" spans="1:10">
      <c r="A62" s="31">
        <v>17</v>
      </c>
      <c r="B62" s="37" t="s">
        <v>1026</v>
      </c>
      <c r="C62" s="32" t="s">
        <v>1027</v>
      </c>
      <c r="D62" s="38" t="s">
        <v>913</v>
      </c>
      <c r="E62" s="33">
        <v>3</v>
      </c>
      <c r="F62" s="35">
        <v>6447.2</v>
      </c>
      <c r="G62" s="35">
        <v>2800</v>
      </c>
      <c r="H62" s="35">
        <f t="shared" si="1"/>
        <v>19341.6</v>
      </c>
      <c r="I62" s="19"/>
      <c r="J62" s="44" t="s">
        <v>1032</v>
      </c>
    </row>
    <row r="63" ht="59.1" customHeight="1" outlineLevel="1" spans="1:10">
      <c r="A63" s="31">
        <v>18</v>
      </c>
      <c r="B63" s="32" t="s">
        <v>1028</v>
      </c>
      <c r="C63" s="32" t="s">
        <v>1029</v>
      </c>
      <c r="D63" s="33" t="s">
        <v>969</v>
      </c>
      <c r="E63" s="33">
        <v>1</v>
      </c>
      <c r="F63" s="35">
        <v>2560</v>
      </c>
      <c r="G63" s="35"/>
      <c r="H63" s="35">
        <f t="shared" si="1"/>
        <v>2560</v>
      </c>
      <c r="I63" s="19"/>
      <c r="J63" s="43"/>
    </row>
    <row r="64" ht="33.95" customHeight="1" outlineLevel="1" spans="1:10">
      <c r="A64" s="31">
        <v>19</v>
      </c>
      <c r="B64" s="32" t="s">
        <v>536</v>
      </c>
      <c r="C64" s="32" t="s">
        <v>999</v>
      </c>
      <c r="D64" s="33" t="s">
        <v>46</v>
      </c>
      <c r="E64" s="33">
        <v>8.64</v>
      </c>
      <c r="F64" s="35">
        <f>(F43)*2</f>
        <v>134.24</v>
      </c>
      <c r="G64" s="35"/>
      <c r="H64" s="35">
        <f t="shared" si="1"/>
        <v>1159.8336</v>
      </c>
      <c r="I64" s="19"/>
      <c r="J64" s="43"/>
    </row>
    <row r="65" ht="33.95" customHeight="1" outlineLevel="1" spans="1:10">
      <c r="A65" s="31">
        <v>20</v>
      </c>
      <c r="B65" s="32" t="s">
        <v>971</v>
      </c>
      <c r="C65" s="32" t="s">
        <v>1000</v>
      </c>
      <c r="D65" s="33" t="s">
        <v>46</v>
      </c>
      <c r="E65" s="33">
        <v>8.64</v>
      </c>
      <c r="F65" s="35">
        <f>(F44)*2</f>
        <v>69.12</v>
      </c>
      <c r="G65" s="35"/>
      <c r="H65" s="35">
        <f t="shared" si="1"/>
        <v>597.1968</v>
      </c>
      <c r="I65" s="19"/>
      <c r="J65" s="43"/>
    </row>
    <row r="66" ht="33.95" customHeight="1" outlineLevel="1" spans="1:10">
      <c r="A66" s="31">
        <v>21</v>
      </c>
      <c r="B66" s="32" t="s">
        <v>1033</v>
      </c>
      <c r="C66" s="32" t="s">
        <v>1034</v>
      </c>
      <c r="D66" s="33" t="s">
        <v>1035</v>
      </c>
      <c r="E66" s="33">
        <v>87</v>
      </c>
      <c r="F66" s="35">
        <v>210</v>
      </c>
      <c r="G66" s="35"/>
      <c r="H66" s="35">
        <f t="shared" si="1"/>
        <v>18270</v>
      </c>
      <c r="I66" s="19"/>
      <c r="J66" s="43"/>
    </row>
    <row r="67" ht="33.95" customHeight="1" outlineLevel="1" spans="1:10">
      <c r="A67" s="31">
        <v>22</v>
      </c>
      <c r="B67" s="32" t="s">
        <v>1033</v>
      </c>
      <c r="C67" s="32" t="s">
        <v>1036</v>
      </c>
      <c r="D67" s="33" t="s">
        <v>1035</v>
      </c>
      <c r="E67" s="33">
        <v>27</v>
      </c>
      <c r="F67" s="35">
        <v>266</v>
      </c>
      <c r="G67" s="35"/>
      <c r="H67" s="35">
        <f t="shared" si="1"/>
        <v>7182</v>
      </c>
      <c r="I67" s="19"/>
      <c r="J67" s="43"/>
    </row>
    <row r="68" ht="33.95" customHeight="1" outlineLevel="1" spans="1:10">
      <c r="A68" s="31">
        <v>23</v>
      </c>
      <c r="B68" s="32" t="s">
        <v>1033</v>
      </c>
      <c r="C68" s="32" t="s">
        <v>1037</v>
      </c>
      <c r="D68" s="33" t="s">
        <v>1035</v>
      </c>
      <c r="E68" s="33">
        <v>214</v>
      </c>
      <c r="F68" s="35">
        <v>210</v>
      </c>
      <c r="G68" s="35"/>
      <c r="H68" s="35">
        <f t="shared" si="1"/>
        <v>44940</v>
      </c>
      <c r="I68" s="19"/>
      <c r="J68" s="43"/>
    </row>
    <row r="69" s="1" customFormat="1" ht="23.1" customHeight="1" spans="1:9">
      <c r="A69" s="8"/>
      <c r="B69" s="8" t="s">
        <v>1038</v>
      </c>
      <c r="C69" s="8"/>
      <c r="D69" s="8"/>
      <c r="E69" s="9"/>
      <c r="F69" s="9">
        <v>0</v>
      </c>
      <c r="G69" s="9"/>
      <c r="H69" s="35">
        <f t="shared" ref="H69:H77" si="4">E69*F69</f>
        <v>0</v>
      </c>
      <c r="I69" s="8"/>
    </row>
    <row r="70" s="1" customFormat="1" ht="36" customHeight="1" spans="1:252">
      <c r="A70" s="10">
        <v>1</v>
      </c>
      <c r="B70" s="10" t="s">
        <v>93</v>
      </c>
      <c r="C70" s="10" t="s">
        <v>999</v>
      </c>
      <c r="D70" s="10" t="s">
        <v>46</v>
      </c>
      <c r="E70" s="11">
        <v>124</v>
      </c>
      <c r="F70" s="11">
        <f>(F22)*2</f>
        <v>67.12</v>
      </c>
      <c r="G70" s="11"/>
      <c r="H70" s="35">
        <f t="shared" si="4"/>
        <v>8322.88</v>
      </c>
      <c r="I70" s="10"/>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8"/>
      <c r="BK70" s="18"/>
      <c r="BL70" s="18"/>
      <c r="BM70" s="18"/>
      <c r="BN70" s="18"/>
      <c r="BO70" s="18"/>
      <c r="BP70" s="18"/>
      <c r="BQ70" s="18"/>
      <c r="BR70" s="18"/>
      <c r="BS70" s="18"/>
      <c r="BT70" s="18"/>
      <c r="BU70" s="18"/>
      <c r="BV70" s="18"/>
      <c r="BW70" s="18"/>
      <c r="BX70" s="18"/>
      <c r="BY70" s="18"/>
      <c r="BZ70" s="18"/>
      <c r="CA70" s="18"/>
      <c r="CB70" s="18"/>
      <c r="CC70" s="18"/>
      <c r="CD70" s="18"/>
      <c r="CE70" s="18"/>
      <c r="CF70" s="18"/>
      <c r="CG70" s="18"/>
      <c r="CH70" s="18"/>
      <c r="CI70" s="18"/>
      <c r="CJ70" s="18"/>
      <c r="CK70" s="18"/>
      <c r="CL70" s="18"/>
      <c r="CM70" s="18"/>
      <c r="CN70" s="18"/>
      <c r="CO70" s="18"/>
      <c r="CP70" s="18"/>
      <c r="CQ70" s="18"/>
      <c r="CR70" s="18"/>
      <c r="CS70" s="18"/>
      <c r="CT70" s="18"/>
      <c r="CU70" s="18"/>
      <c r="CV70" s="18"/>
      <c r="CW70" s="18"/>
      <c r="CX70" s="18"/>
      <c r="CY70" s="18"/>
      <c r="CZ70" s="18"/>
      <c r="DA70" s="18"/>
      <c r="DB70" s="18"/>
      <c r="DC70" s="18"/>
      <c r="DD70" s="18"/>
      <c r="DE70" s="18"/>
      <c r="DF70" s="18"/>
      <c r="DG70" s="18"/>
      <c r="DH70" s="18"/>
      <c r="DI70" s="18"/>
      <c r="DJ70" s="18"/>
      <c r="DK70" s="18"/>
      <c r="DL70" s="18"/>
      <c r="DM70" s="18"/>
      <c r="DN70" s="18"/>
      <c r="DO70" s="18"/>
      <c r="DP70" s="18"/>
      <c r="DQ70" s="18"/>
      <c r="DR70" s="18"/>
      <c r="DS70" s="18"/>
      <c r="DT70" s="18"/>
      <c r="DU70" s="18"/>
      <c r="DV70" s="18"/>
      <c r="DW70" s="18"/>
      <c r="DX70" s="18"/>
      <c r="DY70" s="18"/>
      <c r="DZ70" s="18"/>
      <c r="EA70" s="18"/>
      <c r="EB70" s="18"/>
      <c r="EC70" s="18"/>
      <c r="ED70" s="18"/>
      <c r="EE70" s="18"/>
      <c r="EF70" s="18"/>
      <c r="EG70" s="18"/>
      <c r="EH70" s="18"/>
      <c r="EI70" s="18"/>
      <c r="EJ70" s="18"/>
      <c r="EK70" s="18"/>
      <c r="EL70" s="18"/>
      <c r="EM70" s="18"/>
      <c r="EN70" s="18"/>
      <c r="EO70" s="18"/>
      <c r="EP70" s="18"/>
      <c r="EQ70" s="18"/>
      <c r="ER70" s="18"/>
      <c r="ES70" s="18"/>
      <c r="ET70" s="18"/>
      <c r="EU70" s="18"/>
      <c r="EV70" s="18"/>
      <c r="EW70" s="18"/>
      <c r="EX70" s="18"/>
      <c r="EY70" s="18"/>
      <c r="EZ70" s="18"/>
      <c r="FA70" s="18"/>
      <c r="FB70" s="18"/>
      <c r="FC70" s="18"/>
      <c r="FD70" s="18"/>
      <c r="FE70" s="18"/>
      <c r="FF70" s="18"/>
      <c r="FG70" s="18"/>
      <c r="FH70" s="18"/>
      <c r="FI70" s="18"/>
      <c r="FJ70" s="18"/>
      <c r="FK70" s="18"/>
      <c r="FL70" s="18"/>
      <c r="FM70" s="18"/>
      <c r="FN70" s="18"/>
      <c r="FO70" s="18"/>
      <c r="FP70" s="18"/>
      <c r="FQ70" s="18"/>
      <c r="FR70" s="18"/>
      <c r="FS70" s="18"/>
      <c r="FT70" s="18"/>
      <c r="FU70" s="18"/>
      <c r="FV70" s="18"/>
      <c r="FW70" s="18"/>
      <c r="FX70" s="18"/>
      <c r="FY70" s="18"/>
      <c r="FZ70" s="18"/>
      <c r="GA70" s="18"/>
      <c r="GB70" s="18"/>
      <c r="GC70" s="18"/>
      <c r="GD70" s="18"/>
      <c r="GE70" s="18"/>
      <c r="GF70" s="18"/>
      <c r="GG70" s="18"/>
      <c r="GH70" s="18"/>
      <c r="GI70" s="18"/>
      <c r="GJ70" s="18"/>
      <c r="GK70" s="18"/>
      <c r="GL70" s="18"/>
      <c r="GM70" s="18"/>
      <c r="GN70" s="18"/>
      <c r="GO70" s="18"/>
      <c r="GP70" s="18"/>
      <c r="GQ70" s="18"/>
      <c r="GR70" s="18"/>
      <c r="GS70" s="18"/>
      <c r="GT70" s="18"/>
      <c r="GU70" s="18"/>
      <c r="GV70" s="18"/>
      <c r="GW70" s="18"/>
      <c r="GX70" s="18"/>
      <c r="GY70" s="18"/>
      <c r="GZ70" s="18"/>
      <c r="HA70" s="18"/>
      <c r="HB70" s="18"/>
      <c r="HC70" s="18"/>
      <c r="HD70" s="18"/>
      <c r="HE70" s="18"/>
      <c r="HF70" s="18"/>
      <c r="HG70" s="18"/>
      <c r="HH70" s="18"/>
      <c r="HI70" s="18"/>
      <c r="HJ70" s="18"/>
      <c r="HK70" s="18"/>
      <c r="HL70" s="18"/>
      <c r="HM70" s="18"/>
      <c r="HN70" s="18"/>
      <c r="HO70" s="18"/>
      <c r="HP70" s="18"/>
      <c r="HQ70" s="18"/>
      <c r="HR70" s="18"/>
      <c r="HS70" s="18"/>
      <c r="HT70" s="18"/>
      <c r="HU70" s="18"/>
      <c r="HV70" s="18"/>
      <c r="HW70" s="18"/>
      <c r="HX70" s="18"/>
      <c r="HY70" s="18"/>
      <c r="HZ70" s="18"/>
      <c r="IA70" s="18"/>
      <c r="IB70" s="18"/>
      <c r="IC70" s="18"/>
      <c r="ID70" s="18"/>
      <c r="IE70" s="18"/>
      <c r="IF70" s="18"/>
      <c r="IG70" s="18"/>
      <c r="IH70" s="18"/>
      <c r="II70" s="18"/>
      <c r="IJ70" s="18"/>
      <c r="IK70" s="18"/>
      <c r="IL70" s="18"/>
      <c r="IM70" s="18"/>
      <c r="IN70" s="18"/>
      <c r="IO70" s="18"/>
      <c r="IP70" s="18"/>
      <c r="IQ70" s="18"/>
      <c r="IR70" s="18"/>
    </row>
    <row r="71" s="1" customFormat="1" ht="33.95" customHeight="1" spans="1:252">
      <c r="A71" s="10">
        <v>2</v>
      </c>
      <c r="B71" s="10" t="s">
        <v>1039</v>
      </c>
      <c r="C71" s="10" t="s">
        <v>1000</v>
      </c>
      <c r="D71" s="10" t="s">
        <v>46</v>
      </c>
      <c r="E71" s="11">
        <v>124</v>
      </c>
      <c r="F71" s="11">
        <f>(F44)*2</f>
        <v>69.12</v>
      </c>
      <c r="G71" s="11"/>
      <c r="H71" s="35">
        <f t="shared" si="4"/>
        <v>8570.88</v>
      </c>
      <c r="I71" s="10"/>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8"/>
      <c r="BK71" s="18"/>
      <c r="BL71" s="18"/>
      <c r="BM71" s="18"/>
      <c r="BN71" s="18"/>
      <c r="BO71" s="18"/>
      <c r="BP71" s="18"/>
      <c r="BQ71" s="18"/>
      <c r="BR71" s="18"/>
      <c r="BS71" s="18"/>
      <c r="BT71" s="18"/>
      <c r="BU71" s="18"/>
      <c r="BV71" s="18"/>
      <c r="BW71" s="18"/>
      <c r="BX71" s="18"/>
      <c r="BY71" s="18"/>
      <c r="BZ71" s="18"/>
      <c r="CA71" s="18"/>
      <c r="CB71" s="18"/>
      <c r="CC71" s="18"/>
      <c r="CD71" s="18"/>
      <c r="CE71" s="18"/>
      <c r="CF71" s="18"/>
      <c r="CG71" s="18"/>
      <c r="CH71" s="18"/>
      <c r="CI71" s="18"/>
      <c r="CJ71" s="18"/>
      <c r="CK71" s="18"/>
      <c r="CL71" s="18"/>
      <c r="CM71" s="18"/>
      <c r="CN71" s="18"/>
      <c r="CO71" s="18"/>
      <c r="CP71" s="18"/>
      <c r="CQ71" s="18"/>
      <c r="CR71" s="18"/>
      <c r="CS71" s="18"/>
      <c r="CT71" s="18"/>
      <c r="CU71" s="18"/>
      <c r="CV71" s="18"/>
      <c r="CW71" s="18"/>
      <c r="CX71" s="18"/>
      <c r="CY71" s="18"/>
      <c r="CZ71" s="18"/>
      <c r="DA71" s="18"/>
      <c r="DB71" s="18"/>
      <c r="DC71" s="18"/>
      <c r="DD71" s="18"/>
      <c r="DE71" s="18"/>
      <c r="DF71" s="18"/>
      <c r="DG71" s="18"/>
      <c r="DH71" s="18"/>
      <c r="DI71" s="18"/>
      <c r="DJ71" s="18"/>
      <c r="DK71" s="18"/>
      <c r="DL71" s="18"/>
      <c r="DM71" s="18"/>
      <c r="DN71" s="18"/>
      <c r="DO71" s="18"/>
      <c r="DP71" s="18"/>
      <c r="DQ71" s="18"/>
      <c r="DR71" s="18"/>
      <c r="DS71" s="18"/>
      <c r="DT71" s="18"/>
      <c r="DU71" s="18"/>
      <c r="DV71" s="18"/>
      <c r="DW71" s="18"/>
      <c r="DX71" s="18"/>
      <c r="DY71" s="18"/>
      <c r="DZ71" s="18"/>
      <c r="EA71" s="18"/>
      <c r="EB71" s="18"/>
      <c r="EC71" s="18"/>
      <c r="ED71" s="18"/>
      <c r="EE71" s="18"/>
      <c r="EF71" s="18"/>
      <c r="EG71" s="18"/>
      <c r="EH71" s="18"/>
      <c r="EI71" s="18"/>
      <c r="EJ71" s="18"/>
      <c r="EK71" s="18"/>
      <c r="EL71" s="18"/>
      <c r="EM71" s="18"/>
      <c r="EN71" s="18"/>
      <c r="EO71" s="18"/>
      <c r="EP71" s="18"/>
      <c r="EQ71" s="18"/>
      <c r="ER71" s="18"/>
      <c r="ES71" s="18"/>
      <c r="ET71" s="18"/>
      <c r="EU71" s="18"/>
      <c r="EV71" s="18"/>
      <c r="EW71" s="18"/>
      <c r="EX71" s="18"/>
      <c r="EY71" s="18"/>
      <c r="EZ71" s="18"/>
      <c r="FA71" s="18"/>
      <c r="FB71" s="18"/>
      <c r="FC71" s="18"/>
      <c r="FD71" s="18"/>
      <c r="FE71" s="18"/>
      <c r="FF71" s="18"/>
      <c r="FG71" s="18"/>
      <c r="FH71" s="18"/>
      <c r="FI71" s="18"/>
      <c r="FJ71" s="18"/>
      <c r="FK71" s="18"/>
      <c r="FL71" s="18"/>
      <c r="FM71" s="18"/>
      <c r="FN71" s="18"/>
      <c r="FO71" s="18"/>
      <c r="FP71" s="18"/>
      <c r="FQ71" s="18"/>
      <c r="FR71" s="18"/>
      <c r="FS71" s="18"/>
      <c r="FT71" s="18"/>
      <c r="FU71" s="18"/>
      <c r="FV71" s="18"/>
      <c r="FW71" s="18"/>
      <c r="FX71" s="18"/>
      <c r="FY71" s="18"/>
      <c r="FZ71" s="18"/>
      <c r="GA71" s="18"/>
      <c r="GB71" s="18"/>
      <c r="GC71" s="18"/>
      <c r="GD71" s="18"/>
      <c r="GE71" s="18"/>
      <c r="GF71" s="18"/>
      <c r="GG71" s="18"/>
      <c r="GH71" s="18"/>
      <c r="GI71" s="18"/>
      <c r="GJ71" s="18"/>
      <c r="GK71" s="18"/>
      <c r="GL71" s="18"/>
      <c r="GM71" s="18"/>
      <c r="GN71" s="18"/>
      <c r="GO71" s="18"/>
      <c r="GP71" s="18"/>
      <c r="GQ71" s="18"/>
      <c r="GR71" s="18"/>
      <c r="GS71" s="18"/>
      <c r="GT71" s="18"/>
      <c r="GU71" s="18"/>
      <c r="GV71" s="18"/>
      <c r="GW71" s="18"/>
      <c r="GX71" s="18"/>
      <c r="GY71" s="18"/>
      <c r="GZ71" s="18"/>
      <c r="HA71" s="18"/>
      <c r="HB71" s="18"/>
      <c r="HC71" s="18"/>
      <c r="HD71" s="18"/>
      <c r="HE71" s="18"/>
      <c r="HF71" s="18"/>
      <c r="HG71" s="18"/>
      <c r="HH71" s="18"/>
      <c r="HI71" s="18"/>
      <c r="HJ71" s="18"/>
      <c r="HK71" s="18"/>
      <c r="HL71" s="18"/>
      <c r="HM71" s="18"/>
      <c r="HN71" s="18"/>
      <c r="HO71" s="18"/>
      <c r="HP71" s="18"/>
      <c r="HQ71" s="18"/>
      <c r="HR71" s="18"/>
      <c r="HS71" s="18"/>
      <c r="HT71" s="18"/>
      <c r="HU71" s="18"/>
      <c r="HV71" s="18"/>
      <c r="HW71" s="18"/>
      <c r="HX71" s="18"/>
      <c r="HY71" s="18"/>
      <c r="HZ71" s="18"/>
      <c r="IA71" s="18"/>
      <c r="IB71" s="18"/>
      <c r="IC71" s="18"/>
      <c r="ID71" s="18"/>
      <c r="IE71" s="18"/>
      <c r="IF71" s="18"/>
      <c r="IG71" s="18"/>
      <c r="IH71" s="18"/>
      <c r="II71" s="18"/>
      <c r="IJ71" s="18"/>
      <c r="IK71" s="18"/>
      <c r="IL71" s="18"/>
      <c r="IM71" s="18"/>
      <c r="IN71" s="18"/>
      <c r="IO71" s="18"/>
      <c r="IP71" s="18"/>
      <c r="IQ71" s="18"/>
      <c r="IR71" s="18"/>
    </row>
    <row r="72" s="1" customFormat="1" ht="65.1" customHeight="1" spans="1:252">
      <c r="A72" s="10">
        <v>3</v>
      </c>
      <c r="B72" s="49" t="s">
        <v>1040</v>
      </c>
      <c r="C72" s="50" t="s">
        <v>1041</v>
      </c>
      <c r="D72" s="10" t="s">
        <v>81</v>
      </c>
      <c r="E72" s="11">
        <v>797.57</v>
      </c>
      <c r="F72" s="11">
        <v>123.06</v>
      </c>
      <c r="G72" s="11">
        <v>19</v>
      </c>
      <c r="H72" s="35">
        <f t="shared" si="4"/>
        <v>98148.9642</v>
      </c>
      <c r="I72" s="10" t="s">
        <v>1042</v>
      </c>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8"/>
      <c r="BK72" s="18"/>
      <c r="BL72" s="18"/>
      <c r="BM72" s="18"/>
      <c r="BN72" s="18"/>
      <c r="BO72" s="18"/>
      <c r="BP72" s="18"/>
      <c r="BQ72" s="18"/>
      <c r="BR72" s="18"/>
      <c r="BS72" s="18"/>
      <c r="BT72" s="18"/>
      <c r="BU72" s="18"/>
      <c r="BV72" s="18"/>
      <c r="BW72" s="18"/>
      <c r="BX72" s="18"/>
      <c r="BY72" s="18"/>
      <c r="BZ72" s="18"/>
      <c r="CA72" s="18"/>
      <c r="CB72" s="18"/>
      <c r="CC72" s="18"/>
      <c r="CD72" s="18"/>
      <c r="CE72" s="18"/>
      <c r="CF72" s="18"/>
      <c r="CG72" s="18"/>
      <c r="CH72" s="18"/>
      <c r="CI72" s="18"/>
      <c r="CJ72" s="18"/>
      <c r="CK72" s="18"/>
      <c r="CL72" s="18"/>
      <c r="CM72" s="18"/>
      <c r="CN72" s="18"/>
      <c r="CO72" s="18"/>
      <c r="CP72" s="18"/>
      <c r="CQ72" s="18"/>
      <c r="CR72" s="18"/>
      <c r="CS72" s="18"/>
      <c r="CT72" s="18"/>
      <c r="CU72" s="18"/>
      <c r="CV72" s="18"/>
      <c r="CW72" s="18"/>
      <c r="CX72" s="18"/>
      <c r="CY72" s="18"/>
      <c r="CZ72" s="18"/>
      <c r="DA72" s="18"/>
      <c r="DB72" s="18"/>
      <c r="DC72" s="18"/>
      <c r="DD72" s="18"/>
      <c r="DE72" s="18"/>
      <c r="DF72" s="18"/>
      <c r="DG72" s="18"/>
      <c r="DH72" s="18"/>
      <c r="DI72" s="18"/>
      <c r="DJ72" s="18"/>
      <c r="DK72" s="18"/>
      <c r="DL72" s="18"/>
      <c r="DM72" s="18"/>
      <c r="DN72" s="18"/>
      <c r="DO72" s="18"/>
      <c r="DP72" s="18"/>
      <c r="DQ72" s="18"/>
      <c r="DR72" s="18"/>
      <c r="DS72" s="18"/>
      <c r="DT72" s="18"/>
      <c r="DU72" s="18"/>
      <c r="DV72" s="18"/>
      <c r="DW72" s="18"/>
      <c r="DX72" s="18"/>
      <c r="DY72" s="18"/>
      <c r="DZ72" s="18"/>
      <c r="EA72" s="18"/>
      <c r="EB72" s="18"/>
      <c r="EC72" s="18"/>
      <c r="ED72" s="18"/>
      <c r="EE72" s="18"/>
      <c r="EF72" s="18"/>
      <c r="EG72" s="18"/>
      <c r="EH72" s="18"/>
      <c r="EI72" s="18"/>
      <c r="EJ72" s="18"/>
      <c r="EK72" s="18"/>
      <c r="EL72" s="18"/>
      <c r="EM72" s="18"/>
      <c r="EN72" s="18"/>
      <c r="EO72" s="18"/>
      <c r="EP72" s="18"/>
      <c r="EQ72" s="18"/>
      <c r="ER72" s="18"/>
      <c r="ES72" s="18"/>
      <c r="ET72" s="18"/>
      <c r="EU72" s="18"/>
      <c r="EV72" s="18"/>
      <c r="EW72" s="18"/>
      <c r="EX72" s="18"/>
      <c r="EY72" s="18"/>
      <c r="EZ72" s="18"/>
      <c r="FA72" s="18"/>
      <c r="FB72" s="18"/>
      <c r="FC72" s="18"/>
      <c r="FD72" s="18"/>
      <c r="FE72" s="18"/>
      <c r="FF72" s="18"/>
      <c r="FG72" s="18"/>
      <c r="FH72" s="18"/>
      <c r="FI72" s="18"/>
      <c r="FJ72" s="18"/>
      <c r="FK72" s="18"/>
      <c r="FL72" s="18"/>
      <c r="FM72" s="18"/>
      <c r="FN72" s="18"/>
      <c r="FO72" s="18"/>
      <c r="FP72" s="18"/>
      <c r="FQ72" s="18"/>
      <c r="FR72" s="18"/>
      <c r="FS72" s="18"/>
      <c r="FT72" s="18"/>
      <c r="FU72" s="18"/>
      <c r="FV72" s="18"/>
      <c r="FW72" s="18"/>
      <c r="FX72" s="18"/>
      <c r="FY72" s="18"/>
      <c r="FZ72" s="18"/>
      <c r="GA72" s="18"/>
      <c r="GB72" s="18"/>
      <c r="GC72" s="18"/>
      <c r="GD72" s="18"/>
      <c r="GE72" s="18"/>
      <c r="GF72" s="18"/>
      <c r="GG72" s="18"/>
      <c r="GH72" s="18"/>
      <c r="GI72" s="18"/>
      <c r="GJ72" s="18"/>
      <c r="GK72" s="18"/>
      <c r="GL72" s="18"/>
      <c r="GM72" s="18"/>
      <c r="GN72" s="18"/>
      <c r="GO72" s="18"/>
      <c r="GP72" s="18"/>
      <c r="GQ72" s="18"/>
      <c r="GR72" s="18"/>
      <c r="GS72" s="18"/>
      <c r="GT72" s="18"/>
      <c r="GU72" s="18"/>
      <c r="GV72" s="18"/>
      <c r="GW72" s="18"/>
      <c r="GX72" s="18"/>
      <c r="GY72" s="18"/>
      <c r="GZ72" s="18"/>
      <c r="HA72" s="18"/>
      <c r="HB72" s="18"/>
      <c r="HC72" s="18"/>
      <c r="HD72" s="18"/>
      <c r="HE72" s="18"/>
      <c r="HF72" s="18"/>
      <c r="HG72" s="18"/>
      <c r="HH72" s="18"/>
      <c r="HI72" s="18"/>
      <c r="HJ72" s="18"/>
      <c r="HK72" s="18"/>
      <c r="HL72" s="18"/>
      <c r="HM72" s="18"/>
      <c r="HN72" s="18"/>
      <c r="HO72" s="18"/>
      <c r="HP72" s="18"/>
      <c r="HQ72" s="18"/>
      <c r="HR72" s="18"/>
      <c r="HS72" s="18"/>
      <c r="HT72" s="18"/>
      <c r="HU72" s="18"/>
      <c r="HV72" s="18"/>
      <c r="HW72" s="18"/>
      <c r="HX72" s="18"/>
      <c r="HY72" s="18"/>
      <c r="HZ72" s="18"/>
      <c r="IA72" s="18"/>
      <c r="IB72" s="18"/>
      <c r="IC72" s="18"/>
      <c r="ID72" s="18"/>
      <c r="IE72" s="18"/>
      <c r="IF72" s="18"/>
      <c r="IG72" s="18"/>
      <c r="IH72" s="18"/>
      <c r="II72" s="18"/>
      <c r="IJ72" s="18"/>
      <c r="IK72" s="18"/>
      <c r="IL72" s="18"/>
      <c r="IM72" s="18"/>
      <c r="IN72" s="18"/>
      <c r="IO72" s="18"/>
      <c r="IP72" s="18"/>
      <c r="IQ72" s="18"/>
      <c r="IR72" s="18"/>
    </row>
    <row r="73" s="1" customFormat="1" ht="63" customHeight="1" spans="1:9">
      <c r="A73" s="10">
        <v>4</v>
      </c>
      <c r="B73" s="49" t="s">
        <v>1040</v>
      </c>
      <c r="C73" s="50" t="s">
        <v>1043</v>
      </c>
      <c r="D73" s="10" t="s">
        <v>81</v>
      </c>
      <c r="E73" s="11">
        <v>134.03</v>
      </c>
      <c r="F73" s="11">
        <v>82.78</v>
      </c>
      <c r="G73" s="11">
        <v>12.5</v>
      </c>
      <c r="H73" s="35">
        <f t="shared" si="4"/>
        <v>11095.0034</v>
      </c>
      <c r="I73" s="10"/>
    </row>
    <row r="74" s="1" customFormat="1" ht="35.1" customHeight="1" spans="1:252">
      <c r="A74" s="10">
        <v>5</v>
      </c>
      <c r="B74" s="12" t="s">
        <v>1044</v>
      </c>
      <c r="C74" s="50" t="s">
        <v>1045</v>
      </c>
      <c r="D74" s="10" t="s">
        <v>81</v>
      </c>
      <c r="E74" s="11">
        <v>36.32</v>
      </c>
      <c r="F74" s="11">
        <v>568</v>
      </c>
      <c r="G74" s="11"/>
      <c r="H74" s="35">
        <f t="shared" si="4"/>
        <v>20629.76</v>
      </c>
      <c r="I74" s="10"/>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8"/>
      <c r="BK74" s="18"/>
      <c r="BL74" s="18"/>
      <c r="BM74" s="18"/>
      <c r="BN74" s="18"/>
      <c r="BO74" s="18"/>
      <c r="BP74" s="18"/>
      <c r="BQ74" s="18"/>
      <c r="BR74" s="18"/>
      <c r="BS74" s="18"/>
      <c r="BT74" s="18"/>
      <c r="BU74" s="18"/>
      <c r="BV74" s="18"/>
      <c r="BW74" s="18"/>
      <c r="BX74" s="18"/>
      <c r="BY74" s="18"/>
      <c r="BZ74" s="18"/>
      <c r="CA74" s="18"/>
      <c r="CB74" s="18"/>
      <c r="CC74" s="18"/>
      <c r="CD74" s="18"/>
      <c r="CE74" s="18"/>
      <c r="CF74" s="18"/>
      <c r="CG74" s="18"/>
      <c r="CH74" s="18"/>
      <c r="CI74" s="18"/>
      <c r="CJ74" s="18"/>
      <c r="CK74" s="18"/>
      <c r="CL74" s="18"/>
      <c r="CM74" s="18"/>
      <c r="CN74" s="18"/>
      <c r="CO74" s="18"/>
      <c r="CP74" s="18"/>
      <c r="CQ74" s="18"/>
      <c r="CR74" s="18"/>
      <c r="CS74" s="18"/>
      <c r="CT74" s="18"/>
      <c r="CU74" s="18"/>
      <c r="CV74" s="18"/>
      <c r="CW74" s="18"/>
      <c r="CX74" s="18"/>
      <c r="CY74" s="18"/>
      <c r="CZ74" s="18"/>
      <c r="DA74" s="18"/>
      <c r="DB74" s="18"/>
      <c r="DC74" s="18"/>
      <c r="DD74" s="18"/>
      <c r="DE74" s="18"/>
      <c r="DF74" s="18"/>
      <c r="DG74" s="18"/>
      <c r="DH74" s="18"/>
      <c r="DI74" s="18"/>
      <c r="DJ74" s="18"/>
      <c r="DK74" s="18"/>
      <c r="DL74" s="18"/>
      <c r="DM74" s="18"/>
      <c r="DN74" s="18"/>
      <c r="DO74" s="18"/>
      <c r="DP74" s="18"/>
      <c r="DQ74" s="18"/>
      <c r="DR74" s="18"/>
      <c r="DS74" s="18"/>
      <c r="DT74" s="18"/>
      <c r="DU74" s="18"/>
      <c r="DV74" s="18"/>
      <c r="DW74" s="18"/>
      <c r="DX74" s="18"/>
      <c r="DY74" s="18"/>
      <c r="DZ74" s="18"/>
      <c r="EA74" s="18"/>
      <c r="EB74" s="18"/>
      <c r="EC74" s="18"/>
      <c r="ED74" s="18"/>
      <c r="EE74" s="18"/>
      <c r="EF74" s="18"/>
      <c r="EG74" s="18"/>
      <c r="EH74" s="18"/>
      <c r="EI74" s="18"/>
      <c r="EJ74" s="18"/>
      <c r="EK74" s="18"/>
      <c r="EL74" s="18"/>
      <c r="EM74" s="18"/>
      <c r="EN74" s="18"/>
      <c r="EO74" s="18"/>
      <c r="EP74" s="18"/>
      <c r="EQ74" s="18"/>
      <c r="ER74" s="18"/>
      <c r="ES74" s="18"/>
      <c r="ET74" s="18"/>
      <c r="EU74" s="18"/>
      <c r="EV74" s="18"/>
      <c r="EW74" s="18"/>
      <c r="EX74" s="18"/>
      <c r="EY74" s="18"/>
      <c r="EZ74" s="18"/>
      <c r="FA74" s="18"/>
      <c r="FB74" s="18"/>
      <c r="FC74" s="18"/>
      <c r="FD74" s="18"/>
      <c r="FE74" s="18"/>
      <c r="FF74" s="18"/>
      <c r="FG74" s="18"/>
      <c r="FH74" s="18"/>
      <c r="FI74" s="18"/>
      <c r="FJ74" s="18"/>
      <c r="FK74" s="18"/>
      <c r="FL74" s="18"/>
      <c r="FM74" s="18"/>
      <c r="FN74" s="18"/>
      <c r="FO74" s="18"/>
      <c r="FP74" s="18"/>
      <c r="FQ74" s="18"/>
      <c r="FR74" s="18"/>
      <c r="FS74" s="18"/>
      <c r="FT74" s="18"/>
      <c r="FU74" s="18"/>
      <c r="FV74" s="18"/>
      <c r="FW74" s="18"/>
      <c r="FX74" s="18"/>
      <c r="FY74" s="18"/>
      <c r="FZ74" s="18"/>
      <c r="GA74" s="18"/>
      <c r="GB74" s="18"/>
      <c r="GC74" s="18"/>
      <c r="GD74" s="18"/>
      <c r="GE74" s="18"/>
      <c r="GF74" s="18"/>
      <c r="GG74" s="18"/>
      <c r="GH74" s="18"/>
      <c r="GI74" s="18"/>
      <c r="GJ74" s="18"/>
      <c r="GK74" s="18"/>
      <c r="GL74" s="18"/>
      <c r="GM74" s="18"/>
      <c r="GN74" s="18"/>
      <c r="GO74" s="18"/>
      <c r="GP74" s="18"/>
      <c r="GQ74" s="18"/>
      <c r="GR74" s="18"/>
      <c r="GS74" s="18"/>
      <c r="GT74" s="18"/>
      <c r="GU74" s="18"/>
      <c r="GV74" s="18"/>
      <c r="GW74" s="18"/>
      <c r="GX74" s="18"/>
      <c r="GY74" s="18"/>
      <c r="GZ74" s="18"/>
      <c r="HA74" s="18"/>
      <c r="HB74" s="18"/>
      <c r="HC74" s="18"/>
      <c r="HD74" s="18"/>
      <c r="HE74" s="18"/>
      <c r="HF74" s="18"/>
      <c r="HG74" s="18"/>
      <c r="HH74" s="18"/>
      <c r="HI74" s="18"/>
      <c r="HJ74" s="18"/>
      <c r="HK74" s="18"/>
      <c r="HL74" s="18"/>
      <c r="HM74" s="18"/>
      <c r="HN74" s="18"/>
      <c r="HO74" s="18"/>
      <c r="HP74" s="18"/>
      <c r="HQ74" s="18"/>
      <c r="HR74" s="18"/>
      <c r="HS74" s="18"/>
      <c r="HT74" s="18"/>
      <c r="HU74" s="18"/>
      <c r="HV74" s="18"/>
      <c r="HW74" s="18"/>
      <c r="HX74" s="18"/>
      <c r="HY74" s="18"/>
      <c r="HZ74" s="18"/>
      <c r="IA74" s="18"/>
      <c r="IB74" s="18"/>
      <c r="IC74" s="18"/>
      <c r="ID74" s="18"/>
      <c r="IE74" s="18"/>
      <c r="IF74" s="18"/>
      <c r="IG74" s="18"/>
      <c r="IH74" s="18"/>
      <c r="II74" s="18"/>
      <c r="IJ74" s="18"/>
      <c r="IK74" s="18"/>
      <c r="IL74" s="18"/>
      <c r="IM74" s="18"/>
      <c r="IN74" s="18"/>
      <c r="IO74" s="18"/>
      <c r="IP74" s="18"/>
      <c r="IQ74" s="18"/>
      <c r="IR74" s="18"/>
    </row>
    <row r="75" s="1" customFormat="1" ht="39.95" customHeight="1" spans="1:252">
      <c r="A75" s="10">
        <v>6</v>
      </c>
      <c r="B75" s="12" t="s">
        <v>1046</v>
      </c>
      <c r="C75" s="50" t="s">
        <v>1047</v>
      </c>
      <c r="D75" s="10" t="s">
        <v>81</v>
      </c>
      <c r="E75" s="11">
        <v>8.96</v>
      </c>
      <c r="F75" s="11">
        <v>448</v>
      </c>
      <c r="G75" s="11"/>
      <c r="H75" s="35">
        <f t="shared" si="4"/>
        <v>4014.08</v>
      </c>
      <c r="I75" s="10"/>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8"/>
      <c r="BK75" s="18"/>
      <c r="BL75" s="18"/>
      <c r="BM75" s="18"/>
      <c r="BN75" s="18"/>
      <c r="BO75" s="18"/>
      <c r="BP75" s="18"/>
      <c r="BQ75" s="18"/>
      <c r="BR75" s="18"/>
      <c r="BS75" s="18"/>
      <c r="BT75" s="18"/>
      <c r="BU75" s="18"/>
      <c r="BV75" s="18"/>
      <c r="BW75" s="18"/>
      <c r="BX75" s="18"/>
      <c r="BY75" s="18"/>
      <c r="BZ75" s="18"/>
      <c r="CA75" s="18"/>
      <c r="CB75" s="18"/>
      <c r="CC75" s="18"/>
      <c r="CD75" s="18"/>
      <c r="CE75" s="18"/>
      <c r="CF75" s="18"/>
      <c r="CG75" s="18"/>
      <c r="CH75" s="18"/>
      <c r="CI75" s="18"/>
      <c r="CJ75" s="18"/>
      <c r="CK75" s="18"/>
      <c r="CL75" s="18"/>
      <c r="CM75" s="18"/>
      <c r="CN75" s="18"/>
      <c r="CO75" s="18"/>
      <c r="CP75" s="18"/>
      <c r="CQ75" s="18"/>
      <c r="CR75" s="18"/>
      <c r="CS75" s="18"/>
      <c r="CT75" s="18"/>
      <c r="CU75" s="18"/>
      <c r="CV75" s="18"/>
      <c r="CW75" s="18"/>
      <c r="CX75" s="18"/>
      <c r="CY75" s="18"/>
      <c r="CZ75" s="18"/>
      <c r="DA75" s="18"/>
      <c r="DB75" s="18"/>
      <c r="DC75" s="18"/>
      <c r="DD75" s="18"/>
      <c r="DE75" s="18"/>
      <c r="DF75" s="18"/>
      <c r="DG75" s="18"/>
      <c r="DH75" s="18"/>
      <c r="DI75" s="18"/>
      <c r="DJ75" s="18"/>
      <c r="DK75" s="18"/>
      <c r="DL75" s="18"/>
      <c r="DM75" s="18"/>
      <c r="DN75" s="18"/>
      <c r="DO75" s="18"/>
      <c r="DP75" s="18"/>
      <c r="DQ75" s="18"/>
      <c r="DR75" s="18"/>
      <c r="DS75" s="18"/>
      <c r="DT75" s="18"/>
      <c r="DU75" s="18"/>
      <c r="DV75" s="18"/>
      <c r="DW75" s="18"/>
      <c r="DX75" s="18"/>
      <c r="DY75" s="18"/>
      <c r="DZ75" s="18"/>
      <c r="EA75" s="18"/>
      <c r="EB75" s="18"/>
      <c r="EC75" s="18"/>
      <c r="ED75" s="18"/>
      <c r="EE75" s="18"/>
      <c r="EF75" s="18"/>
      <c r="EG75" s="18"/>
      <c r="EH75" s="18"/>
      <c r="EI75" s="18"/>
      <c r="EJ75" s="18"/>
      <c r="EK75" s="18"/>
      <c r="EL75" s="18"/>
      <c r="EM75" s="18"/>
      <c r="EN75" s="18"/>
      <c r="EO75" s="18"/>
      <c r="EP75" s="18"/>
      <c r="EQ75" s="18"/>
      <c r="ER75" s="18"/>
      <c r="ES75" s="18"/>
      <c r="ET75" s="18"/>
      <c r="EU75" s="18"/>
      <c r="EV75" s="18"/>
      <c r="EW75" s="18"/>
      <c r="EX75" s="18"/>
      <c r="EY75" s="18"/>
      <c r="EZ75" s="18"/>
      <c r="FA75" s="18"/>
      <c r="FB75" s="18"/>
      <c r="FC75" s="18"/>
      <c r="FD75" s="18"/>
      <c r="FE75" s="18"/>
      <c r="FF75" s="18"/>
      <c r="FG75" s="18"/>
      <c r="FH75" s="18"/>
      <c r="FI75" s="18"/>
      <c r="FJ75" s="18"/>
      <c r="FK75" s="18"/>
      <c r="FL75" s="18"/>
      <c r="FM75" s="18"/>
      <c r="FN75" s="18"/>
      <c r="FO75" s="18"/>
      <c r="FP75" s="18"/>
      <c r="FQ75" s="18"/>
      <c r="FR75" s="18"/>
      <c r="FS75" s="18"/>
      <c r="FT75" s="18"/>
      <c r="FU75" s="18"/>
      <c r="FV75" s="18"/>
      <c r="FW75" s="18"/>
      <c r="FX75" s="18"/>
      <c r="FY75" s="18"/>
      <c r="FZ75" s="18"/>
      <c r="GA75" s="18"/>
      <c r="GB75" s="18"/>
      <c r="GC75" s="18"/>
      <c r="GD75" s="18"/>
      <c r="GE75" s="18"/>
      <c r="GF75" s="18"/>
      <c r="GG75" s="18"/>
      <c r="GH75" s="18"/>
      <c r="GI75" s="18"/>
      <c r="GJ75" s="18"/>
      <c r="GK75" s="18"/>
      <c r="GL75" s="18"/>
      <c r="GM75" s="18"/>
      <c r="GN75" s="18"/>
      <c r="GO75" s="18"/>
      <c r="GP75" s="18"/>
      <c r="GQ75" s="18"/>
      <c r="GR75" s="18"/>
      <c r="GS75" s="18"/>
      <c r="GT75" s="18"/>
      <c r="GU75" s="18"/>
      <c r="GV75" s="18"/>
      <c r="GW75" s="18"/>
      <c r="GX75" s="18"/>
      <c r="GY75" s="18"/>
      <c r="GZ75" s="18"/>
      <c r="HA75" s="18"/>
      <c r="HB75" s="18"/>
      <c r="HC75" s="18"/>
      <c r="HD75" s="18"/>
      <c r="HE75" s="18"/>
      <c r="HF75" s="18"/>
      <c r="HG75" s="18"/>
      <c r="HH75" s="18"/>
      <c r="HI75" s="18"/>
      <c r="HJ75" s="18"/>
      <c r="HK75" s="18"/>
      <c r="HL75" s="18"/>
      <c r="HM75" s="18"/>
      <c r="HN75" s="18"/>
      <c r="HO75" s="18"/>
      <c r="HP75" s="18"/>
      <c r="HQ75" s="18"/>
      <c r="HR75" s="18"/>
      <c r="HS75" s="18"/>
      <c r="HT75" s="18"/>
      <c r="HU75" s="18"/>
      <c r="HV75" s="18"/>
      <c r="HW75" s="18"/>
      <c r="HX75" s="18"/>
      <c r="HY75" s="18"/>
      <c r="HZ75" s="18"/>
      <c r="IA75" s="18"/>
      <c r="IB75" s="18"/>
      <c r="IC75" s="18"/>
      <c r="ID75" s="18"/>
      <c r="IE75" s="18"/>
      <c r="IF75" s="18"/>
      <c r="IG75" s="18"/>
      <c r="IH75" s="18"/>
      <c r="II75" s="18"/>
      <c r="IJ75" s="18"/>
      <c r="IK75" s="18"/>
      <c r="IL75" s="18"/>
      <c r="IM75" s="18"/>
      <c r="IN75" s="18"/>
      <c r="IO75" s="18"/>
      <c r="IP75" s="18"/>
      <c r="IQ75" s="18"/>
      <c r="IR75" s="18"/>
    </row>
    <row r="76" s="1" customFormat="1" ht="35.1" customHeight="1" spans="1:252">
      <c r="A76" s="10">
        <v>7</v>
      </c>
      <c r="B76" s="12" t="s">
        <v>1048</v>
      </c>
      <c r="C76" s="50" t="s">
        <v>1049</v>
      </c>
      <c r="D76" s="10" t="s">
        <v>522</v>
      </c>
      <c r="E76" s="11">
        <v>10</v>
      </c>
      <c r="F76" s="11">
        <v>86</v>
      </c>
      <c r="G76" s="11">
        <v>29</v>
      </c>
      <c r="H76" s="35">
        <f t="shared" si="4"/>
        <v>860</v>
      </c>
      <c r="I76" s="10"/>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8"/>
      <c r="BK76" s="18"/>
      <c r="BL76" s="18"/>
      <c r="BM76" s="18"/>
      <c r="BN76" s="18"/>
      <c r="BO76" s="18"/>
      <c r="BP76" s="18"/>
      <c r="BQ76" s="18"/>
      <c r="BR76" s="18"/>
      <c r="BS76" s="18"/>
      <c r="BT76" s="18"/>
      <c r="BU76" s="18"/>
      <c r="BV76" s="18"/>
      <c r="BW76" s="18"/>
      <c r="BX76" s="18"/>
      <c r="BY76" s="18"/>
      <c r="BZ76" s="18"/>
      <c r="CA76" s="18"/>
      <c r="CB76" s="18"/>
      <c r="CC76" s="18"/>
      <c r="CD76" s="18"/>
      <c r="CE76" s="18"/>
      <c r="CF76" s="18"/>
      <c r="CG76" s="18"/>
      <c r="CH76" s="18"/>
      <c r="CI76" s="18"/>
      <c r="CJ76" s="18"/>
      <c r="CK76" s="18"/>
      <c r="CL76" s="18"/>
      <c r="CM76" s="18"/>
      <c r="CN76" s="18"/>
      <c r="CO76" s="18"/>
      <c r="CP76" s="18"/>
      <c r="CQ76" s="18"/>
      <c r="CR76" s="18"/>
      <c r="CS76" s="18"/>
      <c r="CT76" s="18"/>
      <c r="CU76" s="18"/>
      <c r="CV76" s="18"/>
      <c r="CW76" s="18"/>
      <c r="CX76" s="18"/>
      <c r="CY76" s="18"/>
      <c r="CZ76" s="18"/>
      <c r="DA76" s="18"/>
      <c r="DB76" s="18"/>
      <c r="DC76" s="18"/>
      <c r="DD76" s="18"/>
      <c r="DE76" s="18"/>
      <c r="DF76" s="18"/>
      <c r="DG76" s="18"/>
      <c r="DH76" s="18"/>
      <c r="DI76" s="18"/>
      <c r="DJ76" s="18"/>
      <c r="DK76" s="18"/>
      <c r="DL76" s="18"/>
      <c r="DM76" s="18"/>
      <c r="DN76" s="18"/>
      <c r="DO76" s="18"/>
      <c r="DP76" s="18"/>
      <c r="DQ76" s="18"/>
      <c r="DR76" s="18"/>
      <c r="DS76" s="18"/>
      <c r="DT76" s="18"/>
      <c r="DU76" s="18"/>
      <c r="DV76" s="18"/>
      <c r="DW76" s="18"/>
      <c r="DX76" s="18"/>
      <c r="DY76" s="18"/>
      <c r="DZ76" s="18"/>
      <c r="EA76" s="18"/>
      <c r="EB76" s="18"/>
      <c r="EC76" s="18"/>
      <c r="ED76" s="18"/>
      <c r="EE76" s="18"/>
      <c r="EF76" s="18"/>
      <c r="EG76" s="18"/>
      <c r="EH76" s="18"/>
      <c r="EI76" s="18"/>
      <c r="EJ76" s="18"/>
      <c r="EK76" s="18"/>
      <c r="EL76" s="18"/>
      <c r="EM76" s="18"/>
      <c r="EN76" s="18"/>
      <c r="EO76" s="18"/>
      <c r="EP76" s="18"/>
      <c r="EQ76" s="18"/>
      <c r="ER76" s="18"/>
      <c r="ES76" s="18"/>
      <c r="ET76" s="18"/>
      <c r="EU76" s="18"/>
      <c r="EV76" s="18"/>
      <c r="EW76" s="18"/>
      <c r="EX76" s="18"/>
      <c r="EY76" s="18"/>
      <c r="EZ76" s="18"/>
      <c r="FA76" s="18"/>
      <c r="FB76" s="18"/>
      <c r="FC76" s="18"/>
      <c r="FD76" s="18"/>
      <c r="FE76" s="18"/>
      <c r="FF76" s="18"/>
      <c r="FG76" s="18"/>
      <c r="FH76" s="18"/>
      <c r="FI76" s="18"/>
      <c r="FJ76" s="18"/>
      <c r="FK76" s="18"/>
      <c r="FL76" s="18"/>
      <c r="FM76" s="18"/>
      <c r="FN76" s="18"/>
      <c r="FO76" s="18"/>
      <c r="FP76" s="18"/>
      <c r="FQ76" s="18"/>
      <c r="FR76" s="18"/>
      <c r="FS76" s="18"/>
      <c r="FT76" s="18"/>
      <c r="FU76" s="18"/>
      <c r="FV76" s="18"/>
      <c r="FW76" s="18"/>
      <c r="FX76" s="18"/>
      <c r="FY76" s="18"/>
      <c r="FZ76" s="18"/>
      <c r="GA76" s="18"/>
      <c r="GB76" s="18"/>
      <c r="GC76" s="18"/>
      <c r="GD76" s="18"/>
      <c r="GE76" s="18"/>
      <c r="GF76" s="18"/>
      <c r="GG76" s="18"/>
      <c r="GH76" s="18"/>
      <c r="GI76" s="18"/>
      <c r="GJ76" s="18"/>
      <c r="GK76" s="18"/>
      <c r="GL76" s="18"/>
      <c r="GM76" s="18"/>
      <c r="GN76" s="18"/>
      <c r="GO76" s="18"/>
      <c r="GP76" s="18"/>
      <c r="GQ76" s="18"/>
      <c r="GR76" s="18"/>
      <c r="GS76" s="18"/>
      <c r="GT76" s="18"/>
      <c r="GU76" s="18"/>
      <c r="GV76" s="18"/>
      <c r="GW76" s="18"/>
      <c r="GX76" s="18"/>
      <c r="GY76" s="18"/>
      <c r="GZ76" s="18"/>
      <c r="HA76" s="18"/>
      <c r="HB76" s="18"/>
      <c r="HC76" s="18"/>
      <c r="HD76" s="18"/>
      <c r="HE76" s="18"/>
      <c r="HF76" s="18"/>
      <c r="HG76" s="18"/>
      <c r="HH76" s="18"/>
      <c r="HI76" s="18"/>
      <c r="HJ76" s="18"/>
      <c r="HK76" s="18"/>
      <c r="HL76" s="18"/>
      <c r="HM76" s="18"/>
      <c r="HN76" s="18"/>
      <c r="HO76" s="18"/>
      <c r="HP76" s="18"/>
      <c r="HQ76" s="18"/>
      <c r="HR76" s="18"/>
      <c r="HS76" s="18"/>
      <c r="HT76" s="18"/>
      <c r="HU76" s="18"/>
      <c r="HV76" s="18"/>
      <c r="HW76" s="18"/>
      <c r="HX76" s="18"/>
      <c r="HY76" s="18"/>
      <c r="HZ76" s="18"/>
      <c r="IA76" s="18"/>
      <c r="IB76" s="18"/>
      <c r="IC76" s="18"/>
      <c r="ID76" s="18"/>
      <c r="IE76" s="18"/>
      <c r="IF76" s="18"/>
      <c r="IG76" s="18"/>
      <c r="IH76" s="18"/>
      <c r="II76" s="18"/>
      <c r="IJ76" s="18"/>
      <c r="IK76" s="18"/>
      <c r="IL76" s="18"/>
      <c r="IM76" s="18"/>
      <c r="IN76" s="18"/>
      <c r="IO76" s="18"/>
      <c r="IP76" s="18"/>
      <c r="IQ76" s="18"/>
      <c r="IR76" s="18"/>
    </row>
    <row r="77" s="1" customFormat="1" ht="29.1" customHeight="1" spans="1:252">
      <c r="A77" s="10">
        <v>8</v>
      </c>
      <c r="B77" s="12" t="s">
        <v>1050</v>
      </c>
      <c r="C77" s="50" t="s">
        <v>1051</v>
      </c>
      <c r="D77" s="10" t="s">
        <v>522</v>
      </c>
      <c r="E77" s="11">
        <v>109</v>
      </c>
      <c r="F77" s="11">
        <v>1510</v>
      </c>
      <c r="G77" s="11"/>
      <c r="H77" s="35">
        <f t="shared" si="4"/>
        <v>164590</v>
      </c>
      <c r="I77" s="10"/>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8"/>
      <c r="BK77" s="18"/>
      <c r="BL77" s="18"/>
      <c r="BM77" s="18"/>
      <c r="BN77" s="18"/>
      <c r="BO77" s="18"/>
      <c r="BP77" s="18"/>
      <c r="BQ77" s="18"/>
      <c r="BR77" s="18"/>
      <c r="BS77" s="18"/>
      <c r="BT77" s="18"/>
      <c r="BU77" s="18"/>
      <c r="BV77" s="18"/>
      <c r="BW77" s="18"/>
      <c r="BX77" s="18"/>
      <c r="BY77" s="18"/>
      <c r="BZ77" s="18"/>
      <c r="CA77" s="18"/>
      <c r="CB77" s="18"/>
      <c r="CC77" s="18"/>
      <c r="CD77" s="18"/>
      <c r="CE77" s="18"/>
      <c r="CF77" s="18"/>
      <c r="CG77" s="18"/>
      <c r="CH77" s="18"/>
      <c r="CI77" s="18"/>
      <c r="CJ77" s="18"/>
      <c r="CK77" s="18"/>
      <c r="CL77" s="18"/>
      <c r="CM77" s="18"/>
      <c r="CN77" s="18"/>
      <c r="CO77" s="18"/>
      <c r="CP77" s="18"/>
      <c r="CQ77" s="18"/>
      <c r="CR77" s="18"/>
      <c r="CS77" s="18"/>
      <c r="CT77" s="18"/>
      <c r="CU77" s="18"/>
      <c r="CV77" s="18"/>
      <c r="CW77" s="18"/>
      <c r="CX77" s="18"/>
      <c r="CY77" s="18"/>
      <c r="CZ77" s="18"/>
      <c r="DA77" s="18"/>
      <c r="DB77" s="18"/>
      <c r="DC77" s="18"/>
      <c r="DD77" s="18"/>
      <c r="DE77" s="18"/>
      <c r="DF77" s="18"/>
      <c r="DG77" s="18"/>
      <c r="DH77" s="18"/>
      <c r="DI77" s="18"/>
      <c r="DJ77" s="18"/>
      <c r="DK77" s="18"/>
      <c r="DL77" s="18"/>
      <c r="DM77" s="18"/>
      <c r="DN77" s="18"/>
      <c r="DO77" s="18"/>
      <c r="DP77" s="18"/>
      <c r="DQ77" s="18"/>
      <c r="DR77" s="18"/>
      <c r="DS77" s="18"/>
      <c r="DT77" s="18"/>
      <c r="DU77" s="18"/>
      <c r="DV77" s="18"/>
      <c r="DW77" s="18"/>
      <c r="DX77" s="18"/>
      <c r="DY77" s="18"/>
      <c r="DZ77" s="18"/>
      <c r="EA77" s="18"/>
      <c r="EB77" s="18"/>
      <c r="EC77" s="18"/>
      <c r="ED77" s="18"/>
      <c r="EE77" s="18"/>
      <c r="EF77" s="18"/>
      <c r="EG77" s="18"/>
      <c r="EH77" s="18"/>
      <c r="EI77" s="18"/>
      <c r="EJ77" s="18"/>
      <c r="EK77" s="18"/>
      <c r="EL77" s="18"/>
      <c r="EM77" s="18"/>
      <c r="EN77" s="18"/>
      <c r="EO77" s="18"/>
      <c r="EP77" s="18"/>
      <c r="EQ77" s="18"/>
      <c r="ER77" s="18"/>
      <c r="ES77" s="18"/>
      <c r="ET77" s="18"/>
      <c r="EU77" s="18"/>
      <c r="EV77" s="18"/>
      <c r="EW77" s="18"/>
      <c r="EX77" s="18"/>
      <c r="EY77" s="18"/>
      <c r="EZ77" s="18"/>
      <c r="FA77" s="18"/>
      <c r="FB77" s="18"/>
      <c r="FC77" s="18"/>
      <c r="FD77" s="18"/>
      <c r="FE77" s="18"/>
      <c r="FF77" s="18"/>
      <c r="FG77" s="18"/>
      <c r="FH77" s="18"/>
      <c r="FI77" s="18"/>
      <c r="FJ77" s="18"/>
      <c r="FK77" s="18"/>
      <c r="FL77" s="18"/>
      <c r="FM77" s="18"/>
      <c r="FN77" s="18"/>
      <c r="FO77" s="18"/>
      <c r="FP77" s="18"/>
      <c r="FQ77" s="18"/>
      <c r="FR77" s="18"/>
      <c r="FS77" s="18"/>
      <c r="FT77" s="18"/>
      <c r="FU77" s="18"/>
      <c r="FV77" s="18"/>
      <c r="FW77" s="18"/>
      <c r="FX77" s="18"/>
      <c r="FY77" s="18"/>
      <c r="FZ77" s="18"/>
      <c r="GA77" s="18"/>
      <c r="GB77" s="18"/>
      <c r="GC77" s="18"/>
      <c r="GD77" s="18"/>
      <c r="GE77" s="18"/>
      <c r="GF77" s="18"/>
      <c r="GG77" s="18"/>
      <c r="GH77" s="18"/>
      <c r="GI77" s="18"/>
      <c r="GJ77" s="18"/>
      <c r="GK77" s="18"/>
      <c r="GL77" s="18"/>
      <c r="GM77" s="18"/>
      <c r="GN77" s="18"/>
      <c r="GO77" s="18"/>
      <c r="GP77" s="18"/>
      <c r="GQ77" s="18"/>
      <c r="GR77" s="18"/>
      <c r="GS77" s="18"/>
      <c r="GT77" s="18"/>
      <c r="GU77" s="18"/>
      <c r="GV77" s="18"/>
      <c r="GW77" s="18"/>
      <c r="GX77" s="18"/>
      <c r="GY77" s="18"/>
      <c r="GZ77" s="18"/>
      <c r="HA77" s="18"/>
      <c r="HB77" s="18"/>
      <c r="HC77" s="18"/>
      <c r="HD77" s="18"/>
      <c r="HE77" s="18"/>
      <c r="HF77" s="18"/>
      <c r="HG77" s="18"/>
      <c r="HH77" s="18"/>
      <c r="HI77" s="18"/>
      <c r="HJ77" s="18"/>
      <c r="HK77" s="18"/>
      <c r="HL77" s="18"/>
      <c r="HM77" s="18"/>
      <c r="HN77" s="18"/>
      <c r="HO77" s="18"/>
      <c r="HP77" s="18"/>
      <c r="HQ77" s="18"/>
      <c r="HR77" s="18"/>
      <c r="HS77" s="18"/>
      <c r="HT77" s="18"/>
      <c r="HU77" s="18"/>
      <c r="HV77" s="18"/>
      <c r="HW77" s="18"/>
      <c r="HX77" s="18"/>
      <c r="HY77" s="18"/>
      <c r="HZ77" s="18"/>
      <c r="IA77" s="18"/>
      <c r="IB77" s="18"/>
      <c r="IC77" s="18"/>
      <c r="ID77" s="18"/>
      <c r="IE77" s="18"/>
      <c r="IF77" s="18"/>
      <c r="IG77" s="18"/>
      <c r="IH77" s="18"/>
      <c r="II77" s="18"/>
      <c r="IJ77" s="18"/>
      <c r="IK77" s="18"/>
      <c r="IL77" s="18"/>
      <c r="IM77" s="18"/>
      <c r="IN77" s="18"/>
      <c r="IO77" s="18"/>
      <c r="IP77" s="18"/>
      <c r="IQ77" s="18"/>
      <c r="IR77" s="18"/>
    </row>
    <row r="78" ht="30" customHeight="1" spans="1:10">
      <c r="A78" s="13" t="s">
        <v>973</v>
      </c>
      <c r="B78" s="14"/>
      <c r="C78" s="14"/>
      <c r="D78" s="14"/>
      <c r="E78" s="14"/>
      <c r="F78" s="14"/>
      <c r="G78" s="14"/>
      <c r="H78" s="15">
        <f>SUM(H6:H77)</f>
        <v>695580.326</v>
      </c>
      <c r="I78" s="19"/>
      <c r="J78" s="43"/>
    </row>
    <row r="79" s="1" customFormat="1" ht="72.95" customHeight="1" spans="1:16384">
      <c r="A79" s="16" t="s">
        <v>974</v>
      </c>
      <c r="B79" s="16"/>
      <c r="C79" s="16"/>
      <c r="D79" s="16"/>
      <c r="E79" s="16"/>
      <c r="F79" s="16"/>
      <c r="G79" s="16"/>
      <c r="H79" s="16"/>
      <c r="I79" s="16"/>
      <c r="J79" s="16"/>
      <c r="XFD79"/>
    </row>
  </sheetData>
  <mergeCells count="16">
    <mergeCell ref="A1:J1"/>
    <mergeCell ref="F2:J2"/>
    <mergeCell ref="F3:G3"/>
    <mergeCell ref="B5:C5"/>
    <mergeCell ref="B25:C25"/>
    <mergeCell ref="B45:C45"/>
    <mergeCell ref="A78:G78"/>
    <mergeCell ref="A79:J79"/>
    <mergeCell ref="A2:A4"/>
    <mergeCell ref="B2:B4"/>
    <mergeCell ref="C2:C4"/>
    <mergeCell ref="D2:D4"/>
    <mergeCell ref="E2:E4"/>
    <mergeCell ref="H3:H4"/>
    <mergeCell ref="I3:I4"/>
    <mergeCell ref="J3:J4"/>
  </mergeCells>
  <pageMargins left="0.78740157480315" right="0.196850393700787" top="0.78740157480315" bottom="0.393700787401575" header="0" footer="0"/>
  <pageSetup paperSize="9" scale="73" fitToHeight="0" orientation="portrait"/>
  <headerFooter/>
  <rowBreaks count="1" manualBreakCount="1">
    <brk id="49" max="16383" man="1"/>
  </rowBreak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R23"/>
  <sheetViews>
    <sheetView view="pageBreakPreview" zoomScale="115" zoomScaleNormal="115" workbookViewId="0">
      <selection activeCell="F8" sqref="F8"/>
    </sheetView>
  </sheetViews>
  <sheetFormatPr defaultColWidth="10" defaultRowHeight="15.6"/>
  <cols>
    <col min="1" max="1" width="5.71296296296296" style="1" customWidth="1"/>
    <col min="2" max="2" width="16.287037037037" style="1" customWidth="1"/>
    <col min="3" max="3" width="47.8518518518519" style="1" customWidth="1"/>
    <col min="4" max="4" width="6.71296296296296" style="1" customWidth="1"/>
    <col min="5" max="5" width="9.71296296296296" style="3" customWidth="1"/>
    <col min="6" max="6" width="10.5740740740741" style="3"/>
    <col min="7" max="7" width="10" style="3"/>
    <col min="8" max="8" width="13.0462962962963" style="3" customWidth="1"/>
    <col min="9" max="9" width="17" style="1" customWidth="1"/>
    <col min="10" max="16383" width="10" style="1"/>
  </cols>
  <sheetData>
    <row r="1" s="1" customFormat="1" spans="1:9">
      <c r="A1" s="4" t="s">
        <v>1052</v>
      </c>
      <c r="B1" s="4"/>
      <c r="C1" s="4"/>
      <c r="D1" s="4"/>
      <c r="E1" s="5"/>
      <c r="F1" s="5"/>
      <c r="G1" s="5"/>
      <c r="H1" s="5"/>
      <c r="I1" s="4"/>
    </row>
    <row r="2" s="1" customFormat="1" spans="1:9">
      <c r="A2" s="6"/>
      <c r="B2" s="6"/>
      <c r="C2" s="6"/>
      <c r="D2" s="6"/>
      <c r="E2" s="7"/>
      <c r="F2" s="7"/>
      <c r="G2" s="7"/>
      <c r="H2" s="7"/>
      <c r="I2" s="6"/>
    </row>
    <row r="3" s="1" customFormat="1" ht="27" customHeight="1" spans="1:9">
      <c r="A3" s="8" t="s">
        <v>11</v>
      </c>
      <c r="B3" s="8" t="s">
        <v>24</v>
      </c>
      <c r="C3" s="8" t="s">
        <v>1053</v>
      </c>
      <c r="D3" s="8" t="s">
        <v>633</v>
      </c>
      <c r="E3" s="9" t="s">
        <v>27</v>
      </c>
      <c r="F3" s="9" t="s">
        <v>1054</v>
      </c>
      <c r="G3" s="9"/>
      <c r="H3" s="9" t="s">
        <v>634</v>
      </c>
      <c r="I3" s="8" t="s">
        <v>1055</v>
      </c>
    </row>
    <row r="4" s="1" customFormat="1" spans="1:9">
      <c r="A4" s="8"/>
      <c r="B4" s="8"/>
      <c r="C4" s="8"/>
      <c r="D4" s="8"/>
      <c r="E4" s="9"/>
      <c r="F4" s="9"/>
      <c r="G4" s="9" t="s">
        <v>33</v>
      </c>
      <c r="H4" s="9"/>
      <c r="I4" s="8"/>
    </row>
    <row r="5" s="1" customFormat="1" ht="51" customHeight="1" spans="1:9">
      <c r="A5" s="8" t="s">
        <v>34</v>
      </c>
      <c r="B5" s="8" t="s">
        <v>1056</v>
      </c>
      <c r="C5" s="8"/>
      <c r="D5" s="8"/>
      <c r="E5" s="9"/>
      <c r="F5" s="9"/>
      <c r="G5" s="9"/>
      <c r="H5" s="9"/>
      <c r="I5" s="8"/>
    </row>
    <row r="6" s="1" customFormat="1" ht="42.95" customHeight="1" spans="1:252">
      <c r="A6" s="10">
        <v>1</v>
      </c>
      <c r="B6" s="10" t="s">
        <v>93</v>
      </c>
      <c r="C6" s="10" t="s">
        <v>999</v>
      </c>
      <c r="D6" s="10" t="s">
        <v>46</v>
      </c>
      <c r="E6" s="11">
        <v>8.8</v>
      </c>
      <c r="F6" s="11">
        <v>29.2</v>
      </c>
      <c r="G6" s="11"/>
      <c r="H6" s="11">
        <f>E6*F6</f>
        <v>256.96</v>
      </c>
      <c r="I6" s="10"/>
      <c r="J6" s="18"/>
      <c r="K6" s="18"/>
      <c r="L6" s="18"/>
      <c r="M6" s="18"/>
      <c r="N6" s="18"/>
      <c r="O6" s="18"/>
      <c r="P6" s="18"/>
      <c r="Q6" s="18"/>
      <c r="R6" s="18"/>
      <c r="S6" s="18"/>
      <c r="T6" s="18"/>
      <c r="U6" s="18"/>
      <c r="V6" s="18"/>
      <c r="W6" s="18"/>
      <c r="X6" s="18"/>
      <c r="Y6" s="18"/>
      <c r="Z6" s="18"/>
      <c r="AA6" s="18"/>
      <c r="AB6" s="18"/>
      <c r="AC6" s="18"/>
      <c r="AD6" s="18"/>
      <c r="AE6" s="18"/>
      <c r="AF6" s="18"/>
      <c r="AG6" s="18"/>
      <c r="AH6" s="18"/>
      <c r="AI6" s="18"/>
      <c r="AJ6" s="18"/>
      <c r="AK6" s="18"/>
      <c r="AL6" s="18"/>
      <c r="AM6" s="18"/>
      <c r="AN6" s="18"/>
      <c r="AO6" s="18"/>
      <c r="AP6" s="18"/>
      <c r="AQ6" s="18"/>
      <c r="AR6" s="18"/>
      <c r="AS6" s="18"/>
      <c r="AT6" s="18"/>
      <c r="AU6" s="18"/>
      <c r="AV6" s="18"/>
      <c r="AW6" s="18"/>
      <c r="AX6" s="18"/>
      <c r="AY6" s="18"/>
      <c r="AZ6" s="18"/>
      <c r="BA6" s="18"/>
      <c r="BB6" s="18"/>
      <c r="BC6" s="18"/>
      <c r="BD6" s="18"/>
      <c r="BE6" s="18"/>
      <c r="BF6" s="18"/>
      <c r="BG6" s="18"/>
      <c r="BH6" s="18"/>
      <c r="BI6" s="18"/>
      <c r="BJ6" s="18"/>
      <c r="BK6" s="18"/>
      <c r="BL6" s="18"/>
      <c r="BM6" s="18"/>
      <c r="BN6" s="18"/>
      <c r="BO6" s="18"/>
      <c r="BP6" s="18"/>
      <c r="BQ6" s="18"/>
      <c r="BR6" s="18"/>
      <c r="BS6" s="18"/>
      <c r="BT6" s="18"/>
      <c r="BU6" s="18"/>
      <c r="BV6" s="18"/>
      <c r="BW6" s="18"/>
      <c r="BX6" s="18"/>
      <c r="BY6" s="18"/>
      <c r="BZ6" s="18"/>
      <c r="CA6" s="18"/>
      <c r="CB6" s="18"/>
      <c r="CC6" s="18"/>
      <c r="CD6" s="18"/>
      <c r="CE6" s="18"/>
      <c r="CF6" s="18"/>
      <c r="CG6" s="18"/>
      <c r="CH6" s="18"/>
      <c r="CI6" s="18"/>
      <c r="CJ6" s="18"/>
      <c r="CK6" s="18"/>
      <c r="CL6" s="18"/>
      <c r="CM6" s="18"/>
      <c r="CN6" s="18"/>
      <c r="CO6" s="18"/>
      <c r="CP6" s="18"/>
      <c r="CQ6" s="18"/>
      <c r="CR6" s="18"/>
      <c r="CS6" s="18"/>
      <c r="CT6" s="18"/>
      <c r="CU6" s="18"/>
      <c r="CV6" s="18"/>
      <c r="CW6" s="18"/>
      <c r="CX6" s="18"/>
      <c r="CY6" s="18"/>
      <c r="CZ6" s="18"/>
      <c r="DA6" s="18"/>
      <c r="DB6" s="18"/>
      <c r="DC6" s="18"/>
      <c r="DD6" s="18"/>
      <c r="DE6" s="18"/>
      <c r="DF6" s="18"/>
      <c r="DG6" s="18"/>
      <c r="DH6" s="18"/>
      <c r="DI6" s="18"/>
      <c r="DJ6" s="18"/>
      <c r="DK6" s="18"/>
      <c r="DL6" s="18"/>
      <c r="DM6" s="18"/>
      <c r="DN6" s="18"/>
      <c r="DO6" s="18"/>
      <c r="DP6" s="18"/>
      <c r="DQ6" s="18"/>
      <c r="DR6" s="18"/>
      <c r="DS6" s="18"/>
      <c r="DT6" s="18"/>
      <c r="DU6" s="18"/>
      <c r="DV6" s="18"/>
      <c r="DW6" s="18"/>
      <c r="DX6" s="18"/>
      <c r="DY6" s="18"/>
      <c r="DZ6" s="18"/>
      <c r="EA6" s="18"/>
      <c r="EB6" s="18"/>
      <c r="EC6" s="18"/>
      <c r="ED6" s="18"/>
      <c r="EE6" s="18"/>
      <c r="EF6" s="18"/>
      <c r="EG6" s="18"/>
      <c r="EH6" s="18"/>
      <c r="EI6" s="18"/>
      <c r="EJ6" s="18"/>
      <c r="EK6" s="18"/>
      <c r="EL6" s="18"/>
      <c r="EM6" s="18"/>
      <c r="EN6" s="18"/>
      <c r="EO6" s="18"/>
      <c r="EP6" s="18"/>
      <c r="EQ6" s="18"/>
      <c r="ER6" s="18"/>
      <c r="ES6" s="18"/>
      <c r="ET6" s="18"/>
      <c r="EU6" s="18"/>
      <c r="EV6" s="18"/>
      <c r="EW6" s="18"/>
      <c r="EX6" s="18"/>
      <c r="EY6" s="18"/>
      <c r="EZ6" s="18"/>
      <c r="FA6" s="18"/>
      <c r="FB6" s="18"/>
      <c r="FC6" s="18"/>
      <c r="FD6" s="18"/>
      <c r="FE6" s="18"/>
      <c r="FF6" s="18"/>
      <c r="FG6" s="18"/>
      <c r="FH6" s="18"/>
      <c r="FI6" s="18"/>
      <c r="FJ6" s="18"/>
      <c r="FK6" s="18"/>
      <c r="FL6" s="18"/>
      <c r="FM6" s="18"/>
      <c r="FN6" s="18"/>
      <c r="FO6" s="18"/>
      <c r="FP6" s="18"/>
      <c r="FQ6" s="18"/>
      <c r="FR6" s="18"/>
      <c r="FS6" s="18"/>
      <c r="FT6" s="18"/>
      <c r="FU6" s="18"/>
      <c r="FV6" s="18"/>
      <c r="FW6" s="18"/>
      <c r="FX6" s="18"/>
      <c r="FY6" s="18"/>
      <c r="FZ6" s="18"/>
      <c r="GA6" s="18"/>
      <c r="GB6" s="18"/>
      <c r="GC6" s="18"/>
      <c r="GD6" s="18"/>
      <c r="GE6" s="18"/>
      <c r="GF6" s="18"/>
      <c r="GG6" s="18"/>
      <c r="GH6" s="18"/>
      <c r="GI6" s="18"/>
      <c r="GJ6" s="18"/>
      <c r="GK6" s="18"/>
      <c r="GL6" s="18"/>
      <c r="GM6" s="18"/>
      <c r="GN6" s="18"/>
      <c r="GO6" s="18"/>
      <c r="GP6" s="18"/>
      <c r="GQ6" s="18"/>
      <c r="GR6" s="18"/>
      <c r="GS6" s="18"/>
      <c r="GT6" s="18"/>
      <c r="GU6" s="18"/>
      <c r="GV6" s="18"/>
      <c r="GW6" s="18"/>
      <c r="GX6" s="18"/>
      <c r="GY6" s="18"/>
      <c r="GZ6" s="18"/>
      <c r="HA6" s="18"/>
      <c r="HB6" s="18"/>
      <c r="HC6" s="18"/>
      <c r="HD6" s="18"/>
      <c r="HE6" s="18"/>
      <c r="HF6" s="18"/>
      <c r="HG6" s="18"/>
      <c r="HH6" s="18"/>
      <c r="HI6" s="18"/>
      <c r="HJ6" s="18"/>
      <c r="HK6" s="18"/>
      <c r="HL6" s="18"/>
      <c r="HM6" s="18"/>
      <c r="HN6" s="18"/>
      <c r="HO6" s="18"/>
      <c r="HP6" s="18"/>
      <c r="HQ6" s="18"/>
      <c r="HR6" s="18"/>
      <c r="HS6" s="18"/>
      <c r="HT6" s="18"/>
      <c r="HU6" s="18"/>
      <c r="HV6" s="18"/>
      <c r="HW6" s="18"/>
      <c r="HX6" s="18"/>
      <c r="HY6" s="18"/>
      <c r="HZ6" s="18"/>
      <c r="IA6" s="18"/>
      <c r="IB6" s="18"/>
      <c r="IC6" s="18"/>
      <c r="ID6" s="18"/>
      <c r="IE6" s="18"/>
      <c r="IF6" s="18"/>
      <c r="IG6" s="18"/>
      <c r="IH6" s="18"/>
      <c r="II6" s="18"/>
      <c r="IJ6" s="18"/>
      <c r="IK6" s="18"/>
      <c r="IL6" s="18"/>
      <c r="IM6" s="18"/>
      <c r="IN6" s="18"/>
      <c r="IO6" s="18"/>
      <c r="IP6" s="18"/>
      <c r="IQ6" s="18"/>
      <c r="IR6" s="18"/>
    </row>
    <row r="7" s="1" customFormat="1" ht="42" customHeight="1" spans="1:252">
      <c r="A7" s="10">
        <v>2</v>
      </c>
      <c r="B7" s="10" t="s">
        <v>1039</v>
      </c>
      <c r="C7" s="10" t="s">
        <v>1000</v>
      </c>
      <c r="D7" s="10" t="s">
        <v>46</v>
      </c>
      <c r="E7" s="11">
        <v>8.8</v>
      </c>
      <c r="F7" s="11">
        <v>17.28</v>
      </c>
      <c r="G7" s="11"/>
      <c r="H7" s="11">
        <f>E7*F7</f>
        <v>152.064</v>
      </c>
      <c r="I7" s="10"/>
      <c r="J7" s="18"/>
      <c r="K7" s="18"/>
      <c r="L7" s="18"/>
      <c r="M7" s="18"/>
      <c r="N7" s="18"/>
      <c r="O7" s="18"/>
      <c r="P7" s="18"/>
      <c r="Q7" s="18"/>
      <c r="R7" s="18"/>
      <c r="S7" s="18"/>
      <c r="T7" s="18"/>
      <c r="U7" s="18"/>
      <c r="V7" s="18"/>
      <c r="W7" s="18"/>
      <c r="X7" s="18"/>
      <c r="Y7" s="18"/>
      <c r="Z7" s="18"/>
      <c r="AA7" s="18"/>
      <c r="AB7" s="18"/>
      <c r="AC7" s="18"/>
      <c r="AD7" s="18"/>
      <c r="AE7" s="18"/>
      <c r="AF7" s="18"/>
      <c r="AG7" s="18"/>
      <c r="AH7" s="18"/>
      <c r="AI7" s="18"/>
      <c r="AJ7" s="18"/>
      <c r="AK7" s="18"/>
      <c r="AL7" s="18"/>
      <c r="AM7" s="18"/>
      <c r="AN7" s="18"/>
      <c r="AO7" s="18"/>
      <c r="AP7" s="18"/>
      <c r="AQ7" s="18"/>
      <c r="AR7" s="18"/>
      <c r="AS7" s="18"/>
      <c r="AT7" s="18"/>
      <c r="AU7" s="18"/>
      <c r="AV7" s="18"/>
      <c r="AW7" s="18"/>
      <c r="AX7" s="18"/>
      <c r="AY7" s="18"/>
      <c r="AZ7" s="18"/>
      <c r="BA7" s="18"/>
      <c r="BB7" s="18"/>
      <c r="BC7" s="18"/>
      <c r="BD7" s="18"/>
      <c r="BE7" s="18"/>
      <c r="BF7" s="18"/>
      <c r="BG7" s="18"/>
      <c r="BH7" s="18"/>
      <c r="BI7" s="18"/>
      <c r="BJ7" s="18"/>
      <c r="BK7" s="18"/>
      <c r="BL7" s="18"/>
      <c r="BM7" s="18"/>
      <c r="BN7" s="18"/>
      <c r="BO7" s="18"/>
      <c r="BP7" s="18"/>
      <c r="BQ7" s="18"/>
      <c r="BR7" s="18"/>
      <c r="BS7" s="18"/>
      <c r="BT7" s="18"/>
      <c r="BU7" s="18"/>
      <c r="BV7" s="18"/>
      <c r="BW7" s="18"/>
      <c r="BX7" s="18"/>
      <c r="BY7" s="18"/>
      <c r="BZ7" s="18"/>
      <c r="CA7" s="18"/>
      <c r="CB7" s="18"/>
      <c r="CC7" s="18"/>
      <c r="CD7" s="18"/>
      <c r="CE7" s="18"/>
      <c r="CF7" s="18"/>
      <c r="CG7" s="18"/>
      <c r="CH7" s="18"/>
      <c r="CI7" s="18"/>
      <c r="CJ7" s="18"/>
      <c r="CK7" s="18"/>
      <c r="CL7" s="18"/>
      <c r="CM7" s="18"/>
      <c r="CN7" s="18"/>
      <c r="CO7" s="18"/>
      <c r="CP7" s="18"/>
      <c r="CQ7" s="18"/>
      <c r="CR7" s="18"/>
      <c r="CS7" s="18"/>
      <c r="CT7" s="18"/>
      <c r="CU7" s="18"/>
      <c r="CV7" s="18"/>
      <c r="CW7" s="18"/>
      <c r="CX7" s="18"/>
      <c r="CY7" s="18"/>
      <c r="CZ7" s="18"/>
      <c r="DA7" s="18"/>
      <c r="DB7" s="18"/>
      <c r="DC7" s="18"/>
      <c r="DD7" s="18"/>
      <c r="DE7" s="18"/>
      <c r="DF7" s="18"/>
      <c r="DG7" s="18"/>
      <c r="DH7" s="18"/>
      <c r="DI7" s="18"/>
      <c r="DJ7" s="18"/>
      <c r="DK7" s="18"/>
      <c r="DL7" s="18"/>
      <c r="DM7" s="18"/>
      <c r="DN7" s="18"/>
      <c r="DO7" s="18"/>
      <c r="DP7" s="18"/>
      <c r="DQ7" s="18"/>
      <c r="DR7" s="18"/>
      <c r="DS7" s="18"/>
      <c r="DT7" s="18"/>
      <c r="DU7" s="18"/>
      <c r="DV7" s="18"/>
      <c r="DW7" s="18"/>
      <c r="DX7" s="18"/>
      <c r="DY7" s="18"/>
      <c r="DZ7" s="18"/>
      <c r="EA7" s="18"/>
      <c r="EB7" s="18"/>
      <c r="EC7" s="18"/>
      <c r="ED7" s="18"/>
      <c r="EE7" s="18"/>
      <c r="EF7" s="18"/>
      <c r="EG7" s="18"/>
      <c r="EH7" s="18"/>
      <c r="EI7" s="18"/>
      <c r="EJ7" s="18"/>
      <c r="EK7" s="18"/>
      <c r="EL7" s="18"/>
      <c r="EM7" s="18"/>
      <c r="EN7" s="18"/>
      <c r="EO7" s="18"/>
      <c r="EP7" s="18"/>
      <c r="EQ7" s="18"/>
      <c r="ER7" s="18"/>
      <c r="ES7" s="18"/>
      <c r="ET7" s="18"/>
      <c r="EU7" s="18"/>
      <c r="EV7" s="18"/>
      <c r="EW7" s="18"/>
      <c r="EX7" s="18"/>
      <c r="EY7" s="18"/>
      <c r="EZ7" s="18"/>
      <c r="FA7" s="18"/>
      <c r="FB7" s="18"/>
      <c r="FC7" s="18"/>
      <c r="FD7" s="18"/>
      <c r="FE7" s="18"/>
      <c r="FF7" s="18"/>
      <c r="FG7" s="18"/>
      <c r="FH7" s="18"/>
      <c r="FI7" s="18"/>
      <c r="FJ7" s="18"/>
      <c r="FK7" s="18"/>
      <c r="FL7" s="18"/>
      <c r="FM7" s="18"/>
      <c r="FN7" s="18"/>
      <c r="FO7" s="18"/>
      <c r="FP7" s="18"/>
      <c r="FQ7" s="18"/>
      <c r="FR7" s="18"/>
      <c r="FS7" s="18"/>
      <c r="FT7" s="18"/>
      <c r="FU7" s="18"/>
      <c r="FV7" s="18"/>
      <c r="FW7" s="18"/>
      <c r="FX7" s="18"/>
      <c r="FY7" s="18"/>
      <c r="FZ7" s="18"/>
      <c r="GA7" s="18"/>
      <c r="GB7" s="18"/>
      <c r="GC7" s="18"/>
      <c r="GD7" s="18"/>
      <c r="GE7" s="18"/>
      <c r="GF7" s="18"/>
      <c r="GG7" s="18"/>
      <c r="GH7" s="18"/>
      <c r="GI7" s="18"/>
      <c r="GJ7" s="18"/>
      <c r="GK7" s="18"/>
      <c r="GL7" s="18"/>
      <c r="GM7" s="18"/>
      <c r="GN7" s="18"/>
      <c r="GO7" s="18"/>
      <c r="GP7" s="18"/>
      <c r="GQ7" s="18"/>
      <c r="GR7" s="18"/>
      <c r="GS7" s="18"/>
      <c r="GT7" s="18"/>
      <c r="GU7" s="18"/>
      <c r="GV7" s="18"/>
      <c r="GW7" s="18"/>
      <c r="GX7" s="18"/>
      <c r="GY7" s="18"/>
      <c r="GZ7" s="18"/>
      <c r="HA7" s="18"/>
      <c r="HB7" s="18"/>
      <c r="HC7" s="18"/>
      <c r="HD7" s="18"/>
      <c r="HE7" s="18"/>
      <c r="HF7" s="18"/>
      <c r="HG7" s="18"/>
      <c r="HH7" s="18"/>
      <c r="HI7" s="18"/>
      <c r="HJ7" s="18"/>
      <c r="HK7" s="18"/>
      <c r="HL7" s="18"/>
      <c r="HM7" s="18"/>
      <c r="HN7" s="18"/>
      <c r="HO7" s="18"/>
      <c r="HP7" s="18"/>
      <c r="HQ7" s="18"/>
      <c r="HR7" s="18"/>
      <c r="HS7" s="18"/>
      <c r="HT7" s="18"/>
      <c r="HU7" s="18"/>
      <c r="HV7" s="18"/>
      <c r="HW7" s="18"/>
      <c r="HX7" s="18"/>
      <c r="HY7" s="18"/>
      <c r="HZ7" s="18"/>
      <c r="IA7" s="18"/>
      <c r="IB7" s="18"/>
      <c r="IC7" s="18"/>
      <c r="ID7" s="18"/>
      <c r="IE7" s="18"/>
      <c r="IF7" s="18"/>
      <c r="IG7" s="18"/>
      <c r="IH7" s="18"/>
      <c r="II7" s="18"/>
      <c r="IJ7" s="18"/>
      <c r="IK7" s="18"/>
      <c r="IL7" s="18"/>
      <c r="IM7" s="18"/>
      <c r="IN7" s="18"/>
      <c r="IO7" s="18"/>
      <c r="IP7" s="18"/>
      <c r="IQ7" s="18"/>
      <c r="IR7" s="18"/>
    </row>
    <row r="8" s="1" customFormat="1" ht="75" customHeight="1" spans="1:252">
      <c r="A8" s="10">
        <v>3</v>
      </c>
      <c r="B8" s="10" t="s">
        <v>1057</v>
      </c>
      <c r="C8" s="10" t="s">
        <v>1058</v>
      </c>
      <c r="D8" s="10" t="s">
        <v>81</v>
      </c>
      <c r="E8" s="11">
        <v>244.67</v>
      </c>
      <c r="F8" s="11">
        <v>72.4</v>
      </c>
      <c r="G8" s="11">
        <v>29</v>
      </c>
      <c r="H8" s="11">
        <f>E8*F8</f>
        <v>17714.108</v>
      </c>
      <c r="I8" s="10"/>
      <c r="J8" s="18"/>
      <c r="K8" s="18"/>
      <c r="L8" s="18"/>
      <c r="M8" s="18"/>
      <c r="N8" s="18"/>
      <c r="O8" s="18"/>
      <c r="P8" s="18"/>
      <c r="Q8" s="18"/>
      <c r="R8" s="18"/>
      <c r="S8" s="18"/>
      <c r="T8" s="18"/>
      <c r="U8" s="18"/>
      <c r="V8" s="18"/>
      <c r="W8" s="18"/>
      <c r="X8" s="18"/>
      <c r="Y8" s="18"/>
      <c r="Z8" s="18"/>
      <c r="AA8" s="18"/>
      <c r="AB8" s="18"/>
      <c r="AC8" s="18"/>
      <c r="AD8" s="18"/>
      <c r="AE8" s="18"/>
      <c r="AF8" s="18"/>
      <c r="AG8" s="18"/>
      <c r="AH8" s="18"/>
      <c r="AI8" s="18"/>
      <c r="AJ8" s="18"/>
      <c r="AK8" s="18"/>
      <c r="AL8" s="18"/>
      <c r="AM8" s="18"/>
      <c r="AN8" s="18"/>
      <c r="AO8" s="18"/>
      <c r="AP8" s="18"/>
      <c r="AQ8" s="18"/>
      <c r="AR8" s="18"/>
      <c r="AS8" s="18"/>
      <c r="AT8" s="18"/>
      <c r="AU8" s="18"/>
      <c r="AV8" s="18"/>
      <c r="AW8" s="18"/>
      <c r="AX8" s="18"/>
      <c r="AY8" s="18"/>
      <c r="AZ8" s="18"/>
      <c r="BA8" s="18"/>
      <c r="BB8" s="18"/>
      <c r="BC8" s="18"/>
      <c r="BD8" s="18"/>
      <c r="BE8" s="18"/>
      <c r="BF8" s="18"/>
      <c r="BG8" s="18"/>
      <c r="BH8" s="18"/>
      <c r="BI8" s="18"/>
      <c r="BJ8" s="18"/>
      <c r="BK8" s="18"/>
      <c r="BL8" s="18"/>
      <c r="BM8" s="18"/>
      <c r="BN8" s="18"/>
      <c r="BO8" s="18"/>
      <c r="BP8" s="18"/>
      <c r="BQ8" s="18"/>
      <c r="BR8" s="18"/>
      <c r="BS8" s="18"/>
      <c r="BT8" s="18"/>
      <c r="BU8" s="18"/>
      <c r="BV8" s="18"/>
      <c r="BW8" s="18"/>
      <c r="BX8" s="18"/>
      <c r="BY8" s="18"/>
      <c r="BZ8" s="18"/>
      <c r="CA8" s="18"/>
      <c r="CB8" s="18"/>
      <c r="CC8" s="18"/>
      <c r="CD8" s="18"/>
      <c r="CE8" s="18"/>
      <c r="CF8" s="18"/>
      <c r="CG8" s="18"/>
      <c r="CH8" s="18"/>
      <c r="CI8" s="18"/>
      <c r="CJ8" s="18"/>
      <c r="CK8" s="18"/>
      <c r="CL8" s="18"/>
      <c r="CM8" s="18"/>
      <c r="CN8" s="18"/>
      <c r="CO8" s="18"/>
      <c r="CP8" s="18"/>
      <c r="CQ8" s="18"/>
      <c r="CR8" s="18"/>
      <c r="CS8" s="18"/>
      <c r="CT8" s="18"/>
      <c r="CU8" s="18"/>
      <c r="CV8" s="18"/>
      <c r="CW8" s="18"/>
      <c r="CX8" s="18"/>
      <c r="CY8" s="18"/>
      <c r="CZ8" s="18"/>
      <c r="DA8" s="18"/>
      <c r="DB8" s="18"/>
      <c r="DC8" s="18"/>
      <c r="DD8" s="18"/>
      <c r="DE8" s="18"/>
      <c r="DF8" s="18"/>
      <c r="DG8" s="18"/>
      <c r="DH8" s="18"/>
      <c r="DI8" s="18"/>
      <c r="DJ8" s="18"/>
      <c r="DK8" s="18"/>
      <c r="DL8" s="18"/>
      <c r="DM8" s="18"/>
      <c r="DN8" s="18"/>
      <c r="DO8" s="18"/>
      <c r="DP8" s="18"/>
      <c r="DQ8" s="18"/>
      <c r="DR8" s="18"/>
      <c r="DS8" s="18"/>
      <c r="DT8" s="18"/>
      <c r="DU8" s="18"/>
      <c r="DV8" s="18"/>
      <c r="DW8" s="18"/>
      <c r="DX8" s="18"/>
      <c r="DY8" s="18"/>
      <c r="DZ8" s="18"/>
      <c r="EA8" s="18"/>
      <c r="EB8" s="18"/>
      <c r="EC8" s="18"/>
      <c r="ED8" s="18"/>
      <c r="EE8" s="18"/>
      <c r="EF8" s="18"/>
      <c r="EG8" s="18"/>
      <c r="EH8" s="18"/>
      <c r="EI8" s="18"/>
      <c r="EJ8" s="18"/>
      <c r="EK8" s="18"/>
      <c r="EL8" s="18"/>
      <c r="EM8" s="18"/>
      <c r="EN8" s="18"/>
      <c r="EO8" s="18"/>
      <c r="EP8" s="18"/>
      <c r="EQ8" s="18"/>
      <c r="ER8" s="18"/>
      <c r="ES8" s="18"/>
      <c r="ET8" s="18"/>
      <c r="EU8" s="18"/>
      <c r="EV8" s="18"/>
      <c r="EW8" s="18"/>
      <c r="EX8" s="18"/>
      <c r="EY8" s="18"/>
      <c r="EZ8" s="18"/>
      <c r="FA8" s="18"/>
      <c r="FB8" s="18"/>
      <c r="FC8" s="18"/>
      <c r="FD8" s="18"/>
      <c r="FE8" s="18"/>
      <c r="FF8" s="18"/>
      <c r="FG8" s="18"/>
      <c r="FH8" s="18"/>
      <c r="FI8" s="18"/>
      <c r="FJ8" s="18"/>
      <c r="FK8" s="18"/>
      <c r="FL8" s="18"/>
      <c r="FM8" s="18"/>
      <c r="FN8" s="18"/>
      <c r="FO8" s="18"/>
      <c r="FP8" s="18"/>
      <c r="FQ8" s="18"/>
      <c r="FR8" s="18"/>
      <c r="FS8" s="18"/>
      <c r="FT8" s="18"/>
      <c r="FU8" s="18"/>
      <c r="FV8" s="18"/>
      <c r="FW8" s="18"/>
      <c r="FX8" s="18"/>
      <c r="FY8" s="18"/>
      <c r="FZ8" s="18"/>
      <c r="GA8" s="18"/>
      <c r="GB8" s="18"/>
      <c r="GC8" s="18"/>
      <c r="GD8" s="18"/>
      <c r="GE8" s="18"/>
      <c r="GF8" s="18"/>
      <c r="GG8" s="18"/>
      <c r="GH8" s="18"/>
      <c r="GI8" s="18"/>
      <c r="GJ8" s="18"/>
      <c r="GK8" s="18"/>
      <c r="GL8" s="18"/>
      <c r="GM8" s="18"/>
      <c r="GN8" s="18"/>
      <c r="GO8" s="18"/>
      <c r="GP8" s="18"/>
      <c r="GQ8" s="18"/>
      <c r="GR8" s="18"/>
      <c r="GS8" s="18"/>
      <c r="GT8" s="18"/>
      <c r="GU8" s="18"/>
      <c r="GV8" s="18"/>
      <c r="GW8" s="18"/>
      <c r="GX8" s="18"/>
      <c r="GY8" s="18"/>
      <c r="GZ8" s="18"/>
      <c r="HA8" s="18"/>
      <c r="HB8" s="18"/>
      <c r="HC8" s="18"/>
      <c r="HD8" s="18"/>
      <c r="HE8" s="18"/>
      <c r="HF8" s="18"/>
      <c r="HG8" s="18"/>
      <c r="HH8" s="18"/>
      <c r="HI8" s="18"/>
      <c r="HJ8" s="18"/>
      <c r="HK8" s="18"/>
      <c r="HL8" s="18"/>
      <c r="HM8" s="18"/>
      <c r="HN8" s="18"/>
      <c r="HO8" s="18"/>
      <c r="HP8" s="18"/>
      <c r="HQ8" s="18"/>
      <c r="HR8" s="18"/>
      <c r="HS8" s="18"/>
      <c r="HT8" s="18"/>
      <c r="HU8" s="18"/>
      <c r="HV8" s="18"/>
      <c r="HW8" s="18"/>
      <c r="HX8" s="18"/>
      <c r="HY8" s="18"/>
      <c r="HZ8" s="18"/>
      <c r="IA8" s="18"/>
      <c r="IB8" s="18"/>
      <c r="IC8" s="18"/>
      <c r="ID8" s="18"/>
      <c r="IE8" s="18"/>
      <c r="IF8" s="18"/>
      <c r="IG8" s="18"/>
      <c r="IH8" s="18"/>
      <c r="II8" s="18"/>
      <c r="IJ8" s="18"/>
      <c r="IK8" s="18"/>
      <c r="IL8" s="18"/>
      <c r="IM8" s="18"/>
      <c r="IN8" s="18"/>
      <c r="IO8" s="18"/>
      <c r="IP8" s="18"/>
      <c r="IQ8" s="18"/>
      <c r="IR8" s="18"/>
    </row>
    <row r="9" s="1" customFormat="1" ht="75" customHeight="1" spans="1:9">
      <c r="A9" s="10">
        <v>4</v>
      </c>
      <c r="B9" s="12" t="s">
        <v>1059</v>
      </c>
      <c r="C9" s="12" t="s">
        <v>1060</v>
      </c>
      <c r="D9" s="12" t="s">
        <v>522</v>
      </c>
      <c r="E9" s="11">
        <v>192</v>
      </c>
      <c r="F9" s="11">
        <v>156</v>
      </c>
      <c r="G9" s="11">
        <v>48</v>
      </c>
      <c r="H9" s="11">
        <f>E9*F9</f>
        <v>29952</v>
      </c>
      <c r="I9" s="10"/>
    </row>
    <row r="10" s="1" customFormat="1" ht="75" customHeight="1" spans="1:252">
      <c r="A10" s="10">
        <v>5</v>
      </c>
      <c r="B10" s="12" t="s">
        <v>1061</v>
      </c>
      <c r="C10" s="10" t="s">
        <v>1062</v>
      </c>
      <c r="D10" s="12" t="s">
        <v>913</v>
      </c>
      <c r="E10" s="11">
        <v>1</v>
      </c>
      <c r="F10" s="11">
        <v>100000</v>
      </c>
      <c r="G10" s="11">
        <v>24800</v>
      </c>
      <c r="H10" s="11">
        <f>E10*F10</f>
        <v>100000</v>
      </c>
      <c r="I10" s="10"/>
      <c r="J10" s="18"/>
      <c r="K10" s="18"/>
      <c r="L10" s="18"/>
      <c r="M10" s="18"/>
      <c r="N10" s="18"/>
      <c r="O10" s="18"/>
      <c r="P10" s="18"/>
      <c r="Q10" s="18"/>
      <c r="R10" s="18"/>
      <c r="S10" s="18"/>
      <c r="T10" s="18"/>
      <c r="U10" s="18"/>
      <c r="V10" s="18"/>
      <c r="W10" s="18"/>
      <c r="X10" s="18"/>
      <c r="Y10" s="18"/>
      <c r="Z10" s="18"/>
      <c r="AA10" s="18"/>
      <c r="AB10" s="18"/>
      <c r="AC10" s="18"/>
      <c r="AD10" s="18"/>
      <c r="AE10" s="18"/>
      <c r="AF10" s="18"/>
      <c r="AG10" s="18"/>
      <c r="AH10" s="18"/>
      <c r="AI10" s="18"/>
      <c r="AJ10" s="18"/>
      <c r="AK10" s="18"/>
      <c r="AL10" s="18"/>
      <c r="AM10" s="18"/>
      <c r="AN10" s="18"/>
      <c r="AO10" s="18"/>
      <c r="AP10" s="18"/>
      <c r="AQ10" s="18"/>
      <c r="AR10" s="18"/>
      <c r="AS10" s="18"/>
      <c r="AT10" s="18"/>
      <c r="AU10" s="18"/>
      <c r="AV10" s="18"/>
      <c r="AW10" s="18"/>
      <c r="AX10" s="18"/>
      <c r="AY10" s="18"/>
      <c r="AZ10" s="18"/>
      <c r="BA10" s="18"/>
      <c r="BB10" s="18"/>
      <c r="BC10" s="18"/>
      <c r="BD10" s="18"/>
      <c r="BE10" s="18"/>
      <c r="BF10" s="18"/>
      <c r="BG10" s="18"/>
      <c r="BH10" s="18"/>
      <c r="BI10" s="18"/>
      <c r="BJ10" s="18"/>
      <c r="BK10" s="18"/>
      <c r="BL10" s="18"/>
      <c r="BM10" s="18"/>
      <c r="BN10" s="18"/>
      <c r="BO10" s="18"/>
      <c r="BP10" s="18"/>
      <c r="BQ10" s="18"/>
      <c r="BR10" s="18"/>
      <c r="BS10" s="18"/>
      <c r="BT10" s="18"/>
      <c r="BU10" s="18"/>
      <c r="BV10" s="18"/>
      <c r="BW10" s="18"/>
      <c r="BX10" s="18"/>
      <c r="BY10" s="18"/>
      <c r="BZ10" s="18"/>
      <c r="CA10" s="18"/>
      <c r="CB10" s="18"/>
      <c r="CC10" s="18"/>
      <c r="CD10" s="18"/>
      <c r="CE10" s="18"/>
      <c r="CF10" s="18"/>
      <c r="CG10" s="18"/>
      <c r="CH10" s="18"/>
      <c r="CI10" s="18"/>
      <c r="CJ10" s="18"/>
      <c r="CK10" s="18"/>
      <c r="CL10" s="18"/>
      <c r="CM10" s="18"/>
      <c r="CN10" s="18"/>
      <c r="CO10" s="18"/>
      <c r="CP10" s="18"/>
      <c r="CQ10" s="18"/>
      <c r="CR10" s="18"/>
      <c r="CS10" s="18"/>
      <c r="CT10" s="18"/>
      <c r="CU10" s="18"/>
      <c r="CV10" s="18"/>
      <c r="CW10" s="18"/>
      <c r="CX10" s="18"/>
      <c r="CY10" s="18"/>
      <c r="CZ10" s="18"/>
      <c r="DA10" s="18"/>
      <c r="DB10" s="18"/>
      <c r="DC10" s="18"/>
      <c r="DD10" s="18"/>
      <c r="DE10" s="18"/>
      <c r="DF10" s="18"/>
      <c r="DG10" s="18"/>
      <c r="DH10" s="18"/>
      <c r="DI10" s="18"/>
      <c r="DJ10" s="18"/>
      <c r="DK10" s="18"/>
      <c r="DL10" s="18"/>
      <c r="DM10" s="18"/>
      <c r="DN10" s="18"/>
      <c r="DO10" s="18"/>
      <c r="DP10" s="18"/>
      <c r="DQ10" s="18"/>
      <c r="DR10" s="18"/>
      <c r="DS10" s="18"/>
      <c r="DT10" s="18"/>
      <c r="DU10" s="18"/>
      <c r="DV10" s="18"/>
      <c r="DW10" s="18"/>
      <c r="DX10" s="18"/>
      <c r="DY10" s="18"/>
      <c r="DZ10" s="18"/>
      <c r="EA10" s="18"/>
      <c r="EB10" s="18"/>
      <c r="EC10" s="18"/>
      <c r="ED10" s="18"/>
      <c r="EE10" s="18"/>
      <c r="EF10" s="18"/>
      <c r="EG10" s="18"/>
      <c r="EH10" s="18"/>
      <c r="EI10" s="18"/>
      <c r="EJ10" s="18"/>
      <c r="EK10" s="18"/>
      <c r="EL10" s="18"/>
      <c r="EM10" s="18"/>
      <c r="EN10" s="18"/>
      <c r="EO10" s="18"/>
      <c r="EP10" s="18"/>
      <c r="EQ10" s="18"/>
      <c r="ER10" s="18"/>
      <c r="ES10" s="18"/>
      <c r="ET10" s="18"/>
      <c r="EU10" s="18"/>
      <c r="EV10" s="18"/>
      <c r="EW10" s="18"/>
      <c r="EX10" s="18"/>
      <c r="EY10" s="18"/>
      <c r="EZ10" s="18"/>
      <c r="FA10" s="18"/>
      <c r="FB10" s="18"/>
      <c r="FC10" s="18"/>
      <c r="FD10" s="18"/>
      <c r="FE10" s="18"/>
      <c r="FF10" s="18"/>
      <c r="FG10" s="18"/>
      <c r="FH10" s="18"/>
      <c r="FI10" s="18"/>
      <c r="FJ10" s="18"/>
      <c r="FK10" s="18"/>
      <c r="FL10" s="18"/>
      <c r="FM10" s="18"/>
      <c r="FN10" s="18"/>
      <c r="FO10" s="18"/>
      <c r="FP10" s="18"/>
      <c r="FQ10" s="18"/>
      <c r="FR10" s="18"/>
      <c r="FS10" s="18"/>
      <c r="FT10" s="18"/>
      <c r="FU10" s="18"/>
      <c r="FV10" s="18"/>
      <c r="FW10" s="18"/>
      <c r="FX10" s="18"/>
      <c r="FY10" s="18"/>
      <c r="FZ10" s="18"/>
      <c r="GA10" s="18"/>
      <c r="GB10" s="18"/>
      <c r="GC10" s="18"/>
      <c r="GD10" s="18"/>
      <c r="GE10" s="18"/>
      <c r="GF10" s="18"/>
      <c r="GG10" s="18"/>
      <c r="GH10" s="18"/>
      <c r="GI10" s="18"/>
      <c r="GJ10" s="18"/>
      <c r="GK10" s="18"/>
      <c r="GL10" s="18"/>
      <c r="GM10" s="18"/>
      <c r="GN10" s="18"/>
      <c r="GO10" s="18"/>
      <c r="GP10" s="18"/>
      <c r="GQ10" s="18"/>
      <c r="GR10" s="18"/>
      <c r="GS10" s="18"/>
      <c r="GT10" s="18"/>
      <c r="GU10" s="18"/>
      <c r="GV10" s="18"/>
      <c r="GW10" s="18"/>
      <c r="GX10" s="18"/>
      <c r="GY10" s="18"/>
      <c r="GZ10" s="18"/>
      <c r="HA10" s="18"/>
      <c r="HB10" s="18"/>
      <c r="HC10" s="18"/>
      <c r="HD10" s="18"/>
      <c r="HE10" s="18"/>
      <c r="HF10" s="18"/>
      <c r="HG10" s="18"/>
      <c r="HH10" s="18"/>
      <c r="HI10" s="18"/>
      <c r="HJ10" s="18"/>
      <c r="HK10" s="18"/>
      <c r="HL10" s="18"/>
      <c r="HM10" s="18"/>
      <c r="HN10" s="18"/>
      <c r="HO10" s="18"/>
      <c r="HP10" s="18"/>
      <c r="HQ10" s="18"/>
      <c r="HR10" s="18"/>
      <c r="HS10" s="18"/>
      <c r="HT10" s="18"/>
      <c r="HU10" s="18"/>
      <c r="HV10" s="18"/>
      <c r="HW10" s="18"/>
      <c r="HX10" s="18"/>
      <c r="HY10" s="18"/>
      <c r="HZ10" s="18"/>
      <c r="IA10" s="18"/>
      <c r="IB10" s="18"/>
      <c r="IC10" s="18"/>
      <c r="ID10" s="18"/>
      <c r="IE10" s="18"/>
      <c r="IF10" s="18"/>
      <c r="IG10" s="18"/>
      <c r="IH10" s="18"/>
      <c r="II10" s="18"/>
      <c r="IJ10" s="18"/>
      <c r="IK10" s="18"/>
      <c r="IL10" s="18"/>
      <c r="IM10" s="18"/>
      <c r="IN10" s="18"/>
      <c r="IO10" s="18"/>
      <c r="IP10" s="18"/>
      <c r="IQ10" s="18"/>
      <c r="IR10" s="18"/>
    </row>
    <row r="11" s="2" customFormat="1" ht="75" customHeight="1" spans="1:9">
      <c r="A11" s="13" t="s">
        <v>973</v>
      </c>
      <c r="B11" s="14"/>
      <c r="C11" s="14"/>
      <c r="D11" s="14"/>
      <c r="E11" s="14"/>
      <c r="F11" s="14"/>
      <c r="G11" s="14"/>
      <c r="H11" s="15">
        <f>SUM(H6:H10)</f>
        <v>148075.132</v>
      </c>
      <c r="I11" s="19"/>
    </row>
    <row r="12" ht="72.95" customHeight="1" spans="1:9">
      <c r="A12" s="16" t="s">
        <v>974</v>
      </c>
      <c r="B12" s="16"/>
      <c r="C12" s="16"/>
      <c r="D12" s="16"/>
      <c r="E12" s="16"/>
      <c r="F12" s="16"/>
      <c r="G12" s="16"/>
      <c r="H12" s="16"/>
      <c r="I12" s="16"/>
    </row>
    <row r="13" spans="8:8">
      <c r="H13" s="17"/>
    </row>
    <row r="14" spans="8:8">
      <c r="H14" s="17"/>
    </row>
    <row r="15" spans="8:8">
      <c r="H15" s="17"/>
    </row>
    <row r="16" spans="8:8">
      <c r="H16" s="17"/>
    </row>
    <row r="17" spans="8:8">
      <c r="H17" s="17"/>
    </row>
    <row r="18" spans="8:8">
      <c r="H18" s="17"/>
    </row>
    <row r="19" spans="8:8">
      <c r="H19" s="17"/>
    </row>
    <row r="20" spans="8:8">
      <c r="H20" s="17"/>
    </row>
    <row r="21" spans="8:8">
      <c r="H21" s="17"/>
    </row>
    <row r="22" spans="8:8">
      <c r="H22" s="17"/>
    </row>
    <row r="23" spans="8:8">
      <c r="H23" s="17"/>
    </row>
  </sheetData>
  <mergeCells count="11">
    <mergeCell ref="F3:G3"/>
    <mergeCell ref="A11:G11"/>
    <mergeCell ref="A12:I12"/>
    <mergeCell ref="A3:A4"/>
    <mergeCell ref="B3:B4"/>
    <mergeCell ref="C3:C4"/>
    <mergeCell ref="D3:D4"/>
    <mergeCell ref="E3:E4"/>
    <mergeCell ref="H3:H4"/>
    <mergeCell ref="I3:I4"/>
    <mergeCell ref="A1:I2"/>
  </mergeCells>
  <pageMargins left="0.7" right="0.7" top="0.75" bottom="0.75" header="0.3" footer="0.3"/>
  <pageSetup paperSize="9" scale="65" orientation="portrait"/>
  <headerFooter/>
</worksheet>
</file>

<file path=docProps/app.xml><?xml version="1.0" encoding="utf-8"?>
<Properties xmlns="http://schemas.openxmlformats.org/officeDocument/2006/extended-properties" xmlns:vt="http://schemas.openxmlformats.org/officeDocument/2006/docPropsVTypes">
  <Company>ComponentOne</Company>
  <Application>Microsoft Excel</Application>
  <HeadingPairs>
    <vt:vector size="2" baseType="variant">
      <vt:variant>
        <vt:lpstr>工作表</vt:lpstr>
      </vt:variant>
      <vt:variant>
        <vt:i4>8</vt:i4>
      </vt:variant>
    </vt:vector>
  </HeadingPairs>
  <TitlesOfParts>
    <vt:vector size="8" baseType="lpstr">
      <vt:lpstr>清单报价说明</vt:lpstr>
      <vt:lpstr>汇总表</vt:lpstr>
      <vt:lpstr>硬质景观</vt:lpstr>
      <vt:lpstr>绿化苗木</vt:lpstr>
      <vt:lpstr>备选苗木类</vt:lpstr>
      <vt:lpstr>电气</vt:lpstr>
      <vt:lpstr>给排水 </vt:lpstr>
      <vt:lpstr>雾森系统</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C1Excel</dc:creator>
  <cp:lastModifiedBy>DD</cp:lastModifiedBy>
  <dcterms:created xsi:type="dcterms:W3CDTF">2020-11-19T09:45:00Z</dcterms:created>
  <dcterms:modified xsi:type="dcterms:W3CDTF">2021-07-30T11:38:42Z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2052-11.1.0.10667</vt:lpwstr>
  </property>
  <property fmtid="{D5CDD505-2E9C-101B-9397-08002B2CF9AE}" pid="3" name="ICV">
    <vt:lpwstr>5348D5507BE34722B16D27BF570D54EB</vt:lpwstr>
  </property>
</Properties>
</file>