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0730" windowHeight="11760" activeTab="1"/>
  </bookViews>
  <sheets>
    <sheet name="汇总表" sheetId="5" r:id="rId1"/>
    <sheet name="硬质景观" sheetId="1" r:id="rId2"/>
    <sheet name="绿化苗木" sheetId="6" r:id="rId3"/>
    <sheet name="电气" sheetId="9" r:id="rId4"/>
    <sheet name="给排水 " sheetId="10" r:id="rId5"/>
    <sheet name="雾森系统" sheetId="8" r:id="rId6"/>
  </sheets>
  <definedNames>
    <definedName name="_xlnm._FilterDatabase" localSheetId="3" hidden="1">电气!$A$1:$I$32</definedName>
    <definedName name="_xlnm._FilterDatabase" localSheetId="4" hidden="1">'给排水 '!$A$1:$I$56</definedName>
    <definedName name="_xlnm._FilterDatabase" localSheetId="1" hidden="1">硬质景观!$A$4:$I$460</definedName>
    <definedName name="_xlnm.Print_Area" localSheetId="0">汇总表!$A$1:$D$8</definedName>
  </definedNames>
  <calcPr calcId="125725"/>
</workbook>
</file>

<file path=xl/calcChain.xml><?xml version="1.0" encoding="utf-8"?>
<calcChain xmlns="http://schemas.openxmlformats.org/spreadsheetml/2006/main">
  <c r="F33" i="10"/>
  <c r="H33"/>
  <c r="H10" i="8"/>
  <c r="H9"/>
  <c r="H8"/>
  <c r="E7"/>
  <c r="H7" s="1"/>
  <c r="H6"/>
  <c r="H55" i="10"/>
  <c r="E55"/>
  <c r="H54"/>
  <c r="E53"/>
  <c r="H53" s="1"/>
  <c r="E52"/>
  <c r="H52" s="1"/>
  <c r="H51"/>
  <c r="H50"/>
  <c r="H49"/>
  <c r="H48"/>
  <c r="H47"/>
  <c r="H46"/>
  <c r="H45"/>
  <c r="H44"/>
  <c r="H43"/>
  <c r="H41"/>
  <c r="H40"/>
  <c r="H39"/>
  <c r="H38"/>
  <c r="H37"/>
  <c r="H36"/>
  <c r="H35"/>
  <c r="H34"/>
  <c r="H32"/>
  <c r="H31"/>
  <c r="H30"/>
  <c r="H29"/>
  <c r="H28"/>
  <c r="H27"/>
  <c r="H26"/>
  <c r="H25"/>
  <c r="H24"/>
  <c r="H23"/>
  <c r="H22"/>
  <c r="H21"/>
  <c r="H19"/>
  <c r="H18"/>
  <c r="H17"/>
  <c r="H16"/>
  <c r="H15"/>
  <c r="H14"/>
  <c r="H13"/>
  <c r="H12"/>
  <c r="H11"/>
  <c r="H9"/>
  <c r="H8"/>
  <c r="H7"/>
  <c r="H6"/>
  <c r="H31" i="9"/>
  <c r="H30"/>
  <c r="H29"/>
  <c r="E28"/>
  <c r="H28" s="1"/>
  <c r="H27"/>
  <c r="H26"/>
  <c r="H25"/>
  <c r="H24"/>
  <c r="H23"/>
  <c r="H22"/>
  <c r="F21"/>
  <c r="H21" s="1"/>
  <c r="H20"/>
  <c r="H19"/>
  <c r="H18"/>
  <c r="H17"/>
  <c r="H16"/>
  <c r="H15"/>
  <c r="H14"/>
  <c r="H13"/>
  <c r="E12"/>
  <c r="H12" s="1"/>
  <c r="H11"/>
  <c r="H10"/>
  <c r="H9"/>
  <c r="H8"/>
  <c r="H7"/>
  <c r="H6"/>
  <c r="C74" i="6"/>
  <c r="F74" s="1"/>
  <c r="F75" s="1"/>
  <c r="C72"/>
  <c r="F71"/>
  <c r="F70"/>
  <c r="F69"/>
  <c r="F68"/>
  <c r="F67"/>
  <c r="F66"/>
  <c r="F65"/>
  <c r="F64"/>
  <c r="F63"/>
  <c r="F62"/>
  <c r="F61"/>
  <c r="F60"/>
  <c r="F59"/>
  <c r="F58"/>
  <c r="C56"/>
  <c r="F55"/>
  <c r="F54"/>
  <c r="F53"/>
  <c r="F52"/>
  <c r="F51"/>
  <c r="F50"/>
  <c r="F49"/>
  <c r="F48"/>
  <c r="F56" s="1"/>
  <c r="C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46" s="1"/>
  <c r="F21"/>
  <c r="F20"/>
  <c r="C18"/>
  <c r="F17"/>
  <c r="F16"/>
  <c r="F15"/>
  <c r="F14"/>
  <c r="F13"/>
  <c r="F12"/>
  <c r="F11"/>
  <c r="F10"/>
  <c r="F18" s="1"/>
  <c r="C8"/>
  <c r="F7"/>
  <c r="F6"/>
  <c r="F5"/>
  <c r="F8" s="1"/>
  <c r="H459" i="1"/>
  <c r="G459"/>
  <c r="E458"/>
  <c r="H458" s="1"/>
  <c r="E457"/>
  <c r="H457" s="1"/>
  <c r="E456"/>
  <c r="H456" s="1"/>
  <c r="E455"/>
  <c r="H455" s="1"/>
  <c r="E454"/>
  <c r="H454" s="1"/>
  <c r="E453"/>
  <c r="H453" s="1"/>
  <c r="H452"/>
  <c r="H451"/>
  <c r="H450"/>
  <c r="H449"/>
  <c r="H448"/>
  <c r="F447"/>
  <c r="H447" s="1"/>
  <c r="E442"/>
  <c r="E445" s="1"/>
  <c r="H445" s="1"/>
  <c r="E440"/>
  <c r="H440" s="1"/>
  <c r="E439"/>
  <c r="H439" s="1"/>
  <c r="H438"/>
  <c r="E438"/>
  <c r="E437"/>
  <c r="H437" s="1"/>
  <c r="E436"/>
  <c r="H436" s="1"/>
  <c r="E435"/>
  <c r="H435" s="1"/>
  <c r="H434"/>
  <c r="E434"/>
  <c r="E433"/>
  <c r="H433" s="1"/>
  <c r="E432"/>
  <c r="H432" s="1"/>
  <c r="E431"/>
  <c r="H431" s="1"/>
  <c r="H430"/>
  <c r="E430"/>
  <c r="E429"/>
  <c r="H429" s="1"/>
  <c r="E428"/>
  <c r="H428" s="1"/>
  <c r="E427"/>
  <c r="H427" s="1"/>
  <c r="H426"/>
  <c r="E426"/>
  <c r="E425"/>
  <c r="H425" s="1"/>
  <c r="E424"/>
  <c r="H424" s="1"/>
  <c r="E423"/>
  <c r="H423" s="1"/>
  <c r="H422"/>
  <c r="E422"/>
  <c r="E421"/>
  <c r="H421" s="1"/>
  <c r="E419"/>
  <c r="H419" s="1"/>
  <c r="E418"/>
  <c r="H418" s="1"/>
  <c r="H417"/>
  <c r="H415"/>
  <c r="E414"/>
  <c r="H414" s="1"/>
  <c r="E413"/>
  <c r="H413" s="1"/>
  <c r="H412"/>
  <c r="E409"/>
  <c r="H409" s="1"/>
  <c r="H408"/>
  <c r="E408"/>
  <c r="E407"/>
  <c r="H407" s="1"/>
  <c r="E406"/>
  <c r="H406" s="1"/>
  <c r="E405"/>
  <c r="H405" s="1"/>
  <c r="H404"/>
  <c r="E404"/>
  <c r="H403"/>
  <c r="H402"/>
  <c r="H400"/>
  <c r="E399"/>
  <c r="H399" s="1"/>
  <c r="H398"/>
  <c r="E398"/>
  <c r="E397"/>
  <c r="H397" s="1"/>
  <c r="E396"/>
  <c r="H396" s="1"/>
  <c r="E395"/>
  <c r="H395" s="1"/>
  <c r="H394"/>
  <c r="H393"/>
  <c r="H391"/>
  <c r="E390"/>
  <c r="H390" s="1"/>
  <c r="H389"/>
  <c r="E389"/>
  <c r="E388"/>
  <c r="H388" s="1"/>
  <c r="E387"/>
  <c r="H387" s="1"/>
  <c r="E386"/>
  <c r="H386" s="1"/>
  <c r="H385"/>
  <c r="H384"/>
  <c r="H381"/>
  <c r="E380"/>
  <c r="H380" s="1"/>
  <c r="E379"/>
  <c r="H379" s="1"/>
  <c r="H378"/>
  <c r="E378"/>
  <c r="E377"/>
  <c r="H377" s="1"/>
  <c r="E376"/>
  <c r="H376" s="1"/>
  <c r="H375"/>
  <c r="H374"/>
  <c r="H372"/>
  <c r="H371"/>
  <c r="E371"/>
  <c r="E370"/>
  <c r="H370" s="1"/>
  <c r="E369"/>
  <c r="H369" s="1"/>
  <c r="E368"/>
  <c r="H368" s="1"/>
  <c r="H367"/>
  <c r="E367"/>
  <c r="H366"/>
  <c r="H365"/>
  <c r="H363"/>
  <c r="E362"/>
  <c r="H362" s="1"/>
  <c r="H361"/>
  <c r="E361"/>
  <c r="E360"/>
  <c r="H360" s="1"/>
  <c r="E359"/>
  <c r="H359" s="1"/>
  <c r="E358"/>
  <c r="H358" s="1"/>
  <c r="H357"/>
  <c r="H356"/>
  <c r="H354"/>
  <c r="E353"/>
  <c r="H353" s="1"/>
  <c r="H352"/>
  <c r="E352"/>
  <c r="E351"/>
  <c r="H351" s="1"/>
  <c r="E350"/>
  <c r="H350" s="1"/>
  <c r="E349"/>
  <c r="H349" s="1"/>
  <c r="H348"/>
  <c r="H347"/>
  <c r="H345"/>
  <c r="E344"/>
  <c r="H344" s="1"/>
  <c r="E343"/>
  <c r="H343" s="1"/>
  <c r="H342"/>
  <c r="E342"/>
  <c r="E341"/>
  <c r="H341" s="1"/>
  <c r="E340"/>
  <c r="H340" s="1"/>
  <c r="H339"/>
  <c r="E338"/>
  <c r="H338" s="1"/>
  <c r="E335"/>
  <c r="H335" s="1"/>
  <c r="E334"/>
  <c r="H334" s="1"/>
  <c r="H333"/>
  <c r="E333"/>
  <c r="H331"/>
  <c r="H330"/>
  <c r="H329"/>
  <c r="H328"/>
  <c r="G327"/>
  <c r="F327"/>
  <c r="H327" s="1"/>
  <c r="H326"/>
  <c r="G326"/>
  <c r="H325"/>
  <c r="E325"/>
  <c r="E324"/>
  <c r="H324" s="1"/>
  <c r="H323"/>
  <c r="H322"/>
  <c r="H321"/>
  <c r="H320"/>
  <c r="H319"/>
  <c r="H318"/>
  <c r="H317"/>
  <c r="F316"/>
  <c r="H316" s="1"/>
  <c r="F315"/>
  <c r="H315" s="1"/>
  <c r="H313"/>
  <c r="G313"/>
  <c r="H312"/>
  <c r="G312"/>
  <c r="H311"/>
  <c r="G311"/>
  <c r="H310"/>
  <c r="G310"/>
  <c r="H309"/>
  <c r="G309"/>
  <c r="H308"/>
  <c r="G308"/>
  <c r="H307"/>
  <c r="G306"/>
  <c r="F306"/>
  <c r="H306" s="1"/>
  <c r="H305"/>
  <c r="H304"/>
  <c r="E303"/>
  <c r="H303" s="1"/>
  <c r="H302"/>
  <c r="H301"/>
  <c r="H300"/>
  <c r="H299"/>
  <c r="H298"/>
  <c r="H297"/>
  <c r="E297"/>
  <c r="E296"/>
  <c r="H296" s="1"/>
  <c r="E295"/>
  <c r="H295" s="1"/>
  <c r="E294"/>
  <c r="H294" s="1"/>
  <c r="H292"/>
  <c r="H291"/>
  <c r="E290"/>
  <c r="H290" s="1"/>
  <c r="G289"/>
  <c r="E289"/>
  <c r="H289" s="1"/>
  <c r="G288"/>
  <c r="E288"/>
  <c r="H288" s="1"/>
  <c r="E287"/>
  <c r="H287" s="1"/>
  <c r="E286"/>
  <c r="H286" s="1"/>
  <c r="E285"/>
  <c r="H285" s="1"/>
  <c r="H284"/>
  <c r="E284"/>
  <c r="E283"/>
  <c r="H283" s="1"/>
  <c r="G282"/>
  <c r="E282"/>
  <c r="H282" s="1"/>
  <c r="E279"/>
  <c r="H279" s="1"/>
  <c r="F278"/>
  <c r="F277"/>
  <c r="H277" s="1"/>
  <c r="E277"/>
  <c r="E275"/>
  <c r="H275" s="1"/>
  <c r="H272"/>
  <c r="E272"/>
  <c r="E274" s="1"/>
  <c r="H274" s="1"/>
  <c r="E269"/>
  <c r="E266" s="1"/>
  <c r="H265"/>
  <c r="E264"/>
  <c r="H264" s="1"/>
  <c r="E263"/>
  <c r="H263" s="1"/>
  <c r="H262"/>
  <c r="E260"/>
  <c r="H260" s="1"/>
  <c r="E259"/>
  <c r="H259" s="1"/>
  <c r="E258"/>
  <c r="H258" s="1"/>
  <c r="H257"/>
  <c r="H256"/>
  <c r="E256"/>
  <c r="E254" s="1"/>
  <c r="H254" s="1"/>
  <c r="E255"/>
  <c r="H255" s="1"/>
  <c r="E253"/>
  <c r="H253" s="1"/>
  <c r="E252"/>
  <c r="H252" s="1"/>
  <c r="E250"/>
  <c r="H250" s="1"/>
  <c r="H247"/>
  <c r="H245"/>
  <c r="H244"/>
  <c r="G244"/>
  <c r="H243"/>
  <c r="G243"/>
  <c r="E242"/>
  <c r="H242" s="1"/>
  <c r="F241"/>
  <c r="E240"/>
  <c r="H240" s="1"/>
  <c r="E238"/>
  <c r="E239" s="1"/>
  <c r="H239" s="1"/>
  <c r="H237"/>
  <c r="E237"/>
  <c r="H235"/>
  <c r="E234"/>
  <c r="H234" s="1"/>
  <c r="E233"/>
  <c r="H233" s="1"/>
  <c r="H232"/>
  <c r="E231"/>
  <c r="E229" s="1"/>
  <c r="H229" s="1"/>
  <c r="H225"/>
  <c r="H224"/>
  <c r="H223"/>
  <c r="H222"/>
  <c r="H221"/>
  <c r="H220"/>
  <c r="H219"/>
  <c r="H218"/>
  <c r="H217"/>
  <c r="H216"/>
  <c r="H215"/>
  <c r="H214"/>
  <c r="H213"/>
  <c r="H212"/>
  <c r="H211"/>
  <c r="H210"/>
  <c r="E210"/>
  <c r="G209"/>
  <c r="E209"/>
  <c r="H209" s="1"/>
  <c r="H208"/>
  <c r="E208"/>
  <c r="E207"/>
  <c r="H207" s="1"/>
  <c r="H206"/>
  <c r="H205"/>
  <c r="H204"/>
  <c r="H203"/>
  <c r="E202"/>
  <c r="H202" s="1"/>
  <c r="F201"/>
  <c r="E201"/>
  <c r="F200"/>
  <c r="E200"/>
  <c r="H198"/>
  <c r="E197"/>
  <c r="H197" s="1"/>
  <c r="H196"/>
  <c r="H195"/>
  <c r="E195"/>
  <c r="E194"/>
  <c r="H194" s="1"/>
  <c r="H193"/>
  <c r="H192"/>
  <c r="E191"/>
  <c r="H191" s="1"/>
  <c r="H190"/>
  <c r="H189"/>
  <c r="H188"/>
  <c r="F187"/>
  <c r="H187" s="1"/>
  <c r="F186"/>
  <c r="H186" s="1"/>
  <c r="H184"/>
  <c r="H183"/>
  <c r="E183"/>
  <c r="H182"/>
  <c r="H181"/>
  <c r="H180"/>
  <c r="H179"/>
  <c r="H178"/>
  <c r="E177"/>
  <c r="H177" s="1"/>
  <c r="E176"/>
  <c r="H176" s="1"/>
  <c r="H175"/>
  <c r="E175"/>
  <c r="E174"/>
  <c r="H174" s="1"/>
  <c r="E173"/>
  <c r="H173" s="1"/>
  <c r="E172"/>
  <c r="H172" s="1"/>
  <c r="H171"/>
  <c r="E171"/>
  <c r="E170"/>
  <c r="H170" s="1"/>
  <c r="E169"/>
  <c r="H169" s="1"/>
  <c r="H168"/>
  <c r="H167"/>
  <c r="E166"/>
  <c r="H166" s="1"/>
  <c r="E165"/>
  <c r="H165" s="1"/>
  <c r="H164"/>
  <c r="E164"/>
  <c r="E163"/>
  <c r="H163" s="1"/>
  <c r="E162"/>
  <c r="H162" s="1"/>
  <c r="H161"/>
  <c r="E160"/>
  <c r="H160" s="1"/>
  <c r="F159"/>
  <c r="H159" s="1"/>
  <c r="H158"/>
  <c r="F157"/>
  <c r="H157" s="1"/>
  <c r="E154"/>
  <c r="H154" s="1"/>
  <c r="E153"/>
  <c r="H153" s="1"/>
  <c r="E152"/>
  <c r="H152" s="1"/>
  <c r="H151"/>
  <c r="E151"/>
  <c r="E150"/>
  <c r="H150" s="1"/>
  <c r="E149"/>
  <c r="H149" s="1"/>
  <c r="E148"/>
  <c r="H148" s="1"/>
  <c r="H147"/>
  <c r="E147"/>
  <c r="E146"/>
  <c r="H146" s="1"/>
  <c r="E145"/>
  <c r="H145" s="1"/>
  <c r="E144"/>
  <c r="H144" s="1"/>
  <c r="F142"/>
  <c r="E142"/>
  <c r="E143" s="1"/>
  <c r="H143" s="1"/>
  <c r="E140"/>
  <c r="H140" s="1"/>
  <c r="E139"/>
  <c r="H139" s="1"/>
  <c r="H138"/>
  <c r="E138"/>
  <c r="E137"/>
  <c r="H137" s="1"/>
  <c r="E136"/>
  <c r="H136" s="1"/>
  <c r="E135"/>
  <c r="H135" s="1"/>
  <c r="E133"/>
  <c r="E134" s="1"/>
  <c r="H134" s="1"/>
  <c r="F132"/>
  <c r="E132"/>
  <c r="E130"/>
  <c r="H130" s="1"/>
  <c r="E129"/>
  <c r="H129" s="1"/>
  <c r="H128"/>
  <c r="E128"/>
  <c r="E127"/>
  <c r="H127" s="1"/>
  <c r="E126"/>
  <c r="H126" s="1"/>
  <c r="E124"/>
  <c r="E125" s="1"/>
  <c r="H125" s="1"/>
  <c r="F123"/>
  <c r="E123"/>
  <c r="E120"/>
  <c r="H120" s="1"/>
  <c r="H118"/>
  <c r="E118"/>
  <c r="E119" s="1"/>
  <c r="H119" s="1"/>
  <c r="F117"/>
  <c r="H115"/>
  <c r="E114"/>
  <c r="H114" s="1"/>
  <c r="E113"/>
  <c r="H113" s="1"/>
  <c r="E112"/>
  <c r="H111"/>
  <c r="F110"/>
  <c r="H108"/>
  <c r="H107"/>
  <c r="E104"/>
  <c r="E105" s="1"/>
  <c r="H105" s="1"/>
  <c r="F103"/>
  <c r="H101"/>
  <c r="H100"/>
  <c r="E99"/>
  <c r="H99" s="1"/>
  <c r="E98"/>
  <c r="H98" s="1"/>
  <c r="H97"/>
  <c r="F96"/>
  <c r="E93"/>
  <c r="E94" s="1"/>
  <c r="H94" s="1"/>
  <c r="H91"/>
  <c r="E91"/>
  <c r="E92" s="1"/>
  <c r="E90" s="1"/>
  <c r="F90"/>
  <c r="E88"/>
  <c r="H88" s="1"/>
  <c r="E87"/>
  <c r="H87" s="1"/>
  <c r="H86"/>
  <c r="E85"/>
  <c r="H85" s="1"/>
  <c r="H84"/>
  <c r="E83"/>
  <c r="H83" s="1"/>
  <c r="E82"/>
  <c r="H82" s="1"/>
  <c r="H81"/>
  <c r="H79"/>
  <c r="H78"/>
  <c r="H77"/>
  <c r="G77"/>
  <c r="E76"/>
  <c r="H76" s="1"/>
  <c r="E75"/>
  <c r="H75" s="1"/>
  <c r="E74"/>
  <c r="H74" s="1"/>
  <c r="H73"/>
  <c r="F72"/>
  <c r="H70"/>
  <c r="H69"/>
  <c r="H68"/>
  <c r="H67"/>
  <c r="H66"/>
  <c r="H65"/>
  <c r="G65"/>
  <c r="E64"/>
  <c r="H64" s="1"/>
  <c r="E63"/>
  <c r="H62"/>
  <c r="F61"/>
  <c r="H59"/>
  <c r="H58"/>
  <c r="H57"/>
  <c r="H56"/>
  <c r="E55"/>
  <c r="H55" s="1"/>
  <c r="H54"/>
  <c r="E53"/>
  <c r="H53" s="1"/>
  <c r="E52"/>
  <c r="E51"/>
  <c r="H51" s="1"/>
  <c r="H50"/>
  <c r="F49"/>
  <c r="H46"/>
  <c r="H45"/>
  <c r="H44"/>
  <c r="H43"/>
  <c r="H42"/>
  <c r="H41"/>
  <c r="H40"/>
  <c r="H39"/>
  <c r="E38"/>
  <c r="E37"/>
  <c r="H37" s="1"/>
  <c r="H36"/>
  <c r="F35"/>
  <c r="H33"/>
  <c r="H32"/>
  <c r="H31"/>
  <c r="E30"/>
  <c r="E29"/>
  <c r="H29" s="1"/>
  <c r="H28"/>
  <c r="F27"/>
  <c r="H24"/>
  <c r="H23"/>
  <c r="H22"/>
  <c r="H21"/>
  <c r="H20"/>
  <c r="H19"/>
  <c r="E18"/>
  <c r="H18" s="1"/>
  <c r="E17"/>
  <c r="H17" s="1"/>
  <c r="H16"/>
  <c r="F15"/>
  <c r="H13"/>
  <c r="H12"/>
  <c r="H11"/>
  <c r="E10"/>
  <c r="H10" s="1"/>
  <c r="E9"/>
  <c r="H8"/>
  <c r="E103" l="1"/>
  <c r="H103" s="1"/>
  <c r="E228"/>
  <c r="H228" s="1"/>
  <c r="E106"/>
  <c r="H106" s="1"/>
  <c r="H231"/>
  <c r="E251"/>
  <c r="H251" s="1"/>
  <c r="E273"/>
  <c r="H273" s="1"/>
  <c r="H93"/>
  <c r="H124"/>
  <c r="E230"/>
  <c r="H230" s="1"/>
  <c r="E249"/>
  <c r="H249" s="1"/>
  <c r="H32" i="9"/>
  <c r="C5" i="5" s="1"/>
  <c r="H11" i="8"/>
  <c r="C7" i="5" s="1"/>
  <c r="F72" i="6"/>
  <c r="E76" s="1"/>
  <c r="C4" i="5" s="1"/>
  <c r="E110" i="1"/>
  <c r="H110" s="1"/>
  <c r="E35"/>
  <c r="H35" s="1"/>
  <c r="H201"/>
  <c r="E72"/>
  <c r="H72" s="1"/>
  <c r="H38"/>
  <c r="H200"/>
  <c r="E49"/>
  <c r="H49" s="1"/>
  <c r="E117"/>
  <c r="H117" s="1"/>
  <c r="H90"/>
  <c r="H132"/>
  <c r="E96"/>
  <c r="H96" s="1"/>
  <c r="H52"/>
  <c r="E15"/>
  <c r="H15" s="1"/>
  <c r="E27"/>
  <c r="H27" s="1"/>
  <c r="E61"/>
  <c r="H61" s="1"/>
  <c r="E7"/>
  <c r="H7" s="1"/>
  <c r="H63"/>
  <c r="H123"/>
  <c r="H142"/>
  <c r="H56" i="10"/>
  <c r="C6" i="5" s="1"/>
  <c r="E268" i="1"/>
  <c r="H268" s="1"/>
  <c r="E267"/>
  <c r="H267" s="1"/>
  <c r="H266"/>
  <c r="H112"/>
  <c r="H269"/>
  <c r="H9"/>
  <c r="H92"/>
  <c r="E241"/>
  <c r="H241" s="1"/>
  <c r="E280"/>
  <c r="H442"/>
  <c r="E443"/>
  <c r="H443" s="1"/>
  <c r="H104"/>
  <c r="H133"/>
  <c r="H238"/>
  <c r="E444"/>
  <c r="H444" s="1"/>
  <c r="H30"/>
  <c r="E281" l="1"/>
  <c r="H281" s="1"/>
  <c r="H280"/>
  <c r="E278" l="1"/>
  <c r="H278" s="1"/>
  <c r="H460" s="1"/>
  <c r="C3" i="5" s="1"/>
  <c r="C8" s="1"/>
</calcChain>
</file>

<file path=xl/sharedStrings.xml><?xml version="1.0" encoding="utf-8"?>
<sst xmlns="http://schemas.openxmlformats.org/spreadsheetml/2006/main" count="1888" uniqueCount="657">
  <si>
    <t>开元壹号62地块一期景观施工工程造价汇总表（单位：元）</t>
  </si>
  <si>
    <t>序号</t>
  </si>
  <si>
    <t>分类项目名称</t>
  </si>
  <si>
    <t>造价（元）</t>
  </si>
  <si>
    <t>说明</t>
  </si>
  <si>
    <t>硬质景观部分</t>
  </si>
  <si>
    <t>固定总价包干，详见后附工程量清单明细</t>
  </si>
  <si>
    <t>绿植苗木部分</t>
  </si>
  <si>
    <t>固定综合单价包干，详见后附工程量清单明细</t>
  </si>
  <si>
    <t>电气部分</t>
  </si>
  <si>
    <t>给排水部分</t>
  </si>
  <si>
    <t>雾森系统部分</t>
  </si>
  <si>
    <t>合计(元)</t>
  </si>
  <si>
    <t>开元壹号62地块一期景观施工硬质景观清单及计价表</t>
  </si>
  <si>
    <t>项目名称</t>
  </si>
  <si>
    <t>项目特征描述</t>
  </si>
  <si>
    <t>计量
单位</t>
  </si>
  <si>
    <t>工程量</t>
  </si>
  <si>
    <t>金额（元）</t>
  </si>
  <si>
    <t>综合单价（元）</t>
  </si>
  <si>
    <t>合价</t>
  </si>
  <si>
    <t>主要材料品牌</t>
  </si>
  <si>
    <t>其中：主材</t>
  </si>
  <si>
    <t>一</t>
  </si>
  <si>
    <t>TY-1.01 入户平台</t>
  </si>
  <si>
    <t>1.车行道路做法</t>
  </si>
  <si>
    <t>挖土方</t>
  </si>
  <si>
    <t>1.土壤类别：一二类土
2.挖土深度：详见图纸设计 
3.弃土运距：自行考虑</t>
  </si>
  <si>
    <t>m3</t>
  </si>
  <si>
    <t>素土夯实</t>
  </si>
  <si>
    <t>1.素土夯实，夯实度≥93%
2.其它说明：其它满足规范和设计图纸要求</t>
  </si>
  <si>
    <t>m2</t>
  </si>
  <si>
    <t>碎石垫层</t>
  </si>
  <si>
    <t>1.200厚级配碎石垫层
2.其它说明：其它满足规范和设计图纸要求</t>
  </si>
  <si>
    <t>砼垫层</t>
  </si>
  <si>
    <t>1.混凝土强度等级:200厚C20混凝土
2.混凝土拌合料要求：符合规范要求
3.模板安拆费用计入综合单价，支模方式综合考虑
4.其它说明：其它满足规范和设计图纸要求</t>
  </si>
  <si>
    <t>地面铺装</t>
  </si>
  <si>
    <t>1.300*100*15仿芝麻黑荔枝面PC砖
2.30厚1:3水泥砂浆粘接层
3.其他说明：其它满足规范和设计图纸要求</t>
  </si>
  <si>
    <t>1.600*200*15仿芝麻灰荔枝面PC砖
2.30厚1:3水泥砂浆粘接层
3.其他说明：其它满足规范和设计图纸要求</t>
  </si>
  <si>
    <t>1.600*300*15仿芝麻灰荔枝面PC砖
2.30厚1:3水泥砂浆粘接层
3.其他说明：其它满足规范和设计图纸要求</t>
  </si>
  <si>
    <t>2.人行道路做法</t>
  </si>
  <si>
    <t>1.100厚级配碎石垫层
2.其它说明：其它满足规范和设计图纸要求</t>
  </si>
  <si>
    <t>1.混凝土强度等级:100厚C20混凝土
2.混凝土拌合料要求：符合规范要求
3.模板安拆费用计入综合单价，支模方式综合考虑
4.其它说明：其它满足规范和设计图纸要求</t>
  </si>
  <si>
    <t>现浇构件钢筋</t>
  </si>
  <si>
    <t>1.现浇构件带肋钢筋HRB400以内  直径12mm
2.含钢筋搭接
3.部位：建筑与硬质交接处
4.其它说明：其它满足规范和设计图纸要求</t>
  </si>
  <si>
    <t>t</t>
  </si>
  <si>
    <t>植筋</t>
  </si>
  <si>
    <t>1.现浇构件带肋钢筋HRB400以内  直径12mm
2.制作安装胶泥灌缝
3.部位：建筑与硬质交接处
4.其它说明：其它满足规范和设计图纸要求</t>
  </si>
  <si>
    <t>根</t>
  </si>
  <si>
    <t>变形缝</t>
  </si>
  <si>
    <t>1.20宽伸缩缝，沥青麻丝嵌缝
2.部位：建筑与硬质交接处
3.其它说明：其它满足规范和设计图纸要求</t>
  </si>
  <si>
    <t>m</t>
  </si>
  <si>
    <t>二</t>
  </si>
  <si>
    <t>TY-1.01 主入口铺装及相连接石材铺装</t>
  </si>
  <si>
    <t>1.600*100*50厚芝麻黑花岗岩烧面
2.30厚1:3水泥砂浆粘接层
3.其他说明：其它满足规范和设计图纸要求</t>
  </si>
  <si>
    <t>1.600*300*50厚芝麻灰花岗岩烧面
2.30厚1:3水泥砂浆粘接层
3.其他说明：其它满足规范和设计图纸要求</t>
  </si>
  <si>
    <t>1.600*200*50厚芝麻灰花岗岩烧面
2.30厚1:3水泥砂浆粘接层
3.其他说明：其它满足规范和设计图纸要求</t>
  </si>
  <si>
    <t>钢板装饰条</t>
  </si>
  <si>
    <r>
      <rPr>
        <sz val="9"/>
        <rFont val="宋体"/>
        <family val="3"/>
        <charset val="134"/>
      </rPr>
      <t>1.L*50*3厚不锈钢板拉丝面电镀深咖色
2</t>
    </r>
    <r>
      <rPr>
        <b/>
        <sz val="9"/>
        <rFont val="宋体"/>
        <family val="3"/>
        <charset val="134"/>
      </rPr>
      <t>.</t>
    </r>
    <r>
      <rPr>
        <sz val="9"/>
        <rFont val="宋体"/>
        <family val="3"/>
        <charset val="134"/>
      </rPr>
      <t>其他说明：其它满足规范和设计图纸要求</t>
    </r>
  </si>
  <si>
    <t>1.450*450*30厚芝麻灰花岗岩浮雕板烧面
2.30厚1:3水泥砂浆粘接层
3.其他说明：其它满足规范和设计图纸要求</t>
  </si>
  <si>
    <t>1.600*300*30厚芝麻黑花岗岩浮雕板烧面
2.30厚1:3水泥砂浆粘接层
3.其他说明：其它满足规范和设计图纸要求</t>
  </si>
  <si>
    <t>1.600*200*20厚芝麻灰花岗岩烧面
2.30厚1:3水泥砂浆粘接层
3.其他说明：其它满足规范和设计图纸要求</t>
  </si>
  <si>
    <t>1.600*300*20厚芝麻黑花岗岩烧面
2.30厚1:3水泥砂浆粘接层
3.其他说明：其它满足规范和设计图纸要求</t>
  </si>
  <si>
    <t>1.600*100*50芝麻黑花岗岩烧面
2.30厚1:3水泥砂浆粘接层
3.其他说明：其它满足规范和设计图纸要求</t>
  </si>
  <si>
    <t>1.600*300*50芝麻灰花岗岩烧面
2.30厚1:3水泥砂浆粘接层
3.其他说明：其它满足规范和设计图纸要求</t>
  </si>
  <si>
    <t>三</t>
  </si>
  <si>
    <t>TY-1.01 园路</t>
  </si>
  <si>
    <t>1.混凝土强度等级:200厚C25混凝土
2.混凝土拌合料要求：符合规范要求
3.部位：跨地库顶板面层铺装
4.模板安拆费用计入综合单价，支模方式综合考虑
5.其它说明：其它满足规范和设计图纸要求</t>
  </si>
  <si>
    <t>1.现浇构件带肋钢筋HRB400以内  直径8mm
2.含钢筋搭接
3.部位：跨地库顶板面层铺装
4.其它说明：其它满足规范和设计图纸要求</t>
  </si>
  <si>
    <t>1.600*200*15仿芝麻黑荔枝面PC砖
2.30厚1:3水泥砂浆粘接层
3.其他说明：其它满足规范和设计图纸要求</t>
  </si>
  <si>
    <t>3.跑道做法</t>
  </si>
  <si>
    <t>彩色沥青混凝土路面</t>
  </si>
  <si>
    <t>1.30厚AC-10细粒径彩色沥青混凝土
2.50厚AC-16粗粒径黑色沥青凝土
3.乳化沥青透层一道
4.其他说明：其它满足规范和设计图纸要求</t>
  </si>
  <si>
    <t>4.跑道休息区</t>
  </si>
  <si>
    <t>1.素土夯实
2.其它满足规范和设计图纸要求</t>
  </si>
  <si>
    <t>1.混凝土强度等级:100厚C20混凝土
2.混凝土拌合料要求：符合规范要求
3.模板安拆费用计入综合单价，支模方式综合考虑
4.其它满足规范和设计图纸要求</t>
  </si>
  <si>
    <t>PC砖仿芝麻黑荔枝面</t>
  </si>
  <si>
    <t>1.15厚PC砖，仿芝麻黑荔枝面
2.30厚1：3水泥砂浆结合层
3.其它满足规范和设计图纸要求</t>
  </si>
  <si>
    <t>5.台阶做法</t>
  </si>
  <si>
    <t>混凝土台阶</t>
  </si>
  <si>
    <t>1.混凝土强度等级:C20混凝土
2.混凝土拌合料要求：符合规范要求
3.模板安拆费用计入综合单价，支模方式综合考虑
4.其它说明：其它满足规范和设计图纸要求</t>
  </si>
  <si>
    <t>块料梯面铺装</t>
  </si>
  <si>
    <t>1.踏面600*400*50/600*450*50厚芝麻黑花岗岩烧面，拉槽、磨倒角
2.踢面150*600*20厚芝麻黑花岗岩烧面
3.20厚1:3水泥砂浆粘接层
4.其他说明：其它满足规范和设计图纸要求</t>
  </si>
  <si>
    <t>四</t>
  </si>
  <si>
    <t>TY-1.01 垃圾回收站出口</t>
  </si>
  <si>
    <t>1.50厚预制混凝土侧石
2.其他说明：其它满足规范和设计图纸要求</t>
  </si>
  <si>
    <t>黑色沥青混凝土路面</t>
  </si>
  <si>
    <t>1.30厚AC-10细粒径黑色沥青混凝土
2.50厚AC-16粗粒径黑色沥青凝土
3.乳化沥青透层一道
4.其他说明：其它满足规范和设计图纸要求</t>
  </si>
  <si>
    <t>五</t>
  </si>
  <si>
    <t>TY-1.02 木平台</t>
  </si>
  <si>
    <t>木平台</t>
  </si>
  <si>
    <t>1.L*100*50栗色南方松防腐木板，留缝5mm，两侧拉槽7*3mm
2.80*40厚防腐木龙骨@500
3.40*26*12*1厚不锈钢卡件，不锈钢钉固定
4.50*50*50*3厚热镀锌角钢@500化学锚栓固定于基础，钢钉固定龙骨
5.100*100*20厚1：2水泥砂浆垫块@500
6.其它说明：其它满足规范和设计图纸要求</t>
  </si>
  <si>
    <t>六</t>
  </si>
  <si>
    <t>TY-1.03 隐形消防车道及登高场地做法</t>
  </si>
  <si>
    <t>回填土松填</t>
  </si>
  <si>
    <t>1.200厚种植土（25%细砾石、15%中粗砂、60%养殖土）
2.运距自行考虑
3.其它说明：其它满足规范和设计图纸要求</t>
  </si>
  <si>
    <t>排水孔</t>
  </si>
  <si>
    <t>1.Φ30排水孔放置，UPVC管间距400，管口土工布包裹
2.其它说明：其它满足规范和设计图纸要求</t>
  </si>
  <si>
    <t>个</t>
  </si>
  <si>
    <t>七</t>
  </si>
  <si>
    <t>TY-1.03 花岗岩汀步</t>
  </si>
  <si>
    <t>汀步</t>
  </si>
  <si>
    <t>八</t>
  </si>
  <si>
    <t>TY-1.03 垃圾桶基础、保洁取水点</t>
  </si>
  <si>
    <t>1.垃圾桶基础做法</t>
  </si>
  <si>
    <t>1.800*800*20厚芝麻黑花岗岩光面
2.30厚1:3水泥砂浆粘接层
3.其他说明：其它满足规范和设计图纸要求</t>
  </si>
  <si>
    <t>1.1000*100*20厚芝麻黑花岗岩光面
2.30厚1:3水泥砂浆粘接层
3.其他说明：其它满足规范和设计图纸要求</t>
  </si>
  <si>
    <t>1.900*80*20厚芝麻黑花岗岩光面
2.30厚1:3水泥砂浆粘接层
3.其他说明：其它满足规范和设计图纸要求</t>
  </si>
  <si>
    <t>砖基础</t>
  </si>
  <si>
    <t>1.砌体强度：MU10标砖
2.砂浆等级：M7.5水泥砂浆
3.其他说明：其它满足规范和设计图纸要求</t>
  </si>
  <si>
    <t>2.保洁取水点做法</t>
  </si>
  <si>
    <t>1.400*400*20厚芝麻黑花岗岩光面
2.30厚1:3水泥砂浆粘接层
3.其他说明：其它满足规范和设计图纸要求</t>
  </si>
  <si>
    <t>1.500*200*20厚芝麻黑花岗岩光面
2.30厚1:3水泥砂浆粘接层
3.其他说明：其它满足规范和设计图纸要求</t>
  </si>
  <si>
    <t>1.500*100*20厚芝麻黑花岗岩光面
2.30厚1:3水泥砂浆粘接层
3.其他说明：其它满足规范和设计图纸要求</t>
  </si>
  <si>
    <t>1.20厚芝麻黑花岗岩
2.30厚1:3水泥砂浆粘接层
3.其他说明：其它满足规范和设计图纸要求</t>
  </si>
  <si>
    <t>九</t>
  </si>
  <si>
    <t>TY-1.04 坐凳</t>
  </si>
  <si>
    <t>挖沟槽土方</t>
  </si>
  <si>
    <t>1.土壤类别：综合
2.挖土深度：详设计
3.开挖方式：人工、机械综合考虑   
4.多余土方运送场内指定位置
5.其它满足规范和设计图纸要求</t>
  </si>
  <si>
    <t>回填土方</t>
  </si>
  <si>
    <t>1.密实度要求：满足设计要求 
2.填方材料品种：满足设计要求的合格土方 
3.填方粒径要求：符合设计要求
4.填方来源、运距：投标人根据现场实际情况自行考虑
5.其它满足规范和设计图纸要求</t>
  </si>
  <si>
    <t>1.素土夯实
2.压实度不小于93%
3.其它满足规范和设计图纸要求</t>
  </si>
  <si>
    <t>1.砖品种、规格、强度等级：MU10页岩砖
2.基础类型：砖基础
3.砂浆强度等级：M7.5水泥砂浆
4.其它说明：其他满足规范和图纸设计要求</t>
  </si>
  <si>
    <t>防潮层</t>
  </si>
  <si>
    <t>1.20厚1:2.水泥砂浆，内参5%防水剂
2.其它说明：详见相关设计、要求及规范</t>
  </si>
  <si>
    <t>实心砖墙</t>
  </si>
  <si>
    <t>1.砖品种、规格、强度等级：MU10页岩砖
2.墙体类型：围墙
3.砂浆强度等级、配合比：M7.5水泥砂浆
4.其它说明：其他满足规范和图纸设计要求</t>
  </si>
  <si>
    <t>压顶</t>
  </si>
  <si>
    <t>1.c20钢筋混凝土压顶圈梁,100mm厚
2.混凝土拌合料要求：符合规范要求
3.模板安拆费用计入综合单价，支模方式综合考虑
4.其它满足规范和设计图纸要求</t>
  </si>
  <si>
    <t>抹灰</t>
  </si>
  <si>
    <t>石材墙面</t>
  </si>
  <si>
    <t>1.20厚600*450芝麻灰花岗石材光面，上拉20*10凹槽
2.其它说明：详见相关设计、要求及规范</t>
  </si>
  <si>
    <t>石材凳面</t>
  </si>
  <si>
    <t>1.50厚600*400芝麻灰花岗石材光面
2.其它说明：详见相关设计、要求及规范</t>
  </si>
  <si>
    <t>凳面装饰板(南方松防腐木)</t>
  </si>
  <si>
    <t>1.100*50mm厚南方松防腐木，留缝5mm
2.自攻螺钉固定与3mm厚80mm宽通长成品热镀锌扁钢之上
3.刷栗色油漆
4.其它说明：详见相关设计、要求及规范</t>
  </si>
  <si>
    <t>十</t>
  </si>
  <si>
    <t>LD-2.01~2.07 中心水景</t>
  </si>
  <si>
    <t>中心水景景观</t>
  </si>
  <si>
    <t>挖一般土方</t>
  </si>
  <si>
    <t>1.土壤类别：综合
2.挖土深度：详设计
3.开挖方式：人工、机械综合考虑    
4.多余土方运送场内指定位置
5.其它满足规范和设计图纸要求</t>
  </si>
  <si>
    <t>1.混凝土强度等级:100厚C20混凝土垫层
2.混凝土拌合料要求：符合规范要求
3.模板安拆费用计入综合单价，支模方式综合考虑
4.其它满足规范和设计图纸要求</t>
  </si>
  <si>
    <t>水池池底</t>
  </si>
  <si>
    <t>1.混凝土强度等级:200厚C25钢筋混凝土
2.混凝土拌合料要求：符合规范要求
3.模板安拆费用计入综合单价，支模方式综合考虑
4.其它满足规范和设计图纸要求</t>
  </si>
  <si>
    <t>水池池壁</t>
  </si>
  <si>
    <t>1.混凝土强度等级:150厚C25钢筋混凝土
2.混凝土拌合料要求：符合规范要求
3.模板安拆费用计入综合单价，支模方式综合考虑
4.其它满足规范和设计图纸要求</t>
  </si>
  <si>
    <t>水池现浇构件钢筋</t>
  </si>
  <si>
    <t>1.现浇构件带肋钢筋HPB400以内  直径≤10mm
2.含钢筋搭接
3.其它说明：其它满足规范和设计图纸要求</t>
  </si>
  <si>
    <t>水池底饰面</t>
  </si>
  <si>
    <t>1.30厚600*600mm中国黑花岗岩光面
2.石材粘结剂粘结
3.其他说明：详见相关设计图纸、相关要求及规范</t>
  </si>
  <si>
    <t>平面砂浆找平层</t>
  </si>
  <si>
    <t>1.15厚1:2.5水泥砂浆找平层
2.其他说明：详见相关设计图纸、相关要求及规范
3.部位：水池底防水下面</t>
  </si>
  <si>
    <t>水池防水</t>
  </si>
  <si>
    <t>1.1.5厚聚氨酯防水涂料  三层两道
2.其他说明：详见相关设计图纸、相关要求及规范
3.部位：水池底</t>
  </si>
  <si>
    <t>池底防水保护层</t>
  </si>
  <si>
    <t>1.15厚1:2.5水泥砂浆保护层
2.其他说明：详见相关设计图纸、相关要求及规范
3.部位：水池底防水上面</t>
  </si>
  <si>
    <t>水池内壁接绿地包边</t>
  </si>
  <si>
    <t>1.5厚Z字型不锈钢止水板电镀深咖色0.295m高
2.详见设计图纸
3.其它说明：其他满足规范和图纸设计要求</t>
  </si>
  <si>
    <t>水池内壁接路面</t>
  </si>
  <si>
    <t>1.5厚不锈钢板电镀咖啡色0.15m高，M8膨胀螺丝固定@1000
3.详见设计图纸
4.其它说明：其他满足规范和图纸设计要求</t>
  </si>
  <si>
    <t>水池内壁接中心绿地</t>
  </si>
  <si>
    <t>1.5厚止水钢板+1厚不锈钢电镀深咖色0.19m高，翻边50宽
2.详见设计图纸
3.其它说明：其他满足规范和图纸设计要求</t>
  </si>
  <si>
    <t>中心水景石材跌水大样一</t>
  </si>
  <si>
    <t>1.600*370*150厚中国黑花岗岩光面，异形加工
2.石材粘结剂粘结
3.其他说明：详见相关设计图纸、相关要求及规范</t>
  </si>
  <si>
    <t>中心水景石材跌水大样二</t>
  </si>
  <si>
    <t>1.600*450*200厚中国黑花岗岩光面，异形加工
2.石材粘结剂粘结
3.其他说明：详见相关设计图纸、相关要求及规范</t>
  </si>
  <si>
    <t>中心水景石材跌水大样三</t>
  </si>
  <si>
    <t>1.600*200*80厚中国黑花岗岩光面，异形加工
2.石材粘结剂粘结
3.其他说明：详见相关设计图纸、相关要求及规范</t>
  </si>
  <si>
    <t>跌水中国黑花岗岩光面</t>
  </si>
  <si>
    <t>1.600*275*150厚中国黑花岗岩光面，Φ10*100钢销间距400
2.石材粘结剂粘结
3.其他说明：详见相关设计图纸、相关要求及规范</t>
  </si>
  <si>
    <t>1.600*380*200厚中国黑花岗岩光面，Φ10*100钢销间距400
2.石材粘结剂粘结
3.其他说明：详见相关设计图纸、相关要求及规范</t>
  </si>
  <si>
    <t>跌水下方水池侧壁饰面</t>
  </si>
  <si>
    <t>1.600*100*30厚中国黑花岗岩光面
2.专用粘结剂粘结
3.其他说明：详见相关设计图纸、相关要求及规范</t>
  </si>
  <si>
    <t>泵坑池底垫层</t>
  </si>
  <si>
    <t>1.混凝土种类：160厚混凝土垫层
2.混凝土强度等级：C20
3.详见设计图纸
4.其它说明：其他满足规范和图纸设计要求</t>
  </si>
  <si>
    <t>泵坑池顶盖板</t>
  </si>
  <si>
    <t>1.1.2*1.2*0.08厚C25预制打孔盖板
2.详见设计图纸
3.其它说明：其他满足规范和图纸设计要求</t>
  </si>
  <si>
    <t>泵坑池顶钢支撑</t>
  </si>
  <si>
    <t>1.50*50*3热镀锌方钢、50*50*5热镀锌角钢
2.详见设计图纸
3.其它说明：其他满足规范和图纸设计要求</t>
  </si>
  <si>
    <t>水池外壁饰面</t>
  </si>
  <si>
    <t>1.5厚不锈钢止水板电镀深啡色，5#镀锌角钢，M8膨胀螺丝固定
2.详见设计图纸
3.其它说明：其他满足规范和图纸设计要求</t>
  </si>
  <si>
    <t>1.5厚Z字型不锈钢止水板电镀深咖色
2.详见设计图纸
3.其它说明：其他满足规范和图纸设计要求</t>
  </si>
  <si>
    <t>池底隔墙</t>
  </si>
  <si>
    <t>1.砖品种、规格、强度等级：MU10页岩砖
2.墙体类型：隔墙
3.砂浆强度等级、配合比：M7.5水泥砂浆
4.详见设计图纸
5.其它说明：其他满足规范和图纸设计要求</t>
  </si>
  <si>
    <t>万能支撑器</t>
  </si>
  <si>
    <t>1.详见设计图纸
2.其他说明：详见相关设计图纸、相关要求及规范</t>
  </si>
  <si>
    <t>中心水景景墙</t>
  </si>
  <si>
    <t>条形基础</t>
  </si>
  <si>
    <t>1.混凝土强度等级:200厚C25混凝土
2.混凝土拌合料要求：符合规范要求
3.模板安拆费用计入综合单价，支模方式综合考虑
4.其它满足规范和设计图纸要求</t>
  </si>
  <si>
    <t>钢筋砼景墙</t>
  </si>
  <si>
    <t>1.混凝土强度等级:240厚C25混凝土
2.混凝土拌合料要求：符合规范要求
3.模板安拆费用计入综合单价，支模方式综合考虑
4.其它满足规范和设计图纸要求</t>
  </si>
  <si>
    <t>1.砖品种、规格、强度等级：MU10页岩砖
2.墙体类型：景墙
3.砂浆强度等级、配合比：M7.5水泥砂浆
4.其它说明：其他满足规范和图纸设计要求</t>
  </si>
  <si>
    <t>1.600*200*20厚灰木纹石英砖
2.含石材干挂件
3.其它说明：其他满足规范和图纸设计要求</t>
  </si>
  <si>
    <t>墙面装饰板</t>
  </si>
  <si>
    <t>1.2厚深咖色铝板外包，M8膨胀螺丝固定@500
2.其它说明：其他满足规范和图纸设计要求</t>
  </si>
  <si>
    <t>1.现浇构件带肋钢筋HPB300以内  直径≤10mm
2.含钢筋搭接
3.其它说明：其它满足规范和设计图纸要求</t>
  </si>
  <si>
    <t>景墙字体及LOGO</t>
  </si>
  <si>
    <t>1.2厚古铜色拉丝面不锈钢，LOGO字体，背衬亚克力板，背发光。由专业厂家二次深化并安装。
2.详见设计图纸
3.其它说明：其它满足规范和设计图纸要求</t>
  </si>
  <si>
    <t>项</t>
  </si>
  <si>
    <t>中心水景景观廊架</t>
  </si>
  <si>
    <t>1.混凝土强度等级:100厚C15混凝土
2.混凝土拌合料要求：符合规范要求
3.模板安拆费用计入综合单价，支模方式综合考虑
4.详见设计图纸
5.其它满足规范和设计图纸要求</t>
  </si>
  <si>
    <t>独立基础</t>
  </si>
  <si>
    <t>1.混凝土强度等级:300厚C30混凝土
2.混凝土拌合料要求：符合规范要求
3.模板安拆费用计入综合单价，支模方式综合考虑
4.详见设计图纸
5.其它满足规范和设计图纸要求</t>
  </si>
  <si>
    <t>矩形柱</t>
  </si>
  <si>
    <t>1.C30混凝土墙柱
2.混凝土拌合料要求：符合规范要求
3.模板安拆费用计入综合单价，支模方式综合考虑
4.详见设计图纸
5.其它满足规范和设计图纸要求</t>
  </si>
  <si>
    <t>钢柱后浇混凝土基础</t>
  </si>
  <si>
    <t>1.C25混凝土+C35无收缩细石混凝土
2.混凝土拌合料要求：符合规范要求
3.模板安拆费用计入综合单价，支模方式综合考虑
4.详见设计图纸
5.其它满足规范和设计图纸要求</t>
  </si>
  <si>
    <t>混凝土基础梁</t>
  </si>
  <si>
    <t>1.C30混凝土基础梁
3.混凝土拌合料要求：符合规范要求
4.模板安拆费用计入综合单价，支模方式综合考虑
5.详见设计图纸
6.其它满足规范和设计图纸要求</t>
  </si>
  <si>
    <t>1.现浇构件带肋钢筋HPB300以内  直径≥10mm
2.含钢筋搭接
3.其它说明：其它满足规范和设计图纸要求</t>
  </si>
  <si>
    <t>钢柱一</t>
  </si>
  <si>
    <t>1.型号：∅150*8热镀锌圆钢外饰深咖色氟碳漆
2.详见设计图纸
3.其它满足规范和设计图纸要求</t>
  </si>
  <si>
    <t>钢柱二</t>
  </si>
  <si>
    <t>1.型号：∅80*5热镀锌圆钢外饰深咖色氟碳漆
2.详见设计图纸
3.其它满足规范和设计图纸要求</t>
  </si>
  <si>
    <t>钢柱预埋件</t>
  </si>
  <si>
    <t>1.详见设计图纸
2.其它满足规范和设计图纸要求</t>
  </si>
  <si>
    <t>钢主梁</t>
  </si>
  <si>
    <t>1.型号：150*150*8厚热镀锌方钢
2.详见设计图纸
3.其它满足规范和设计图纸要求</t>
  </si>
  <si>
    <t>钢次梁</t>
  </si>
  <si>
    <t>1.型号：100*150*5厚热镀锌方钢
2.详见设计图纸
3.其它满足规范和设计图纸要求</t>
  </si>
  <si>
    <t>钢龙骨</t>
  </si>
  <si>
    <t>1、型号：50*50*3厚热镀锌方钢，外饰深咖色氟碳漆
2.详见设计图纸
3.其它满足规范和设计图纸要求</t>
  </si>
  <si>
    <t>钢格栅</t>
  </si>
  <si>
    <t>1、型号：50*50*3厚热镀锌方钢@110，外饰深咖色氟碳漆
2.详见设计图纸
3.其它满足规范和设计图纸要求</t>
  </si>
  <si>
    <t>廊架顶面铝板装饰</t>
  </si>
  <si>
    <t>1.3厚深咖色铝板外包
2.详见设计图纸
3.其他说明：其它满足规范和设计图纸要求</t>
  </si>
  <si>
    <t>夹胶安全玻璃</t>
  </si>
  <si>
    <t>1.6+1.14pvb+6夹胶安全玻璃
2.详见设计图纸
3.其他说明：其它满足规范和设计图纸要求</t>
  </si>
  <si>
    <t>廊架侧面装饰</t>
  </si>
  <si>
    <t>1.5厚亚克力板
2.详见设计图纸
3.其他说明：其它满足规范和设计图纸要求</t>
  </si>
  <si>
    <t>1.600*200*15厚PC砖，仿芝麻灰荔枝面
2.30厚1:2.5无碱水泥砂浆结合层
2.其他说明：其它满足规范和设计图纸要求</t>
  </si>
  <si>
    <t>1.600*200*15厚PC砖，仿芝麻黑荔枝面
2.30厚1:3水泥砂浆结合层
2.其他说明：其它满足规范和设计图纸要求</t>
  </si>
  <si>
    <t>1.素土夯实，夯实度≥93%
2.其它满足规范和设计图纸要求</t>
  </si>
  <si>
    <t>1.混凝土强度等级:100厚C20混凝土
2.混凝土拌合料要求：符合规范要求
3.模板安拆费用计入综合单价，支模方式综合考虑
4.详见设计图纸
5.其它满足规范和设计图纸要求</t>
  </si>
  <si>
    <t>1.100厚碎石垫层
2.详见设计图纸
3.其它满足规范和设计图纸要求</t>
  </si>
  <si>
    <t>十一</t>
  </si>
  <si>
    <t>LD-3.01~3.04 儿童活动区</t>
  </si>
  <si>
    <t>EPDM现浇地垫</t>
  </si>
  <si>
    <t>1.18厚彩色EPDM现浇地垫（含白色热熔漆）
2.其它满足规范和设计图纸要求</t>
  </si>
  <si>
    <t>栏杆</t>
  </si>
  <si>
    <t>地圈梁</t>
  </si>
  <si>
    <t>1.C25钢筋混凝土圈梁
2.混凝土拌合料要求：符合规范要求
3.模板安拆费用计入综合单价，支模方式综合考虑
4.其它满足规范和设计图纸要求</t>
  </si>
  <si>
    <t>1.现浇构件带肋钢筋HRB400以内  直径≤18mm
2.含钢筋搭接
3.其它说明：其它满足规范和设计图纸要求</t>
  </si>
  <si>
    <t>1.1100mm高
2.80*5、50*3厚圆钢外刷氟碳漆（颜色详见图纸）
3.L*150*8厚热镀锌钢板，4c10 L=150锚件焊接
4.其它满足规范和设计图纸要求</t>
  </si>
  <si>
    <t>成品滑梯</t>
  </si>
  <si>
    <t>1.成品滑梯
2.其它满足规范和设计图纸要求</t>
  </si>
  <si>
    <t>台</t>
  </si>
  <si>
    <t>十二</t>
  </si>
  <si>
    <t>LD-4.01~4.02 老人休憩区</t>
  </si>
  <si>
    <t>PC砖仿芝麻灰荔枝面</t>
  </si>
  <si>
    <t>1.混凝土强度等级:200厚C20混凝土
2.混凝土拌合料要求：符合规范要求
3.模板安拆费用计入综合单价，支模方式综合考虑
4.其它满足规范和设计图纸要求</t>
  </si>
  <si>
    <t>防腐木板</t>
  </si>
  <si>
    <t>1.L×100×50栗色南方松防腐木板留缝5，两侧拉槽，7宽×3高
2.40×26×12×1厚不锈钢卡件
3.80×40厚防腐木龙骨@500
4.100×100×20厚1:2水泥砂浆垫块@500
5.其它满足规范和设计图纸要求</t>
  </si>
  <si>
    <t>十三</t>
  </si>
  <si>
    <t>LD-5.01~5.02 健身休息区</t>
  </si>
  <si>
    <t>十四</t>
  </si>
  <si>
    <t>LD-6.01~6.07 幼儿园</t>
  </si>
  <si>
    <t>铺装</t>
  </si>
  <si>
    <t>景墙</t>
  </si>
  <si>
    <t>1.C30钢筋混凝土条形基础
2.混凝土拌合料要求：符合规范要求
3.模板安拆费用计入综合单价，支模方式综合考虑
4.其它满足规范和设计图纸要求</t>
  </si>
  <si>
    <t>构造柱</t>
  </si>
  <si>
    <t>1.240*240 C25钢筋混凝土构造柱
2.混凝土拌合料要求：符合规范要求
3.模板安拆费用计入综合单价，支模方式综合考虑
4.其它满足规范和设计图纸要求</t>
  </si>
  <si>
    <t>1.C30钢筋混凝土圈梁
2.混凝土拌合料要求：符合规范要求
3.模板安拆费用计入综合单价，支模方式综合考虑
4.其它满足规范和设计图纸要求</t>
  </si>
  <si>
    <t>1.c30钢筋混凝土压顶圈梁
2.混凝土拌合料要求：符合规范要求
3.模板安拆费用计入综合单价，支模方式综合考虑
4.其它满足规范和设计图纸要求</t>
  </si>
  <si>
    <t>涂料墙面</t>
  </si>
  <si>
    <t>1.环保漆（颜色详见图纸）
2.25厚1:2.5水泥砂浆粘接
3.其它说明：其他满足规范和图纸设计要求</t>
  </si>
  <si>
    <t>幼儿园大门</t>
  </si>
  <si>
    <t>1.30×20×1厚热镀锌矩形钢管，外喷橙色氟碳漆
2.30×20×1厚热镀锌矩形钢管，外喷黄色氟碳漆
3.50×40×3厚热镀锌矩形钢管，外喷深蓝色氟碳漆
4.含成品门轴、成品门档、移动门导轨架、成品钢轮、含电子门禁
5.运距自行考虑
6.其他说明详见图纸设计及规范</t>
  </si>
  <si>
    <t>发光LOGO</t>
  </si>
  <si>
    <t>1.2厚彩色拉丝面不锈钢LOGO字体背衬亚克力板背发光
2.其他说明详见图纸设计及规范</t>
  </si>
  <si>
    <t>岗亭</t>
  </si>
  <si>
    <t>1.C30钢筋混凝土独立基础
2.混凝土拌合料要求：符合规范要求
3.模板安拆费用计入综合单价，支模方式综合考虑
4.其它满足规范和设计图纸要求</t>
  </si>
  <si>
    <t>框架柱</t>
  </si>
  <si>
    <t>1.300*300 C30钢筋混凝土构造柱
2.混凝土拌合料要求：符合规范要求
3.模板安拆费用计入综合单价，支模方式综合考虑
4.其它满足规范和设计图纸要求</t>
  </si>
  <si>
    <t>基础梁</t>
  </si>
  <si>
    <t>1.C30钢筋混凝土基础梁
2.混凝土拌合料要求：符合规范要求
3.模板安拆费用计入综合单价，支模方式综合考虑
4.其它满足规范和设计图纸要求</t>
  </si>
  <si>
    <t>框架梁</t>
  </si>
  <si>
    <t>1.C30钢筋混凝土框架梁
2.混凝土拌合料要求：符合规范要求
3.模板安拆费用计入综合单价，支模方式综合考虑
4.其它满足规范和设计图纸要求</t>
  </si>
  <si>
    <t>混凝土板</t>
  </si>
  <si>
    <t>1.C30钢筋混凝土板
2.混凝土拌合料要求：符合规范要求
3.模板安拆费用计入综合单价，支模方式综合考虑
4.其它满足规范和设计图纸要求</t>
  </si>
  <si>
    <t>圈梁</t>
  </si>
  <si>
    <t>1.砖品种、规格、强度等级：MU10页岩砖
2.墙体类型：砖砌体
3.砂浆强度等级、配合比：M7.5水泥砂浆
4.其它说明：其他满足规范和图纸设计要求</t>
  </si>
  <si>
    <t>预埋铁件</t>
  </si>
  <si>
    <t>1.250*250*16钢板，8φ14
3.混凝土拌合料要求：符合规范要求
4.模板安拆费用计入综合单价，支模方式综合考虑
5.其它满足规范和设计图纸要求</t>
  </si>
  <si>
    <t>铝单板</t>
  </si>
  <si>
    <t>1.3厚彩色铝板外包颜色见效果图
2.其他说明详见图纸设计及规范</t>
  </si>
  <si>
    <t>水泥砂浆抹灰</t>
  </si>
  <si>
    <t>1.20厚1:3水泥砂浆
2.其他说明详见图纸设计及规范</t>
  </si>
  <si>
    <t>彩色环保漆</t>
  </si>
  <si>
    <t>1.彩色环保漆
2.其他说明详见图纸设计及规范</t>
  </si>
  <si>
    <t>钢筋</t>
  </si>
  <si>
    <t>1.φ20钢筋斜拉,外喷彩色环保漆
2.其他说明详见图纸设计及规范</t>
  </si>
  <si>
    <t>钢管柱</t>
  </si>
  <si>
    <t>1.钢结构类型:镀锌矩形管(200*200*8)
2.钢材品种、规格:Q235B
3.喷砂除锈，除锈等级达到Sa2.5级
4.运距自行考虑
5.其他说明详见图纸设计及规范</t>
  </si>
  <si>
    <t>1.钢结构类型:镀锌矩形管(150*150*6)
2.钢材品种、规格:Q235B
3.喷砂除锈，除锈等级达到Sa2.5级
4.运距自行考虑
5.其他说明详见图纸设计及规范</t>
  </si>
  <si>
    <t>钢梁</t>
  </si>
  <si>
    <t>1.钢结构类型:镀锌矩形管钢梁（150*150*6）
2.钢材品种、规格:Q235B
3.喷砂除锈，除锈等级达到Sa2.5级
4.运距自行考虑
5.其他说明详见图纸设计及规范</t>
  </si>
  <si>
    <t>1.钢结构类型:镀锌矩形管钢梁（150*100*5）
2.钢材品种、规格:Q235B
3.喷砂除锈，除锈等级达到Sa2.5级
4.运距自行考虑
5.其他说明详见图纸设计及规范</t>
  </si>
  <si>
    <t>1.钢结构类型:镀锌矩形管钢梁（150*100*4）
2.钢材品种、规格:Q235B
3.喷砂除锈，除锈等级达到Sa2.5级
4.运距自行考虑
5.其他说明详见图纸设计及规范</t>
  </si>
  <si>
    <t>1.钢结构类型:热镀锌方钢龙骨（40*40*3）
2.钢材品种、规格:Q235B
3.喷砂除锈，除锈等级达到Sa2.5级
4.运距自行考虑
5.其他说明详见图纸设计及规范</t>
  </si>
  <si>
    <t>1.钢结构类型:镀锌矩形管钢梁（50*50*3）
2.钢材品种、规格:Q235B
3.喷砂除锈，除锈等级达到Sa2.5级
4.运距自行考虑
5.其他说明详见图纸设计及规范</t>
  </si>
  <si>
    <t>十五</t>
  </si>
  <si>
    <t>LD-7.01~7.02 围墙</t>
  </si>
  <si>
    <t>1.混凝土强度等级:C25钢筋混凝土
2.混凝土拌合料要求：符合规范要求
3.模板安拆费用计入综合单价，支模方式综合考虑
4.其它满足规范和设计图纸要求</t>
  </si>
  <si>
    <t>1.c25钢筋混凝土压顶圈梁
2.混凝土拌合料要求：符合规范要求
3.模板安拆费用计入综合单价，支模方式综合考虑
4.其它满足规范和设计图纸要求</t>
  </si>
  <si>
    <t>1.仿深灰色大理石水包水涂料
2.25厚1:2.5水泥砂浆粘接
3.其它说明：其他满足规范和图纸设计要求</t>
  </si>
  <si>
    <t>1.仿深灰色大理石水包水涂料
2.20厚1:2.5水泥砂浆粘接
3.其它说明：其他满足规范和图纸设计要求</t>
  </si>
  <si>
    <t>1.钢材品种、规格:Q235B
2.型钢式、格构式:镀锌矩形钢管60*30*1.5+镀锌矩形钢管80*60*5+镀锌矩形钢管40*20*1.5
3.面饰深咖色金属氟碳漆
4.运距自行考虑
5.其他说明详见图纸设计及规范</t>
  </si>
  <si>
    <t>1.钢材品种、规格:Q235B
2.型钢式、格构式:镀锌矩形钢管100*40*2+镀锌矩形钢管40*20*2+镀锌矩形钢管50*20/30*2
3.面饰深咖色金属氟碳漆或彩色金属氟碳漆
4.运距自行考虑
5.其他说明详见图纸设计及规范</t>
  </si>
  <si>
    <t>十六</t>
  </si>
  <si>
    <t>LD-8.01~8.03 型一、型二、型三 铁艺大门</t>
  </si>
  <si>
    <t>铁艺大门型一</t>
  </si>
  <si>
    <t>1.钢材品种、规格:Q235B
2.型钢式、格构式:热镀锌矩形钢管50*50*3+热镀锌矩形钢管30*30*2+热镀锌矩形钢管15*15*2+热镀锌钢板50宽5厚
3.外喷深咖色氟碳漆，含成品门轴、移动门导轨架、成品钢轮。
4.运距自行考虑
5.其他说明详见图纸设计及规范</t>
  </si>
  <si>
    <t>铁艺大门型二</t>
  </si>
  <si>
    <t>1.钢材品种、规格:Q235B
2.型钢式、格构式:热镀锌矩形钢管50*50*3+热镀锌矩形钢管30*30*2+热镀锌矩形钢管15*15*2+热镀锌钢板50宽5厚
3.外喷深咖色氟碳漆，含成品门轴、移动门导轨架、成品钢轮、含电子门禁。
4.运距自行考虑
5.其他说明详见图纸设计及规范</t>
  </si>
  <si>
    <t>铁艺大门型三</t>
  </si>
  <si>
    <t>十七</t>
  </si>
  <si>
    <t>LD-10.01~10.11  51#、52#、56#、57#、55# 非机动车库坡道玻璃雨棚</t>
  </si>
  <si>
    <t>LD-10.01~10.02   51#非机动车库坡道玻璃雨棚</t>
  </si>
  <si>
    <t>钢化夹胶玻璃</t>
  </si>
  <si>
    <t>1.6+1.14PVB+6透明钢化夹胶玻璃
2.专业玻璃胶固定，缝隙处密封胶填实
3.立面玻璃成品玻璃卡件，玻璃与建筑物交接处密封胶填实
4.其他说明：其它满足规范和设计图纸要求</t>
  </si>
  <si>
    <t>1.30*30*2热镀锌方钢，深咖色氟碳漆，间距130
2.50*50*3热镀锌方钢，深咖色氟碳漆。</t>
  </si>
  <si>
    <t>方钢主梁</t>
  </si>
  <si>
    <t>1.150*150*5厚热镀锌方钢
2.深咖色氟碳漆饰面
3.预埋件、喷砂除锈喷漆及构件吊运等措施
4.其它说明：其它满足规范和设计图纸要求</t>
  </si>
  <si>
    <t>方钢次梁</t>
  </si>
  <si>
    <t>1.100*100*5厚热镀锌方钢
2.深咖色氟碳漆饰面
3.预埋件、喷砂除锈喷漆及构件吊运等措施
4.其它说明：其它满足规范和设计图纸要求</t>
  </si>
  <si>
    <t>1.50*50*3厚热镀锌方钢
2.深咖色氟碳漆饰面
3.预埋件、喷砂除锈喷漆及构件吊运等措施
4.其它说明：其它满足规范和设计图纸要求</t>
  </si>
  <si>
    <t>方钢立柱</t>
  </si>
  <si>
    <t>1.150*150*5厚热镀锌矩形钢
2.深咖色氟碳漆饰面
3.预埋件、喷砂除锈喷漆及构件吊运等措施
4.其它说明：其它满足规范和设计图纸要求</t>
  </si>
  <si>
    <t>1.100*150*5厚热镀锌矩形钢
2.深咖色氟碳漆饰面
3.预埋件、喷砂除锈喷漆及构件吊运等措施
4.其它说明：其它满足规范和设计图纸要求</t>
  </si>
  <si>
    <t>涂料饰面</t>
  </si>
  <si>
    <t>1.米黄色真石漆，10*5凹槽
2.其它说明：其它满足规范和设计图纸要求</t>
  </si>
  <si>
    <t>LD-10.03~10.04   52#非机动车库坡道玻璃雨棚</t>
  </si>
  <si>
    <t>LD-10.05~10.06   56#非机动车库坡道玻璃雨棚</t>
  </si>
  <si>
    <t>LD-10.07~10.09   57#非机动车库坡道玻璃雨棚</t>
  </si>
  <si>
    <t>LD-10.10~10.11   55#非机动车库坡道玻璃雨棚</t>
  </si>
  <si>
    <t>十八</t>
  </si>
  <si>
    <t>LD-11.01~11.07 地面疏散坡道玻璃雨棚</t>
  </si>
  <si>
    <t>LD-11.01~11.02  地面疏散坡道一玻璃雨棚</t>
  </si>
  <si>
    <t>LD-11.03~11.04  地面疏散坡道二玻璃雨棚</t>
  </si>
  <si>
    <t>LD-11.05~11.07  地面疏散坡道三玻璃雨棚</t>
  </si>
  <si>
    <t>十九</t>
  </si>
  <si>
    <t>LD-12.01~12.07 休憩场地</t>
  </si>
  <si>
    <t>休憩场地廊架地面铺装</t>
  </si>
  <si>
    <t>1.100厚碎石垫层
2.其它说明：其它满足规范和设计图纸要求</t>
  </si>
  <si>
    <t>铺装面层</t>
  </si>
  <si>
    <t>1.600*300*15、600*200*15厚铺装面层 PC砖 仿芝麻黑、芝麻灰荔枝面
2.30厚1:3水泥砂浆
3.其它满足规范和设计图纸要求</t>
  </si>
  <si>
    <t>2</t>
  </si>
  <si>
    <t>休憩场地廊架顶</t>
  </si>
  <si>
    <t>1.3厚深咖色铝单板外包
2.30*30*2厚热镀锌方钢龙骨@900
3.其他说明：其它满足规范和设计图纸要求</t>
  </si>
  <si>
    <t>透光亚克力板</t>
  </si>
  <si>
    <t>1.5厚白色透光亚克力板 磨砂面
2.其他说明：其它满足规范和设计图纸要求</t>
  </si>
  <si>
    <t>休憩场地廊架立面</t>
  </si>
  <si>
    <t>格栅</t>
  </si>
  <si>
    <t>1.30*100*3厚热镀锌@80深咖色氟碳漆饰面             
2.其他满足规范和设计图纸要求</t>
  </si>
  <si>
    <t>格栅外热镀锌钢板</t>
  </si>
  <si>
    <t>1.5厚热镀锌钢板 深咖色氟碳漆饰面
2.其他满足规范和设计图纸要求</t>
  </si>
  <si>
    <t>1.6+1.14PVB+6夹胶安全玻璃
2.100*200*5厚热镀锌钢 外露面深咖色氟碳漆饰面
3.50*30*2厚热镀锌钢玻璃槽 深咖色氟碳漆饰面
4.其他满足规范和设计图纸要求</t>
  </si>
  <si>
    <t>立柱</t>
  </si>
  <si>
    <t>1.截面：250*250
2.200*200*8厚热镀锌方钢
3.3厚深咖色铝板外包</t>
  </si>
  <si>
    <t>砼垫层（柱下）</t>
  </si>
  <si>
    <t>砼基础（柱下）</t>
  </si>
  <si>
    <t>1.混凝土强度等级:C25混凝土基础
2.混凝土拌合料要求：符合规范要求
3.模板安拆费用计入综合单价，支模方式综合考虑
4.其它满足规范和设计图纸要求</t>
  </si>
  <si>
    <t>砼地梁（柱下）</t>
  </si>
  <si>
    <t>1.混凝土强度等级:C25混凝土地梁
2.混凝土拌合料要求：符合规范要求
3.模板安拆费用计入综合单价，支模方式综合考虑
4.其它满足规范和设计图纸要求</t>
  </si>
  <si>
    <t>预埋铁件（柱下）</t>
  </si>
  <si>
    <t>1.钢材品种、规格:-200*200*8厚热镀锌钢板，4C12，L=200锚件焊接
2.型钢式、格构式:钢板
3.运距自行考虑
4.其他说明详见图纸设计及规范</t>
  </si>
  <si>
    <t>砼垫层（格栅下）</t>
  </si>
  <si>
    <t>砖基础（格栅下）</t>
  </si>
  <si>
    <t>砼地梁（格栅下）</t>
  </si>
  <si>
    <t>预埋铁件（格栅下）</t>
  </si>
  <si>
    <t>100*150*5厚热镀锌方钢（格栅下）</t>
  </si>
  <si>
    <t>1.钢材品种、规格:100*150*5厚热镀锌方钢@500
2.型钢式、格构式:方钢管
3.运距自行考虑
4.其他说明详见图纸设计及规范</t>
  </si>
  <si>
    <t>200*200*5厚热镀锌方钢（格栅下）</t>
  </si>
  <si>
    <t>1.钢材品种、规格:200*200*5厚热镀锌方钢 深咖色氟碳漆饰面
2.型钢式、格构式:方钢管
3.运距自行考虑
4.其他说明详见图纸设计及规范</t>
  </si>
  <si>
    <t>砼垫层（安全玻璃下）</t>
  </si>
  <si>
    <t>砖基础（安全玻璃下）</t>
  </si>
  <si>
    <t>砼地梁（安全玻璃下）</t>
  </si>
  <si>
    <t>预埋铁件（安全玻璃下）</t>
  </si>
  <si>
    <t>100*100*5厚热镀锌方钢（安全玻璃下）</t>
  </si>
  <si>
    <t>1.钢材品种、规格:100*100*5厚热镀锌方钢@500
2.型钢式、格构式:方钢管
3.运距自行考虑
4.其他说明详见图纸设计及规范</t>
  </si>
  <si>
    <t>100*200*5厚热镀锌方钢（安全玻璃下）</t>
  </si>
  <si>
    <t>1.钢材品种、规格:100*200*5厚热镀锌方钢
2.型钢式、格构式:方钢管
3.运距自行考虑
4.其他说明详见图纸设计及规范</t>
  </si>
  <si>
    <t>休憩场地廊架 台阶</t>
  </si>
  <si>
    <t>1.50厚芝麻灰花岗岩 烧面 尺寸详平面
2.30厚1:3水泥砂浆
3.其它满足规范和设计图纸要求</t>
  </si>
  <si>
    <t>休憩场地廊架 基础及顶钢架结构</t>
  </si>
  <si>
    <t>回填土</t>
  </si>
  <si>
    <t>1.夯实度大于0.94
2.用摩擦角大于30度中粗砂填筑
3.运距自行考虑
4.其它说明：其它满足规范和设计图纸要求</t>
  </si>
  <si>
    <t>砼独立基础</t>
  </si>
  <si>
    <t>1.混凝土强度等级:C30混凝土
2.混凝土拌合料要求：符合规范要求
3.模板安拆费用计入综合单价，支模方式综合考虑
4.其它满足规范和设计图纸要求</t>
  </si>
  <si>
    <t>砼柱</t>
  </si>
  <si>
    <t>砼梁</t>
  </si>
  <si>
    <t>预埋铁件（YMJ1)</t>
  </si>
  <si>
    <t>1.400*400*20厚底板，Q345，200*80*10加筋板,8M16地脚螺栓
2.运距自行考虑
3.其他说明详见图纸设计及规范</t>
  </si>
  <si>
    <t>不锈钢板</t>
  </si>
  <si>
    <t>1.3mm厚316不锈钢板完全包裹钢柱
2.不锈钢板，必须紧贴钢柱无缝隙，打耐候胶密封
3.运距自行考虑
4.其他说明详见图纸设计及规范</t>
  </si>
  <si>
    <t>无收缩细石砼</t>
  </si>
  <si>
    <t>GL1</t>
  </si>
  <si>
    <t>1.200*150*6厚热镀锌方钢
2.深咖色氟碳漆饰面
3.预埋件、喷砂除锈喷漆、防腐及构件吊运等措施
4.其它说明：其它满足规范和设计图纸要求</t>
  </si>
  <si>
    <t>GL2</t>
  </si>
  <si>
    <t>1.200*100*6厚热镀锌方钢
2.深咖色氟碳漆饰面
3.预埋件、喷砂除锈喷漆、防腐及构件吊运等措施
4.其它说明：其它满足规范和设计图纸要求</t>
  </si>
  <si>
    <t>GL3</t>
  </si>
  <si>
    <t>1.50*100*4厚热镀锌钢
2.深咖色氟碳漆饰面
3.预埋件、喷砂除锈喷漆、防腐及构件吊运等措施
4.其它说明：其它满足规范和设计图纸要求</t>
  </si>
  <si>
    <t>1.现浇构件钢筋 三级 直径≤10mm
2.含钢筋搭接
3.其它说明：其它满足规范和设计图纸要求</t>
  </si>
  <si>
    <t>（一）~（二十）项合计</t>
  </si>
  <si>
    <t>开元壹号62地块一期景观施工绿化工程量清单与计价表（苗木类）</t>
  </si>
  <si>
    <t>名称</t>
  </si>
  <si>
    <t>数量</t>
  </si>
  <si>
    <t>单位</t>
  </si>
  <si>
    <t>单价</t>
  </si>
  <si>
    <t>规格（cm）(以下均为修剪后的规格)</t>
  </si>
  <si>
    <t>备注（全冠移栽）</t>
  </si>
  <si>
    <t>胸径/地径</t>
  </si>
  <si>
    <t>高度</t>
  </si>
  <si>
    <t>蓬径</t>
  </si>
  <si>
    <t>一、特大乔木</t>
  </si>
  <si>
    <t>丛生五角枫</t>
  </si>
  <si>
    <t>株</t>
  </si>
  <si>
    <t>1000-1100</t>
  </si>
  <si>
    <t>600-650</t>
  </si>
  <si>
    <t>丛生，基部分枝，5分枝以上，单枝干径大于20CM,树形优美</t>
  </si>
  <si>
    <t>丛生茶条槭A</t>
  </si>
  <si>
    <t>丛生茶条槭B</t>
  </si>
  <si>
    <t>900-950</t>
  </si>
  <si>
    <t>丛生，基部分枝，5分枝以上，单枝干径大于15CM,树形优美</t>
  </si>
  <si>
    <t>小计</t>
  </si>
  <si>
    <t>二、大乔木 、中乔木</t>
  </si>
  <si>
    <t>特选红梅</t>
  </si>
  <si>
    <t>450-500</t>
  </si>
  <si>
    <t>全冠，冠幅饱满，树冠广阔，低分枝，树形优美</t>
  </si>
  <si>
    <t>国槐A</t>
  </si>
  <si>
    <t>750-800</t>
  </si>
  <si>
    <t>500-550</t>
  </si>
  <si>
    <t>全冠，冠幅饱满，树冠广阔，3级以上分枝，树形优美</t>
  </si>
  <si>
    <t>国槐B</t>
  </si>
  <si>
    <t>700-750</t>
  </si>
  <si>
    <t>朴树A</t>
  </si>
  <si>
    <t>朴树B</t>
  </si>
  <si>
    <t>大叶女贞</t>
  </si>
  <si>
    <t>400-450</t>
  </si>
  <si>
    <t>丛生女贞</t>
  </si>
  <si>
    <t>丛生，基部分枝，6分枝以上，单枝干径大于13CM,树形优美</t>
  </si>
  <si>
    <t>黄山栾树</t>
  </si>
  <si>
    <t xml:space="preserve">三、小乔木、大灌木 </t>
  </si>
  <si>
    <t>金桂A</t>
  </si>
  <si>
    <t>丛生，全冠，冠幅饱满，树冠广阔，树形优美</t>
  </si>
  <si>
    <t>金桂B</t>
  </si>
  <si>
    <t>350-400</t>
  </si>
  <si>
    <t>300-350</t>
  </si>
  <si>
    <t>金桂C</t>
  </si>
  <si>
    <t>250-300</t>
  </si>
  <si>
    <t>石楠A</t>
  </si>
  <si>
    <t>石楠B</t>
  </si>
  <si>
    <t>山杏</t>
  </si>
  <si>
    <t>紫玉兰A</t>
  </si>
  <si>
    <t>紫玉兰B</t>
  </si>
  <si>
    <t>红叶李A</t>
  </si>
  <si>
    <t>红叶李B</t>
  </si>
  <si>
    <t>早樱</t>
  </si>
  <si>
    <t>日本晚樱A</t>
  </si>
  <si>
    <t>日本晚樱B</t>
  </si>
  <si>
    <t>果石榴</t>
  </si>
  <si>
    <t>花石榴</t>
  </si>
  <si>
    <t>200-250</t>
  </si>
  <si>
    <t>丛生,分支10枝以上，造型优美</t>
  </si>
  <si>
    <t>鸡爪槭A</t>
  </si>
  <si>
    <t>散形、全冠，冠幅饱满，树冠广阔，3级以上分枝，树形优美</t>
  </si>
  <si>
    <t>鸡爪槭B</t>
  </si>
  <si>
    <t>红枫A</t>
  </si>
  <si>
    <t>红枫B</t>
  </si>
  <si>
    <t>北美海棠</t>
  </si>
  <si>
    <t>230-250</t>
  </si>
  <si>
    <t>西府海棠</t>
  </si>
  <si>
    <t>紫薇</t>
  </si>
  <si>
    <t>美人梅</t>
  </si>
  <si>
    <t>紫荆</t>
  </si>
  <si>
    <t>250-280</t>
  </si>
  <si>
    <t>腊梅</t>
  </si>
  <si>
    <t>180-220</t>
  </si>
  <si>
    <t>150-180</t>
  </si>
  <si>
    <t>木槿</t>
  </si>
  <si>
    <t>100-120</t>
  </si>
  <si>
    <t>分支点小于50cm，全冠，株形圆润饱满，枝叶茂盛</t>
  </si>
  <si>
    <t>四、球类、点缀灌木</t>
  </si>
  <si>
    <t>大叶黄杨球A</t>
  </si>
  <si>
    <t>球形饱满,不脱脚,净球,修剪后规格</t>
  </si>
  <si>
    <t>大叶黄杨球B</t>
  </si>
  <si>
    <t>180-200</t>
  </si>
  <si>
    <t>大叶黄杨球C</t>
  </si>
  <si>
    <t>140-150</t>
  </si>
  <si>
    <t>150-160</t>
  </si>
  <si>
    <t>红叶石楠球A</t>
  </si>
  <si>
    <t>红叶石楠球B</t>
  </si>
  <si>
    <t>140-160</t>
  </si>
  <si>
    <t>金叶女贞球</t>
  </si>
  <si>
    <t>90-100</t>
  </si>
  <si>
    <t>120-140</t>
  </si>
  <si>
    <t>海桐球A</t>
  </si>
  <si>
    <t>海桐球B</t>
  </si>
  <si>
    <t>五、小灌木、地被、草坪</t>
  </si>
  <si>
    <t>珊瑚篱</t>
  </si>
  <si>
    <t>㎡</t>
  </si>
  <si>
    <t>40-45</t>
  </si>
  <si>
    <t>16株/M²不脱脚，毛球苗，密植，以叶面不见缝隙（不漏黄土）为准</t>
  </si>
  <si>
    <t>洒金桃叶珊瑚</t>
  </si>
  <si>
    <t>30-35</t>
  </si>
  <si>
    <t>49株/M²，不脱脚，毛球苗，密植，以叶面不见缝隙（不漏黄土）为准</t>
  </si>
  <si>
    <t>红叶石楠</t>
  </si>
  <si>
    <t>海桐</t>
  </si>
  <si>
    <t>大叶黄杨</t>
  </si>
  <si>
    <t>金边黄杨</t>
  </si>
  <si>
    <t>金焰绣线菊</t>
  </si>
  <si>
    <t>25-30</t>
  </si>
  <si>
    <t>金森女贞</t>
  </si>
  <si>
    <t>64株/M²，不脱脚，毛球苗，密植，以叶面不见缝隙（不漏黄土）为准</t>
  </si>
  <si>
    <t>红花继木</t>
  </si>
  <si>
    <t>小叶黄杨</t>
  </si>
  <si>
    <t>20-25</t>
  </si>
  <si>
    <t>81株/M²，不脱脚，毛球苗，密植，以叶面不见缝隙（不漏黄土）为准</t>
  </si>
  <si>
    <t>毛鹃</t>
  </si>
  <si>
    <t>大花月季</t>
  </si>
  <si>
    <t>麦冬</t>
  </si>
  <si>
    <t>满铺不漏土</t>
  </si>
  <si>
    <t>草坪</t>
  </si>
  <si>
    <t>满铺（高羊毛+矮生黑麦草+早熟禾混播草），草卷</t>
  </si>
  <si>
    <t>六、整理微地形</t>
  </si>
  <si>
    <t>整理微地形</t>
  </si>
  <si>
    <t>（一）~（六）项合计（元）</t>
  </si>
  <si>
    <t>景观电气清单与计价表</t>
  </si>
  <si>
    <t>景观电气</t>
  </si>
  <si>
    <t>配电箱ALY</t>
  </si>
  <si>
    <t>1、名称：配电箱ALY1；
2、安装方式：室外隐蔽处安装；
3、含基础、配电箱系统调试；   
4、型号：IP65，箱体带锁；                          
5、其他：详见图纸设计，相关图集08D800-5，相关规范等。</t>
  </si>
  <si>
    <t>配电箱AL2</t>
  </si>
  <si>
    <t>1、名称：配电箱AL2；
2、安装方式：室外隐蔽处安装；
3、含基础、配电箱系统调试；   
4、型号：IP65，箱体带锁；                          
5、其他：详见图纸设计，相关图集08D800-5，相关规范等。</t>
  </si>
  <si>
    <t>套</t>
  </si>
  <si>
    <t>配管</t>
  </si>
  <si>
    <t>1、名称：PC管；
2、材质、规格：PC40；
3、敷设方式：埋地敷设；
4、其他：详见图纸设计，相关图集，规范等。</t>
  </si>
  <si>
    <t>1、名称：PC管；
2、材质、规格：PC32；
3、敷设方式：埋地敷设；
4、其他：详见图纸设计，相关图集，规范等。</t>
  </si>
  <si>
    <t>1、名称：钢管；
2、材质、规格：SC32；
3、敷设方式：埋地敷设；
4、其他：详见图纸设计，相关图集，规范等。</t>
  </si>
  <si>
    <t>电力电缆</t>
  </si>
  <si>
    <t>1、名称：电力电缆；
2、规格、型号：FS-VV-2*4；
3、含电缆头；
4、敷设方式:穿管敷设；
5、其它：详见图纸设计，相关图集，规范等。</t>
  </si>
  <si>
    <t>1、名称：电力电缆；
2、规格、型号：YJV-1 3*4；
3、含电缆头；
4、敷设方式:穿管敷设；
5、其它：详见图纸设计，相关图集，规范等。</t>
  </si>
  <si>
    <t>1、名称：电力电缆；
2、规格、型号：YJV-1 3*6；
3、含电缆头；
4、敷设方式:穿管敷设；
5、其它：详见图纸设计，相关图集，规范等。</t>
  </si>
  <si>
    <t>1、名称：电力电缆；
2、规格、型号：YJV-1 4*4+1*4；
3、含电缆头；
4、敷设方式:穿管敷设；
5、其它：详见图纸设计，相关图集，规范等。</t>
  </si>
  <si>
    <t>庭院灯</t>
  </si>
  <si>
    <t>1、名称：庭院灯；
2、规格、大小、型号：1X50w LED(色温:3000k) H=3.5m；
3、含800*800*900混凝土基础、预留、调试、接地；
4、安装方式：预留基座安装；
5、其他：详见图纸设计，相关图集，规范等。</t>
  </si>
  <si>
    <t>草坪灯</t>
  </si>
  <si>
    <t>1、名称:草坪灯；
2、规格、大小、型号：1X10w LED(色温:3000k )；
3、含300*300*300 C20砼基础、预留、调试、接地；
4、安装方式：预留基座安装；
5、其他：详见图纸设计，相关图集，规范等。</t>
  </si>
  <si>
    <t>插泥灯</t>
  </si>
  <si>
    <t>1、名称:插泥灯；
2、规格、大小、型号：插泥安装
1X18w LED(色温:3000k) 插泥安装)；
3、含基础、预留、调试、接地；
4、安装方式：预留基座安装；
5、其他：详见图纸设计，相关图集，规范等。</t>
  </si>
  <si>
    <t>灯带</t>
  </si>
  <si>
    <t>1、名称：LED灯带；
2、规格、大小、型号：贴片式LED灯带 14.4w/m；
3、成品卡槽固定；
4、其他：详见图纸设计，相关图集，规范等。</t>
  </si>
  <si>
    <t>1、名称：LED灯带；
2、规格、大小、型号：贴片式LED灯带 9w/m DC24V；
3、成品卡槽固定；
4、其他：详见图纸设计，相关图集，规范等。</t>
  </si>
  <si>
    <t>1、名称：LED水下灯带；
2、规格、大小、型号：贴片式LED灯带 6w/m DC12V；
3、成品卡槽固定；
4、其他：详见图纸设计，相关图集，规范等。</t>
  </si>
  <si>
    <t>接线盒</t>
  </si>
  <si>
    <t>1、名称：水泵接线盒（地下电缆配套提供）
2、其他：详见图纸设计、相关图集、规范等</t>
  </si>
  <si>
    <t>电缆手井</t>
  </si>
  <si>
    <t>1、名称：电缆手井
2、规格：500*500*900；
3、垫层、基础材质及厚度：C20混凝土垫层150mm厚
4、砌筑材料品种、规格、 强度等级：125厚砖砌井壁,
5、勾缝、抹面要求：内壁水泥砂浆抹面10mm厚
6、井盖：接线井盖板650*650*50，成品化妆盖板
7、其它：详见图纸设计</t>
  </si>
  <si>
    <t>座</t>
  </si>
  <si>
    <t>1、类型：沟槽、一般挖土方
2、其他：详见图纸设计、相关图集、规范等</t>
  </si>
  <si>
    <t>回填方</t>
  </si>
  <si>
    <t>1、类型：回填、夯实
2、其他：详见图纸设计、相关图集、规范等</t>
  </si>
  <si>
    <t>1、名称：钢管；
2、材质、规格：SC40；
3、敷设方式：埋地敷设；
4、其他：详见图纸设计，相关图集，规范等。</t>
  </si>
  <si>
    <t>1、名称：电力电缆；
2、规格、型号：YJV-1 4X10+1X10；
3、含电缆头；
4、敷设方式:穿管敷设；
5、其它：详见图纸设计，相关图集，规范等。</t>
  </si>
  <si>
    <t>1、名称：钢管；
2、材质、规格：SC50；
3、敷设方式：埋地敷设；
4、其他：详见图纸设计，相关图集，规范等。</t>
  </si>
  <si>
    <t>1、名称：电力电缆；
2、规格、型号：YJV-1 4X16+1X16；
3、含电缆头；
4、敷设方式:穿管敷设；
5、其它：详见图纸设计，相关图集，规范等。</t>
  </si>
  <si>
    <t>变压器</t>
  </si>
  <si>
    <t>1、名称：变压器；
2、规格、型号：300VA/24V；
3、其它：详见图纸设计，相关图集，规范等。</t>
  </si>
  <si>
    <t>1、名称：变压器；
2、规格、型号：600VA/12V；
3、其它：详见图纸设计，相关图集，规范等。</t>
  </si>
  <si>
    <t>钢套管</t>
  </si>
  <si>
    <t>1、名称：钢套管；
2、规格、型号：SC40；
3、其它：详见图纸设计，相关图集，规范等。</t>
  </si>
  <si>
    <t>合计</t>
  </si>
  <si>
    <t>景观给排水外网清单报价表</t>
  </si>
  <si>
    <t>排水工程</t>
  </si>
  <si>
    <t>1.密实度要求：满足设计要求 
2.填方材料品种：满足设计要求的合格土方 
3.填方粒径要求：100mm厚中粗砂+按图设计填土
4.填方来源、运距：投标人根据现场实际情况自行考虑
5.其它满足规范和设计图纸要求</t>
  </si>
  <si>
    <t>排水管UPVC管</t>
  </si>
  <si>
    <t>1、名称：UPVC
2、规格：D100；
3、连接方式：承插式橡胶圈连接；
4、安装方式：埋地安装；
5、压力试验及吹、洗设计要求:满足规范及设计要求；
6、其他：详见图纸设计、相关图集、规范等。</t>
  </si>
  <si>
    <t>成品地漏</t>
  </si>
  <si>
    <t>1、名称：成品地漏
2、规格:DN100
3、详见通用详图地漏做法
4、含相关配件,未详尽处满足图纸设计、相关规范要求</t>
  </si>
  <si>
    <t>雨水工程</t>
  </si>
  <si>
    <t>UPVC管</t>
  </si>
  <si>
    <t>1、名称:UPVC管
2、规格、型号:UPVC，DN65
3、连接方式:承插连接
4、未详尽处满足图纸设计、相关规范要求</t>
  </si>
  <si>
    <t>1、名称:UPVC管
2、规格、型号:UPVC，DN100 
3、连接方式:承插连接
4、未详尽处满足图纸设计、相关规范要求</t>
  </si>
  <si>
    <t>雨水管双壁波纹管</t>
  </si>
  <si>
    <t>1、名称：双壁波纹管D200；
2、规格：D200；
3、连接方式：承插式橡胶圈连接；
4、安装方式：埋地安装；
5、压力试验及吹、洗设计要求:满足规范及设计要求；
6、其他：详见图纸设计、相关图集、规范等。</t>
  </si>
  <si>
    <t>1、名称：双壁波纹管D300；
2、规格：D300；
3、连接方式：承插式橡胶圈连接；
4、安装方式：埋地安装；
5、压力试验及吹、洗设计要求:满足规范及设计要求；
6、其他：详见图纸设计、相关图集、规范等。</t>
  </si>
  <si>
    <t>地漏</t>
  </si>
  <si>
    <t>1、名称：不锈钢地漏
2、规格:DN100
3、详见通用详图地漏做法
4、含相关配件,未详尽处满足图纸设计、相关规范要求</t>
  </si>
  <si>
    <t>绿化排水口</t>
  </si>
  <si>
    <t>1.绿化排水口
2.详见通用详图:硬质排水口大样图，含排水篦子
3.其它满足规范和设计图纸要求</t>
  </si>
  <si>
    <t>硬质排水口</t>
  </si>
  <si>
    <t>1.硬质排水口
2.详见通用详图:硬质排水口大样图，含排水篦子
3.其它满足规范和设计图纸要求</t>
  </si>
  <si>
    <t>给水</t>
  </si>
  <si>
    <t>1.密实度要求：满足设计要求 
2.填方材料品种：满足设计要求的合格土方 
3.填方粒径要求：按图设计填土及40mm砂砾和碎石
4.填方来源、运距：投标人根据现场实际情况自行考虑
5.其它满足规范和设计图纸要求</t>
  </si>
  <si>
    <t>给水管</t>
  </si>
  <si>
    <t>1.给水管
2.材质及规格：PE管De20
3.接口方式:热熔连接
4.铺设深度：详见图纸
5.压力试验及吹、洗设计要求:1.0MPa
  满足规范及设计要求
6.其他：详见图纸设计、相关图集、规范等</t>
  </si>
  <si>
    <t>1.给水管
2.材质及规格：PE管De32
3.接口方式:热熔连接
4.铺设深度：详见图纸
5.压力试验及吹、洗设计要求:1.0MPa
  满足规范及设计要求
6.其他：详见图纸设计、相关图集、规范等</t>
  </si>
  <si>
    <t>1.给水管
2.材质及规格：PE管De40
3.接口方式:热熔连接
4.铺设深度：详见图纸
5.压力试验及吹、洗设计要求:1.0MPa
  满足规范及设计要求
6.其他：详见图纸设计、相关图集、规范等</t>
  </si>
  <si>
    <t>1.给水管
2.材质及规格：PE管De50
3.接口方式:热熔连接
4.铺设深度：详见图纸
5.压力试验及吹、洗设计要求:1.0MPa
  满足规范及设计要求
6.其他：详见图纸设计、相关图集、规范等</t>
  </si>
  <si>
    <t>1.给水管
2.材质及规格：PE管De63
3.接口方式:热熔连接
4.铺设深度：详见图纸
5.压力试验及吹、洗设计要求:1.0MPa
  满足规范及设计要求
6.其他：详见图纸设计、相关图集、规范等</t>
  </si>
  <si>
    <t>砌筑井</t>
  </si>
  <si>
    <t>1.水表井
2.详见图集05S502-43
3.附件：水表及附件另计，井盖与井圈等满足规范及图纸要求
4.其它满足规范和设计图纸要求</t>
  </si>
  <si>
    <t>倒流防止器</t>
  </si>
  <si>
    <t>1.倒流防止器
2.材质、规格：DN50
3.接口方式:法兰连接
4.压力试验及吹、洗设计要求:1.0MPa
  满足规范及设计要求
5.其他：详见图纸设计、相关图集、规范等</t>
  </si>
  <si>
    <t>闸阀</t>
  </si>
  <si>
    <t>1.闸阀
2.材质、规格：DN50
3.接口方式:法兰连接
4.压力试验及吹、洗设计要求:1.0MPa
  满足规范及设计要求
5.其他：详见图纸设计、相关图集、规范等</t>
  </si>
  <si>
    <t>Y型过滤器</t>
  </si>
  <si>
    <t>1.Y型过滤器
2.材质、规格：DN50
3.接口方式:法兰连接
4.压力试验及吹、洗设计要求:1.0MPa
  满足规范及设计要求
5.其他：详见图纸设计、相关图集、规范等</t>
  </si>
  <si>
    <t>水表</t>
  </si>
  <si>
    <t>1.水表
2.材质、规格：DN50
3.接口方式:法兰连接
4.压力试验及吹、洗设计要求:1.0MPa
  满足规范及设计要求
5.其他：详见图纸设计、相关图集、规范等</t>
  </si>
  <si>
    <t>套管</t>
  </si>
  <si>
    <t>1、套管
2、材质、规格：钢管DN65
3、给水管道穿越水池处套管
4.其他：详见图纸设计、相关图集、规范等</t>
  </si>
  <si>
    <t>取水阀</t>
  </si>
  <si>
    <t>1.取水阀
2.详见取水阀节点大样图
3.含快速取水阀套筒、转角配件、塑料短接管灌溉用取水阀、快速耦合阀
4.其它满足规范和设计图纸要求</t>
  </si>
  <si>
    <t>1.室外阀门井
2.详见图集05S502P16
3.附件：阀门另计，井盖与井圈等满足规范及图纸要求
4.其它满足规范和设计图纸要求</t>
  </si>
  <si>
    <t>井盖</t>
  </si>
  <si>
    <t>1、铸铁井盖
2、材质、规格：φ1200
3.附件：井盖与井圈等满足规范及图纸要求</t>
  </si>
  <si>
    <t>中心水景给排水详图</t>
  </si>
  <si>
    <t>多孔出水管</t>
  </si>
  <si>
    <t>1.多孔出水管
2.材质及规格：DN100
3.接口方式:热熔连接
4.铺设深度：详见图纸
5.压力试验及吹、洗设计要求:1.6MPa
  满足规范及设计要求
6.其他：详见图纸设计、相关图集、规范等</t>
  </si>
  <si>
    <t>上水管</t>
  </si>
  <si>
    <t>1.上水管
2.材质及规格：DN150
3.接口方式:热熔连接
4.铺设深度：详见图纸
5.压力试验及吹、洗设计要求:1.6MPa
  满足规范及设计要求
6.其他：详见图纸设计、相关图集、规范等</t>
  </si>
  <si>
    <t>止回阀</t>
  </si>
  <si>
    <t>1.止回阀
2.材质、规格：DN150
3.接口方式:法兰连接
4.压力试验及吹、洗设计要求:1.0MPa
  满足规范及设计要求
5.其他：详见图纸设计、相关图集、规范等</t>
  </si>
  <si>
    <t>1.闸阀
2.材质、规格：DN150
3.接口方式:法兰连接
4.压力试验及吹、洗设计要求:1.0MPa
  满足规范及设计要求
5.其他：详见图纸设计、相关图集、规范等</t>
  </si>
  <si>
    <t>潜水泵</t>
  </si>
  <si>
    <t>1、名称：潜水泵
2、型号、规格：QS 100-12-7.5
3、其他详见图纸设计</t>
  </si>
  <si>
    <t>柔性橡胶接头</t>
  </si>
  <si>
    <t>1、名称：柔性橡胶接头
2、型号、规格：DN150
3、其他详见图纸设计</t>
  </si>
  <si>
    <t>放空管</t>
  </si>
  <si>
    <t>1.放空管
2.材质及规格：UPVC管DN100
3.接口方式:热熔连接
4.铺设深度：详见图纸
5.压力试验及吹、洗设计要求:1.25MPa
  满足规范及设计要求
6.其他：详见图纸设计、相关图集、规范等</t>
  </si>
  <si>
    <t>排水管</t>
  </si>
  <si>
    <t>1.排水管
2.材质及规格：UPVC管DN100
3.接口方式:热熔连接
4.铺设深度：详见图纸
5.压力试验及吹、洗设计要求:1.25MPa
  满足规范及设计要求
6.其他：详见图纸设计、相关图集、规范等</t>
  </si>
  <si>
    <t>阀门井</t>
  </si>
  <si>
    <t>1.放空阀门井
2.详见图集05S502P16
3.附件：含放空阀，井盖与井圈等满足规范及图纸要求
4.其它满足规范和设计图纸要求</t>
  </si>
  <si>
    <t>透水管</t>
  </si>
  <si>
    <t>1.透水管
2.材质及规格：φ100
3.其它满足规范和设计图纸要求</t>
  </si>
  <si>
    <t>开元壹号62地块一期景观施工雾森系统清单及计价表</t>
  </si>
  <si>
    <t>项目特征</t>
  </si>
  <si>
    <t>综合单价（元）其中：</t>
  </si>
  <si>
    <t>合价（元）</t>
  </si>
  <si>
    <t>雾森系统给水</t>
  </si>
  <si>
    <t>1、类型：沟槽挖土方
2、其他：详见图纸设计、相关图集、规范等</t>
  </si>
  <si>
    <t>高压不锈钢给水管</t>
  </si>
  <si>
    <t>1、名称：高压不锈钢给水管（含管件）
2、规格：DN10
3、压力等级：PN5.0MPa
4、连接方式：卡套式
5、压力试验及吹、洗设计要求:满足规范及设计要求
6、其他：详见图纸设计、相关图集、规范等</t>
  </si>
  <si>
    <t>冷雾喷头</t>
  </si>
  <si>
    <t>1、名称：冷雾喷头（红宝石撞针喷嘴）
2、型号：DN10
3、材质：详见图纸设计
4、参数:流量50~119ml/min，喷洒面积1~2m²</t>
  </si>
  <si>
    <t>雾喷主机</t>
  </si>
  <si>
    <t>1、名称：雾喷主机
2、规格、型号：TL-WS668B
3、其他：详见图纸设计、相关图集、规范等</t>
  </si>
  <si>
    <t>合计（元）</t>
  </si>
  <si>
    <t>地面铺装</t>
    <phoneticPr fontId="22" type="noConversion"/>
  </si>
  <si>
    <t>主要材料品牌</t>
    <phoneticPr fontId="22" type="noConversion"/>
  </si>
  <si>
    <t>1、硬质铺装井盖
2、材质、规格：φ1200
3.附件：井盖与井圈等满足规范及图纸要求</t>
    <phoneticPr fontId="22" type="noConversion"/>
  </si>
  <si>
    <t>1、硬质铺装井盖
2、材质、规格：φ1000
3.附件：井盖与井圈等满足规范及图纸要求</t>
    <phoneticPr fontId="22" type="noConversion"/>
  </si>
  <si>
    <t>1、硬质铺装井盖
2、材质、规格：φ700
3.附件：井盖与井圈等满足规范及图纸要求</t>
    <phoneticPr fontId="22" type="noConversion"/>
  </si>
  <si>
    <t>1、铸铁井盖
2、材质、规格：φ1000
3.附件：井盖与井圈等满足规范及图纸要求</t>
    <phoneticPr fontId="22" type="noConversion"/>
  </si>
  <si>
    <t>1、铸铁井盖
2、材质、规格：φ700
3.附件：井盖与井圈等满足规范及图纸要求</t>
    <phoneticPr fontId="22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</si>
</sst>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0.00_ "/>
    <numFmt numFmtId="178" formatCode="0.00_);\(0.00\)"/>
    <numFmt numFmtId="179" formatCode="0.000_ "/>
    <numFmt numFmtId="180" formatCode="0_ "/>
  </numFmts>
  <fonts count="28">
    <font>
      <sz val="10"/>
      <name val="Arial"/>
      <charset val="1"/>
    </font>
    <font>
      <sz val="12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0"/>
      <name val="宋体"/>
      <charset val="134"/>
    </font>
    <font>
      <sz val="8"/>
      <name val="Arial"/>
      <family val="2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b/>
      <sz val="12"/>
      <name val="宋体"/>
      <charset val="134"/>
      <scheme val="minor"/>
    </font>
    <font>
      <sz val="8"/>
      <name val="Arial"/>
      <charset val="1"/>
    </font>
    <font>
      <sz val="12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6"/>
      <name val="宋体"/>
      <charset val="134"/>
      <scheme val="major"/>
    </font>
    <font>
      <sz val="14"/>
      <name val="宋体"/>
      <charset val="134"/>
      <scheme val="minor"/>
    </font>
    <font>
      <sz val="14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left" vertical="center" wrapText="1"/>
    </xf>
    <xf numFmtId="0" fontId="4" fillId="0" borderId="2" xfId="7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177" fontId="16" fillId="0" borderId="2" xfId="0" applyNumberFormat="1" applyFont="1" applyFill="1" applyBorder="1" applyAlignment="1">
      <alignment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177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/>
    <xf numFmtId="179" fontId="16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left" vertical="center" wrapText="1"/>
    </xf>
    <xf numFmtId="180" fontId="16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left" vertical="center" wrapText="1"/>
      <protection hidden="1"/>
    </xf>
    <xf numFmtId="177" fontId="17" fillId="0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177" fontId="16" fillId="0" borderId="3" xfId="0" applyNumberFormat="1" applyFont="1" applyFill="1" applyBorder="1" applyAlignment="1">
      <alignment horizontal="center" vertical="center"/>
    </xf>
    <xf numFmtId="49" fontId="1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Fill="1" applyBorder="1" applyAlignment="1">
      <alignment horizontal="center" vertical="center"/>
    </xf>
    <xf numFmtId="177" fontId="1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179" fontId="17" fillId="0" borderId="2" xfId="0" applyNumberFormat="1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3" fillId="0" borderId="2" xfId="0" applyFont="1" applyFill="1" applyBorder="1" applyAlignment="1"/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4" fillId="0" borderId="2" xfId="0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/>
    </xf>
  </cellXfs>
  <cellStyles count="8">
    <cellStyle name="3232" xfId="3"/>
    <cellStyle name="常规" xfId="0" builtinId="0"/>
    <cellStyle name="常规 2" xfId="4"/>
    <cellStyle name="常规 3" xfId="5"/>
    <cellStyle name="常规 3 2" xfId="2"/>
    <cellStyle name="常规 5" xfId="6"/>
    <cellStyle name="常规 53" xfId="1"/>
    <cellStyle name="常规 7" xfId="7"/>
  </cellStyles>
  <dxfs count="0"/>
  <tableStyles count="0" defaultTableStyle="TableStyleMedium9"/>
  <colors>
    <mruColors>
      <color rgb="FFFFFF00"/>
      <color rgb="FFF8D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8"/>
  <sheetViews>
    <sheetView view="pageBreakPreview" zoomScaleNormal="100" workbookViewId="0">
      <selection activeCell="D8" sqref="D8"/>
    </sheetView>
  </sheetViews>
  <sheetFormatPr defaultColWidth="10.28515625" defaultRowHeight="14.25"/>
  <cols>
    <col min="1" max="1" width="13.85546875" style="68" customWidth="1"/>
    <col min="2" max="2" width="29.28515625" style="68" customWidth="1"/>
    <col min="3" max="3" width="20.85546875" style="68" customWidth="1"/>
    <col min="4" max="4" width="47.7109375" style="68" customWidth="1"/>
    <col min="5" max="5" width="14.5703125" style="68"/>
    <col min="6" max="6" width="14.42578125" style="68"/>
    <col min="7" max="7" width="10.28515625" style="68"/>
    <col min="8" max="8" width="10.7109375" style="68"/>
    <col min="9" max="16384" width="10.28515625" style="68"/>
  </cols>
  <sheetData>
    <row r="1" spans="1:5" ht="47.25" customHeight="1">
      <c r="A1" s="81" t="s">
        <v>0</v>
      </c>
      <c r="B1" s="81"/>
      <c r="C1" s="81"/>
      <c r="D1" s="81"/>
    </row>
    <row r="2" spans="1:5" ht="43.5" customHeight="1">
      <c r="A2" s="69" t="s">
        <v>1</v>
      </c>
      <c r="B2" s="69" t="s">
        <v>2</v>
      </c>
      <c r="C2" s="69" t="s">
        <v>3</v>
      </c>
      <c r="D2" s="69" t="s">
        <v>4</v>
      </c>
      <c r="E2" s="70"/>
    </row>
    <row r="3" spans="1:5" ht="43.5" customHeight="1">
      <c r="A3" s="71">
        <v>1</v>
      </c>
      <c r="B3" s="71" t="s">
        <v>5</v>
      </c>
      <c r="C3" s="72">
        <f>硬质景观!H460</f>
        <v>4592700.9391594697</v>
      </c>
      <c r="D3" s="71" t="s">
        <v>6</v>
      </c>
    </row>
    <row r="4" spans="1:5" ht="43.5" customHeight="1">
      <c r="A4" s="71">
        <v>2</v>
      </c>
      <c r="B4" s="71" t="s">
        <v>7</v>
      </c>
      <c r="C4" s="72">
        <f>绿化苗木!E76</f>
        <v>3575932</v>
      </c>
      <c r="D4" s="71" t="s">
        <v>8</v>
      </c>
      <c r="E4" s="73"/>
    </row>
    <row r="5" spans="1:5" ht="43.5" customHeight="1">
      <c r="A5" s="71">
        <v>3</v>
      </c>
      <c r="B5" s="71" t="s">
        <v>9</v>
      </c>
      <c r="C5" s="72">
        <f>电气!H32</f>
        <v>295705.61249999993</v>
      </c>
      <c r="D5" s="71" t="s">
        <v>6</v>
      </c>
      <c r="E5" s="73"/>
    </row>
    <row r="6" spans="1:5" ht="43.5" customHeight="1">
      <c r="A6" s="71">
        <v>4</v>
      </c>
      <c r="B6" s="71" t="s">
        <v>10</v>
      </c>
      <c r="C6" s="72">
        <f>'给排水 '!H56</f>
        <v>236251.83549999999</v>
      </c>
      <c r="D6" s="71" t="s">
        <v>6</v>
      </c>
      <c r="E6" s="73"/>
    </row>
    <row r="7" spans="1:5" ht="43.5" customHeight="1">
      <c r="A7" s="71">
        <v>5</v>
      </c>
      <c r="B7" s="71" t="s">
        <v>11</v>
      </c>
      <c r="C7" s="72">
        <f>雾森系统!H11</f>
        <v>29409.614999999998</v>
      </c>
      <c r="D7" s="71" t="s">
        <v>6</v>
      </c>
      <c r="E7" s="73"/>
    </row>
    <row r="8" spans="1:5" ht="43.5" customHeight="1">
      <c r="A8" s="82" t="s">
        <v>12</v>
      </c>
      <c r="B8" s="83"/>
      <c r="C8" s="72">
        <f>SUM(C3:C7)</f>
        <v>8730000.0021594707</v>
      </c>
      <c r="D8" s="71"/>
      <c r="E8" s="70"/>
    </row>
  </sheetData>
  <mergeCells count="2">
    <mergeCell ref="A1:D1"/>
    <mergeCell ref="A8:B8"/>
  </mergeCells>
  <phoneticPr fontId="22" type="noConversion"/>
  <pageMargins left="0.75" right="0.75" top="1" bottom="1" header="0.5" footer="0.5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I460"/>
  <sheetViews>
    <sheetView tabSelected="1" workbookViewId="0">
      <pane ySplit="4" topLeftCell="A5" activePane="bottomLeft" state="frozen"/>
      <selection pane="bottomLeft" activeCell="A8" sqref="A8:XFD8"/>
    </sheetView>
  </sheetViews>
  <sheetFormatPr defaultColWidth="9.140625" defaultRowHeight="11.25" outlineLevelRow="2"/>
  <cols>
    <col min="1" max="1" width="4.85546875" style="36" customWidth="1"/>
    <col min="2" max="2" width="33.5703125" style="37" customWidth="1"/>
    <col min="3" max="3" width="46.140625" style="37" customWidth="1"/>
    <col min="4" max="4" width="5.5703125" style="36" customWidth="1"/>
    <col min="5" max="6" width="9.7109375" style="37" customWidth="1"/>
    <col min="7" max="7" width="13.85546875" style="37" customWidth="1"/>
    <col min="8" max="8" width="17.42578125" style="36" customWidth="1"/>
    <col min="9" max="9" width="8" style="37" customWidth="1"/>
    <col min="10" max="13" width="9.140625" style="37"/>
    <col min="14" max="14" width="9.5703125" style="37"/>
    <col min="15" max="16384" width="9.140625" style="37"/>
  </cols>
  <sheetData>
    <row r="1" spans="1:9" ht="20.25">
      <c r="A1" s="88" t="s">
        <v>13</v>
      </c>
      <c r="B1" s="88"/>
      <c r="C1" s="88"/>
      <c r="D1" s="88"/>
      <c r="E1" s="88"/>
      <c r="F1" s="88"/>
      <c r="G1" s="88"/>
      <c r="H1" s="88"/>
      <c r="I1" s="88"/>
    </row>
    <row r="2" spans="1:9" s="32" customFormat="1">
      <c r="A2" s="87" t="s">
        <v>1</v>
      </c>
      <c r="B2" s="87" t="s">
        <v>14</v>
      </c>
      <c r="C2" s="87" t="s">
        <v>15</v>
      </c>
      <c r="D2" s="87" t="s">
        <v>16</v>
      </c>
      <c r="E2" s="87" t="s">
        <v>17</v>
      </c>
      <c r="F2" s="87" t="s">
        <v>18</v>
      </c>
      <c r="G2" s="87"/>
      <c r="H2" s="87"/>
      <c r="I2" s="87"/>
    </row>
    <row r="3" spans="1:9" s="32" customFormat="1">
      <c r="A3" s="87"/>
      <c r="B3" s="87"/>
      <c r="C3" s="87"/>
      <c r="D3" s="87"/>
      <c r="E3" s="87"/>
      <c r="F3" s="87" t="s">
        <v>19</v>
      </c>
      <c r="G3" s="87"/>
      <c r="H3" s="87" t="s">
        <v>20</v>
      </c>
      <c r="I3" s="87" t="s">
        <v>21</v>
      </c>
    </row>
    <row r="4" spans="1:9" s="32" customFormat="1">
      <c r="A4" s="87"/>
      <c r="B4" s="87"/>
      <c r="C4" s="87"/>
      <c r="D4" s="87"/>
      <c r="E4" s="87"/>
      <c r="F4" s="74"/>
      <c r="G4" s="74" t="s">
        <v>22</v>
      </c>
      <c r="H4" s="87"/>
      <c r="I4" s="87"/>
    </row>
    <row r="5" spans="1:9">
      <c r="A5" s="38" t="s">
        <v>23</v>
      </c>
      <c r="B5" s="39" t="s">
        <v>24</v>
      </c>
      <c r="C5" s="39"/>
      <c r="D5" s="38"/>
      <c r="E5" s="40"/>
      <c r="F5" s="41"/>
      <c r="G5" s="41"/>
      <c r="H5" s="42"/>
      <c r="I5" s="42"/>
    </row>
    <row r="6" spans="1:9" outlineLevel="1">
      <c r="A6" s="38"/>
      <c r="B6" s="39" t="s">
        <v>25</v>
      </c>
      <c r="C6" s="39"/>
      <c r="D6" s="38"/>
      <c r="E6" s="40"/>
      <c r="F6" s="41"/>
      <c r="G6" s="41"/>
      <c r="H6" s="42"/>
      <c r="I6" s="42"/>
    </row>
    <row r="7" spans="1:9" ht="33.75" outlineLevel="2">
      <c r="A7" s="74"/>
      <c r="B7" s="75" t="s">
        <v>26</v>
      </c>
      <c r="C7" s="75" t="s">
        <v>27</v>
      </c>
      <c r="D7" s="74" t="s">
        <v>28</v>
      </c>
      <c r="E7" s="48">
        <f>E9+E10</f>
        <v>41.564</v>
      </c>
      <c r="F7" s="48">
        <v>12</v>
      </c>
      <c r="G7" s="48"/>
      <c r="H7" s="48">
        <f>E7*F7</f>
        <v>498.76800000000003</v>
      </c>
      <c r="I7" s="39"/>
    </row>
    <row r="8" spans="1:9" ht="22.5" outlineLevel="2">
      <c r="A8" s="74"/>
      <c r="B8" s="75" t="s">
        <v>29</v>
      </c>
      <c r="C8" s="75" t="s">
        <v>30</v>
      </c>
      <c r="D8" s="74" t="s">
        <v>31</v>
      </c>
      <c r="E8" s="48">
        <v>103.91</v>
      </c>
      <c r="F8" s="48">
        <v>3</v>
      </c>
      <c r="G8" s="48"/>
      <c r="H8" s="48">
        <f t="shared" ref="H8:H13" si="0">E8*F8</f>
        <v>311.73</v>
      </c>
      <c r="I8" s="39"/>
    </row>
    <row r="9" spans="1:9" ht="22.5" outlineLevel="2">
      <c r="A9" s="74"/>
      <c r="B9" s="75" t="s">
        <v>32</v>
      </c>
      <c r="C9" s="75" t="s">
        <v>33</v>
      </c>
      <c r="D9" s="74" t="s">
        <v>28</v>
      </c>
      <c r="E9" s="48">
        <f>E8*0.2</f>
        <v>20.782</v>
      </c>
      <c r="F9" s="48">
        <v>230</v>
      </c>
      <c r="G9" s="43">
        <v>158</v>
      </c>
      <c r="H9" s="48">
        <f t="shared" si="0"/>
        <v>4779.8599999999997</v>
      </c>
      <c r="I9" s="39"/>
    </row>
    <row r="10" spans="1:9" ht="45" outlineLevel="2">
      <c r="A10" s="74"/>
      <c r="B10" s="75" t="s">
        <v>34</v>
      </c>
      <c r="C10" s="75" t="s">
        <v>35</v>
      </c>
      <c r="D10" s="74" t="s">
        <v>28</v>
      </c>
      <c r="E10" s="48">
        <f>E8*0.2</f>
        <v>20.782</v>
      </c>
      <c r="F10" s="48">
        <v>750</v>
      </c>
      <c r="G10" s="43">
        <v>512</v>
      </c>
      <c r="H10" s="48">
        <f t="shared" si="0"/>
        <v>15586.5</v>
      </c>
      <c r="I10" s="39"/>
    </row>
    <row r="11" spans="1:9" ht="33.75" outlineLevel="2">
      <c r="A11" s="74"/>
      <c r="B11" s="80" t="s">
        <v>650</v>
      </c>
      <c r="C11" s="75" t="s">
        <v>37</v>
      </c>
      <c r="D11" s="74" t="s">
        <v>31</v>
      </c>
      <c r="E11" s="48">
        <v>7.16</v>
      </c>
      <c r="F11" s="48">
        <v>177</v>
      </c>
      <c r="G11" s="48">
        <v>90</v>
      </c>
      <c r="H11" s="48">
        <f t="shared" si="0"/>
        <v>1267.32</v>
      </c>
      <c r="I11" s="39"/>
    </row>
    <row r="12" spans="1:9" ht="33.75" outlineLevel="2">
      <c r="A12" s="74"/>
      <c r="B12" s="75" t="s">
        <v>36</v>
      </c>
      <c r="C12" s="75" t="s">
        <v>38</v>
      </c>
      <c r="D12" s="74" t="s">
        <v>31</v>
      </c>
      <c r="E12" s="48">
        <v>73.599999999999994</v>
      </c>
      <c r="F12" s="48">
        <v>177</v>
      </c>
      <c r="G12" s="48">
        <v>90</v>
      </c>
      <c r="H12" s="48">
        <f t="shared" si="0"/>
        <v>13027.199999999999</v>
      </c>
      <c r="I12" s="39"/>
    </row>
    <row r="13" spans="1:9" ht="33.75" outlineLevel="2">
      <c r="A13" s="74"/>
      <c r="B13" s="75" t="s">
        <v>36</v>
      </c>
      <c r="C13" s="75" t="s">
        <v>39</v>
      </c>
      <c r="D13" s="74" t="s">
        <v>31</v>
      </c>
      <c r="E13" s="48">
        <v>23.16</v>
      </c>
      <c r="F13" s="48">
        <v>177</v>
      </c>
      <c r="G13" s="48">
        <v>90</v>
      </c>
      <c r="H13" s="48">
        <f t="shared" si="0"/>
        <v>4099.32</v>
      </c>
      <c r="I13" s="39"/>
    </row>
    <row r="14" spans="1:9" outlineLevel="1">
      <c r="A14" s="38"/>
      <c r="B14" s="39" t="s">
        <v>40</v>
      </c>
      <c r="C14" s="39"/>
      <c r="D14" s="38"/>
      <c r="E14" s="40"/>
      <c r="F14" s="41"/>
      <c r="G14" s="41"/>
      <c r="H14" s="48"/>
      <c r="I14" s="42"/>
    </row>
    <row r="15" spans="1:9" ht="33.75" outlineLevel="2">
      <c r="A15" s="74"/>
      <c r="B15" s="75" t="s">
        <v>26</v>
      </c>
      <c r="C15" s="75" t="s">
        <v>27</v>
      </c>
      <c r="D15" s="74" t="s">
        <v>28</v>
      </c>
      <c r="E15" s="48">
        <f>E17+E18</f>
        <v>43.334000000000003</v>
      </c>
      <c r="F15" s="48">
        <f>$F$7</f>
        <v>12</v>
      </c>
      <c r="G15" s="48"/>
      <c r="H15" s="48">
        <f t="shared" ref="H15:H24" si="1">E15*F15</f>
        <v>520.00800000000004</v>
      </c>
      <c r="I15" s="39"/>
    </row>
    <row r="16" spans="1:9" ht="22.5" outlineLevel="2">
      <c r="A16" s="74"/>
      <c r="B16" s="75" t="s">
        <v>29</v>
      </c>
      <c r="C16" s="75" t="s">
        <v>30</v>
      </c>
      <c r="D16" s="74" t="s">
        <v>31</v>
      </c>
      <c r="E16" s="48">
        <v>216.67</v>
      </c>
      <c r="F16" s="48">
        <v>3</v>
      </c>
      <c r="G16" s="48"/>
      <c r="H16" s="48">
        <f t="shared" si="1"/>
        <v>650.01</v>
      </c>
      <c r="I16" s="39"/>
    </row>
    <row r="17" spans="1:9" ht="22.5" outlineLevel="2">
      <c r="A17" s="74"/>
      <c r="B17" s="75" t="s">
        <v>32</v>
      </c>
      <c r="C17" s="75" t="s">
        <v>41</v>
      </c>
      <c r="D17" s="74" t="s">
        <v>28</v>
      </c>
      <c r="E17" s="48">
        <f>E16*0.1</f>
        <v>21.667000000000002</v>
      </c>
      <c r="F17" s="48">
        <v>230</v>
      </c>
      <c r="G17" s="43">
        <v>158</v>
      </c>
      <c r="H17" s="48">
        <f t="shared" si="1"/>
        <v>4983.4100000000008</v>
      </c>
      <c r="I17" s="39"/>
    </row>
    <row r="18" spans="1:9" ht="45" outlineLevel="2">
      <c r="A18" s="74"/>
      <c r="B18" s="75" t="s">
        <v>34</v>
      </c>
      <c r="C18" s="75" t="s">
        <v>42</v>
      </c>
      <c r="D18" s="74" t="s">
        <v>28</v>
      </c>
      <c r="E18" s="48">
        <f>E16*0.1</f>
        <v>21.667000000000002</v>
      </c>
      <c r="F18" s="48">
        <v>750</v>
      </c>
      <c r="G18" s="43">
        <v>512</v>
      </c>
      <c r="H18" s="48">
        <f t="shared" si="1"/>
        <v>16250.250000000002</v>
      </c>
      <c r="I18" s="39"/>
    </row>
    <row r="19" spans="1:9" ht="45" outlineLevel="2">
      <c r="A19" s="74"/>
      <c r="B19" s="75" t="s">
        <v>43</v>
      </c>
      <c r="C19" s="75" t="s">
        <v>44</v>
      </c>
      <c r="D19" s="74" t="s">
        <v>45</v>
      </c>
      <c r="E19" s="48">
        <v>2.3050000000000002</v>
      </c>
      <c r="F19" s="48">
        <v>7100</v>
      </c>
      <c r="G19" s="48">
        <v>5250</v>
      </c>
      <c r="H19" s="48">
        <f t="shared" si="1"/>
        <v>16365.500000000002</v>
      </c>
      <c r="I19" s="39"/>
    </row>
    <row r="20" spans="1:9" ht="45" outlineLevel="2">
      <c r="A20" s="74"/>
      <c r="B20" s="75" t="s">
        <v>46</v>
      </c>
      <c r="C20" s="75" t="s">
        <v>47</v>
      </c>
      <c r="D20" s="74" t="s">
        <v>48</v>
      </c>
      <c r="E20" s="48">
        <v>620</v>
      </c>
      <c r="F20" s="48">
        <v>58.5</v>
      </c>
      <c r="G20" s="43">
        <v>36</v>
      </c>
      <c r="H20" s="48">
        <f t="shared" si="1"/>
        <v>36270</v>
      </c>
      <c r="I20" s="39"/>
    </row>
    <row r="21" spans="1:9" ht="33.75" outlineLevel="2">
      <c r="A21" s="74"/>
      <c r="B21" s="75" t="s">
        <v>49</v>
      </c>
      <c r="C21" s="75" t="s">
        <v>50</v>
      </c>
      <c r="D21" s="74" t="s">
        <v>51</v>
      </c>
      <c r="E21" s="48">
        <v>92.71</v>
      </c>
      <c r="F21" s="48">
        <v>55</v>
      </c>
      <c r="G21" s="48">
        <v>35</v>
      </c>
      <c r="H21" s="48">
        <f t="shared" si="1"/>
        <v>5099.0499999999993</v>
      </c>
      <c r="I21" s="39"/>
    </row>
    <row r="22" spans="1:9" ht="33.75" outlineLevel="2">
      <c r="A22" s="74"/>
      <c r="B22" s="39" t="s">
        <v>36</v>
      </c>
      <c r="C22" s="39" t="s">
        <v>37</v>
      </c>
      <c r="D22" s="38" t="s">
        <v>31</v>
      </c>
      <c r="E22" s="41">
        <v>15.94</v>
      </c>
      <c r="F22" s="48">
        <v>177</v>
      </c>
      <c r="G22" s="48">
        <v>90</v>
      </c>
      <c r="H22" s="48">
        <f t="shared" si="1"/>
        <v>2821.38</v>
      </c>
      <c r="I22" s="39"/>
    </row>
    <row r="23" spans="1:9" ht="33.75" outlineLevel="2">
      <c r="A23" s="74"/>
      <c r="B23" s="75" t="s">
        <v>36</v>
      </c>
      <c r="C23" s="75" t="s">
        <v>38</v>
      </c>
      <c r="D23" s="74" t="s">
        <v>31</v>
      </c>
      <c r="E23" s="48">
        <v>149.32</v>
      </c>
      <c r="F23" s="48">
        <v>177</v>
      </c>
      <c r="G23" s="48">
        <v>90</v>
      </c>
      <c r="H23" s="48">
        <f t="shared" si="1"/>
        <v>26429.64</v>
      </c>
      <c r="I23" s="39"/>
    </row>
    <row r="24" spans="1:9" ht="33.75" outlineLevel="2">
      <c r="A24" s="44"/>
      <c r="B24" s="75" t="s">
        <v>36</v>
      </c>
      <c r="C24" s="75" t="s">
        <v>39</v>
      </c>
      <c r="D24" s="74" t="s">
        <v>31</v>
      </c>
      <c r="E24" s="48">
        <v>51.41</v>
      </c>
      <c r="F24" s="48">
        <v>177</v>
      </c>
      <c r="G24" s="48">
        <v>90</v>
      </c>
      <c r="H24" s="48">
        <f t="shared" si="1"/>
        <v>9099.57</v>
      </c>
      <c r="I24" s="39"/>
    </row>
    <row r="25" spans="1:9">
      <c r="A25" s="38" t="s">
        <v>52</v>
      </c>
      <c r="B25" s="39" t="s">
        <v>53</v>
      </c>
      <c r="C25" s="39"/>
      <c r="D25" s="38"/>
      <c r="E25" s="40"/>
      <c r="F25" s="41"/>
      <c r="G25" s="41"/>
      <c r="H25" s="48"/>
      <c r="I25" s="42"/>
    </row>
    <row r="26" spans="1:9" outlineLevel="1">
      <c r="A26" s="38"/>
      <c r="B26" s="39" t="s">
        <v>25</v>
      </c>
      <c r="C26" s="39"/>
      <c r="D26" s="38"/>
      <c r="E26" s="40"/>
      <c r="F26" s="41"/>
      <c r="G26" s="41"/>
      <c r="H26" s="48"/>
      <c r="I26" s="42"/>
    </row>
    <row r="27" spans="1:9" ht="33.75" outlineLevel="2">
      <c r="A27" s="74"/>
      <c r="B27" s="75" t="s">
        <v>26</v>
      </c>
      <c r="C27" s="75" t="s">
        <v>27</v>
      </c>
      <c r="D27" s="74" t="s">
        <v>28</v>
      </c>
      <c r="E27" s="48">
        <f>E29+E30</f>
        <v>21.452000000000002</v>
      </c>
      <c r="F27" s="48">
        <f>$F$7</f>
        <v>12</v>
      </c>
      <c r="G27" s="43"/>
      <c r="H27" s="48">
        <f t="shared" ref="H27:H90" si="2">E27*F27</f>
        <v>257.42400000000004</v>
      </c>
      <c r="I27" s="39"/>
    </row>
    <row r="28" spans="1:9" ht="22.5" outlineLevel="2">
      <c r="A28" s="38"/>
      <c r="B28" s="75" t="s">
        <v>29</v>
      </c>
      <c r="C28" s="75" t="s">
        <v>30</v>
      </c>
      <c r="D28" s="74" t="s">
        <v>31</v>
      </c>
      <c r="E28" s="48">
        <v>53.63</v>
      </c>
      <c r="F28" s="48">
        <v>3</v>
      </c>
      <c r="G28" s="48"/>
      <c r="H28" s="48">
        <f t="shared" si="2"/>
        <v>160.89000000000001</v>
      </c>
      <c r="I28" s="39"/>
    </row>
    <row r="29" spans="1:9" ht="22.5" outlineLevel="2">
      <c r="A29" s="38"/>
      <c r="B29" s="75" t="s">
        <v>32</v>
      </c>
      <c r="C29" s="75" t="s">
        <v>33</v>
      </c>
      <c r="D29" s="74" t="s">
        <v>28</v>
      </c>
      <c r="E29" s="48">
        <f>E28*0.2</f>
        <v>10.726000000000001</v>
      </c>
      <c r="F29" s="48">
        <v>230</v>
      </c>
      <c r="G29" s="43">
        <v>158</v>
      </c>
      <c r="H29" s="48">
        <f t="shared" si="2"/>
        <v>2466.98</v>
      </c>
      <c r="I29" s="39"/>
    </row>
    <row r="30" spans="1:9" ht="45" outlineLevel="2">
      <c r="A30" s="38"/>
      <c r="B30" s="75" t="s">
        <v>34</v>
      </c>
      <c r="C30" s="75" t="s">
        <v>35</v>
      </c>
      <c r="D30" s="74" t="s">
        <v>28</v>
      </c>
      <c r="E30" s="48">
        <f>E28*0.2</f>
        <v>10.726000000000001</v>
      </c>
      <c r="F30" s="48">
        <v>750</v>
      </c>
      <c r="G30" s="43">
        <v>512</v>
      </c>
      <c r="H30" s="48">
        <f t="shared" si="2"/>
        <v>8044.5000000000009</v>
      </c>
      <c r="I30" s="39"/>
    </row>
    <row r="31" spans="1:9" ht="33.75" outlineLevel="2">
      <c r="A31" s="38"/>
      <c r="B31" s="75" t="s">
        <v>36</v>
      </c>
      <c r="C31" s="75" t="s">
        <v>54</v>
      </c>
      <c r="D31" s="74" t="s">
        <v>31</v>
      </c>
      <c r="E31" s="48">
        <v>2.54</v>
      </c>
      <c r="F31" s="48">
        <v>395</v>
      </c>
      <c r="G31" s="48">
        <v>285</v>
      </c>
      <c r="H31" s="48">
        <f t="shared" si="2"/>
        <v>1003.3000000000001</v>
      </c>
      <c r="I31" s="39"/>
    </row>
    <row r="32" spans="1:9" ht="33.75" outlineLevel="2">
      <c r="A32" s="38"/>
      <c r="B32" s="75" t="s">
        <v>36</v>
      </c>
      <c r="C32" s="75" t="s">
        <v>55</v>
      </c>
      <c r="D32" s="74" t="s">
        <v>31</v>
      </c>
      <c r="E32" s="48">
        <v>43.24</v>
      </c>
      <c r="F32" s="48">
        <v>275</v>
      </c>
      <c r="G32" s="48">
        <v>165</v>
      </c>
      <c r="H32" s="48">
        <f t="shared" si="2"/>
        <v>11891</v>
      </c>
      <c r="I32" s="39"/>
    </row>
    <row r="33" spans="1:9" ht="33.75" outlineLevel="2">
      <c r="A33" s="38"/>
      <c r="B33" s="75" t="s">
        <v>36</v>
      </c>
      <c r="C33" s="75" t="s">
        <v>56</v>
      </c>
      <c r="D33" s="74" t="s">
        <v>31</v>
      </c>
      <c r="E33" s="48">
        <v>7.85</v>
      </c>
      <c r="F33" s="48">
        <v>275</v>
      </c>
      <c r="G33" s="48">
        <v>165</v>
      </c>
      <c r="H33" s="48">
        <f t="shared" si="2"/>
        <v>2158.75</v>
      </c>
      <c r="I33" s="39"/>
    </row>
    <row r="34" spans="1:9" outlineLevel="1">
      <c r="A34" s="38"/>
      <c r="B34" s="39" t="s">
        <v>40</v>
      </c>
      <c r="C34" s="39"/>
      <c r="D34" s="38"/>
      <c r="E34" s="40"/>
      <c r="F34" s="41"/>
      <c r="G34" s="41"/>
      <c r="H34" s="48"/>
      <c r="I34" s="42"/>
    </row>
    <row r="35" spans="1:9" ht="33.75" outlineLevel="2">
      <c r="A35" s="74"/>
      <c r="B35" s="75" t="s">
        <v>26</v>
      </c>
      <c r="C35" s="75" t="s">
        <v>27</v>
      </c>
      <c r="D35" s="74" t="s">
        <v>28</v>
      </c>
      <c r="E35" s="48">
        <f>E37+E38</f>
        <v>16.488</v>
      </c>
      <c r="F35" s="48">
        <f>$F$7</f>
        <v>12</v>
      </c>
      <c r="G35" s="48"/>
      <c r="H35" s="48">
        <f t="shared" si="2"/>
        <v>197.85599999999999</v>
      </c>
      <c r="I35" s="39"/>
    </row>
    <row r="36" spans="1:9" ht="22.5" outlineLevel="2">
      <c r="A36" s="38"/>
      <c r="B36" s="75" t="s">
        <v>29</v>
      </c>
      <c r="C36" s="75" t="s">
        <v>30</v>
      </c>
      <c r="D36" s="74" t="s">
        <v>31</v>
      </c>
      <c r="E36" s="48">
        <v>82.44</v>
      </c>
      <c r="F36" s="48">
        <v>3</v>
      </c>
      <c r="G36" s="48"/>
      <c r="H36" s="48">
        <f t="shared" si="2"/>
        <v>247.32</v>
      </c>
      <c r="I36" s="39"/>
    </row>
    <row r="37" spans="1:9" ht="22.5" outlineLevel="2">
      <c r="A37" s="38"/>
      <c r="B37" s="75" t="s">
        <v>32</v>
      </c>
      <c r="C37" s="75" t="s">
        <v>41</v>
      </c>
      <c r="D37" s="74" t="s">
        <v>28</v>
      </c>
      <c r="E37" s="48">
        <f>E36*0.1</f>
        <v>8.2439999999999998</v>
      </c>
      <c r="F37" s="48">
        <v>230</v>
      </c>
      <c r="G37" s="43">
        <v>158</v>
      </c>
      <c r="H37" s="48">
        <f t="shared" si="2"/>
        <v>1896.12</v>
      </c>
      <c r="I37" s="39"/>
    </row>
    <row r="38" spans="1:9" ht="45" outlineLevel="2">
      <c r="A38" s="38"/>
      <c r="B38" s="75" t="s">
        <v>34</v>
      </c>
      <c r="C38" s="75" t="s">
        <v>42</v>
      </c>
      <c r="D38" s="74" t="s">
        <v>28</v>
      </c>
      <c r="E38" s="48">
        <f>E36*0.1</f>
        <v>8.2439999999999998</v>
      </c>
      <c r="F38" s="48">
        <v>750</v>
      </c>
      <c r="G38" s="43">
        <v>512</v>
      </c>
      <c r="H38" s="48">
        <f t="shared" si="2"/>
        <v>6183</v>
      </c>
      <c r="I38" s="39"/>
    </row>
    <row r="39" spans="1:9" ht="22.5" outlineLevel="2">
      <c r="A39" s="38"/>
      <c r="B39" s="75" t="s">
        <v>57</v>
      </c>
      <c r="C39" s="8" t="s">
        <v>58</v>
      </c>
      <c r="D39" s="74" t="s">
        <v>51</v>
      </c>
      <c r="E39" s="48">
        <v>56</v>
      </c>
      <c r="F39" s="48">
        <v>55</v>
      </c>
      <c r="G39" s="43">
        <v>35</v>
      </c>
      <c r="H39" s="48">
        <f t="shared" si="2"/>
        <v>3080</v>
      </c>
      <c r="I39" s="39"/>
    </row>
    <row r="40" spans="1:9" ht="33.75" outlineLevel="2">
      <c r="A40" s="38"/>
      <c r="B40" s="75" t="s">
        <v>36</v>
      </c>
      <c r="C40" s="75" t="s">
        <v>59</v>
      </c>
      <c r="D40" s="74" t="s">
        <v>31</v>
      </c>
      <c r="E40" s="48">
        <v>21.61</v>
      </c>
      <c r="F40" s="48">
        <v>625</v>
      </c>
      <c r="G40" s="48">
        <v>550</v>
      </c>
      <c r="H40" s="48">
        <f t="shared" si="2"/>
        <v>13506.25</v>
      </c>
      <c r="I40" s="39"/>
    </row>
    <row r="41" spans="1:9" ht="33.75" outlineLevel="2">
      <c r="A41" s="38"/>
      <c r="B41" s="75" t="s">
        <v>36</v>
      </c>
      <c r="C41" s="75" t="s">
        <v>60</v>
      </c>
      <c r="D41" s="74" t="s">
        <v>31</v>
      </c>
      <c r="E41" s="48">
        <v>8.3800000000000008</v>
      </c>
      <c r="F41" s="48">
        <v>715</v>
      </c>
      <c r="G41" s="48">
        <v>615</v>
      </c>
      <c r="H41" s="48">
        <f t="shared" si="2"/>
        <v>5991.7000000000007</v>
      </c>
      <c r="I41" s="39"/>
    </row>
    <row r="42" spans="1:9" ht="33.75" outlineLevel="2">
      <c r="A42" s="38"/>
      <c r="B42" s="75" t="s">
        <v>36</v>
      </c>
      <c r="C42" s="75" t="s">
        <v>61</v>
      </c>
      <c r="D42" s="74" t="s">
        <v>31</v>
      </c>
      <c r="E42" s="48">
        <v>32.549999999999997</v>
      </c>
      <c r="F42" s="48">
        <v>215</v>
      </c>
      <c r="G42" s="48">
        <v>115</v>
      </c>
      <c r="H42" s="48">
        <f t="shared" si="2"/>
        <v>6998.2499999999991</v>
      </c>
      <c r="I42" s="39"/>
    </row>
    <row r="43" spans="1:9" ht="33.75" outlineLevel="2">
      <c r="A43" s="38"/>
      <c r="B43" s="75" t="s">
        <v>36</v>
      </c>
      <c r="C43" s="75" t="s">
        <v>62</v>
      </c>
      <c r="D43" s="74" t="s">
        <v>31</v>
      </c>
      <c r="E43" s="48">
        <v>7.33</v>
      </c>
      <c r="F43" s="48">
        <v>255</v>
      </c>
      <c r="G43" s="48">
        <v>165</v>
      </c>
      <c r="H43" s="48">
        <f t="shared" si="2"/>
        <v>1869.15</v>
      </c>
      <c r="I43" s="39"/>
    </row>
    <row r="44" spans="1:9" ht="33.75" outlineLevel="2">
      <c r="A44" s="38"/>
      <c r="B44" s="75" t="s">
        <v>36</v>
      </c>
      <c r="C44" s="75" t="s">
        <v>63</v>
      </c>
      <c r="D44" s="74" t="s">
        <v>31</v>
      </c>
      <c r="E44" s="48">
        <v>0.83</v>
      </c>
      <c r="F44" s="48">
        <v>395</v>
      </c>
      <c r="G44" s="48">
        <v>285</v>
      </c>
      <c r="H44" s="48">
        <f t="shared" si="2"/>
        <v>327.84999999999997</v>
      </c>
      <c r="I44" s="39"/>
    </row>
    <row r="45" spans="1:9" ht="33.75" outlineLevel="2">
      <c r="A45" s="38"/>
      <c r="B45" s="75" t="s">
        <v>36</v>
      </c>
      <c r="C45" s="75" t="s">
        <v>64</v>
      </c>
      <c r="D45" s="74" t="s">
        <v>31</v>
      </c>
      <c r="E45" s="48">
        <v>6.23</v>
      </c>
      <c r="F45" s="48">
        <v>275</v>
      </c>
      <c r="G45" s="48">
        <v>165</v>
      </c>
      <c r="H45" s="48">
        <f t="shared" si="2"/>
        <v>1713.2500000000002</v>
      </c>
      <c r="I45" s="39"/>
    </row>
    <row r="46" spans="1:9" ht="33.75" outlineLevel="2">
      <c r="A46" s="38"/>
      <c r="B46" s="75" t="s">
        <v>36</v>
      </c>
      <c r="C46" s="75" t="s">
        <v>56</v>
      </c>
      <c r="D46" s="74" t="s">
        <v>31</v>
      </c>
      <c r="E46" s="48">
        <v>2.71</v>
      </c>
      <c r="F46" s="48">
        <v>275</v>
      </c>
      <c r="G46" s="48">
        <v>165</v>
      </c>
      <c r="H46" s="48">
        <f t="shared" si="2"/>
        <v>745.25</v>
      </c>
      <c r="I46" s="39"/>
    </row>
    <row r="47" spans="1:9">
      <c r="A47" s="38" t="s">
        <v>65</v>
      </c>
      <c r="B47" s="39" t="s">
        <v>66</v>
      </c>
      <c r="C47" s="39"/>
      <c r="D47" s="38"/>
      <c r="E47" s="40"/>
      <c r="F47" s="41"/>
      <c r="G47" s="41"/>
      <c r="H47" s="48"/>
      <c r="I47" s="42"/>
    </row>
    <row r="48" spans="1:9" outlineLevel="1">
      <c r="A48" s="38"/>
      <c r="B48" s="39" t="s">
        <v>25</v>
      </c>
      <c r="C48" s="39"/>
      <c r="D48" s="38"/>
      <c r="E48" s="40"/>
      <c r="F48" s="41"/>
      <c r="G48" s="41"/>
      <c r="H48" s="48"/>
      <c r="I48" s="42"/>
    </row>
    <row r="49" spans="1:9" ht="33.75" outlineLevel="2">
      <c r="A49" s="74"/>
      <c r="B49" s="75" t="s">
        <v>26</v>
      </c>
      <c r="C49" s="75" t="s">
        <v>27</v>
      </c>
      <c r="D49" s="74" t="s">
        <v>28</v>
      </c>
      <c r="E49" s="48">
        <f>E51+E52</f>
        <v>584.20000000000005</v>
      </c>
      <c r="F49" s="48">
        <f>$F$7</f>
        <v>12</v>
      </c>
      <c r="G49" s="48"/>
      <c r="H49" s="48">
        <f t="shared" si="2"/>
        <v>7010.4000000000005</v>
      </c>
      <c r="I49" s="39"/>
    </row>
    <row r="50" spans="1:9" ht="22.5" outlineLevel="2">
      <c r="A50" s="74"/>
      <c r="B50" s="75" t="s">
        <v>29</v>
      </c>
      <c r="C50" s="75" t="s">
        <v>30</v>
      </c>
      <c r="D50" s="74" t="s">
        <v>31</v>
      </c>
      <c r="E50" s="48">
        <v>1521.89</v>
      </c>
      <c r="F50" s="48">
        <v>3</v>
      </c>
      <c r="G50" s="48"/>
      <c r="H50" s="48">
        <f t="shared" si="2"/>
        <v>4565.67</v>
      </c>
      <c r="I50" s="39"/>
    </row>
    <row r="51" spans="1:9" ht="22.5" outlineLevel="2">
      <c r="A51" s="74"/>
      <c r="B51" s="75" t="s">
        <v>32</v>
      </c>
      <c r="C51" s="75" t="s">
        <v>33</v>
      </c>
      <c r="D51" s="74" t="s">
        <v>28</v>
      </c>
      <c r="E51" s="48">
        <f>E50*0.2</f>
        <v>304.37800000000004</v>
      </c>
      <c r="F51" s="48">
        <v>230</v>
      </c>
      <c r="G51" s="43">
        <v>158</v>
      </c>
      <c r="H51" s="48">
        <f t="shared" si="2"/>
        <v>70006.940000000017</v>
      </c>
      <c r="I51" s="39"/>
    </row>
    <row r="52" spans="1:9" ht="45" outlineLevel="2">
      <c r="A52" s="74"/>
      <c r="B52" s="75" t="s">
        <v>34</v>
      </c>
      <c r="C52" s="75" t="s">
        <v>35</v>
      </c>
      <c r="D52" s="74" t="s">
        <v>28</v>
      </c>
      <c r="E52" s="48">
        <f>E50*0.2-61.39*2*0.2</f>
        <v>279.82200000000006</v>
      </c>
      <c r="F52" s="48">
        <v>750</v>
      </c>
      <c r="G52" s="43">
        <v>512</v>
      </c>
      <c r="H52" s="48">
        <f t="shared" si="2"/>
        <v>209866.50000000006</v>
      </c>
      <c r="I52" s="39"/>
    </row>
    <row r="53" spans="1:9" ht="56.25" outlineLevel="2">
      <c r="A53" s="74"/>
      <c r="B53" s="75" t="s">
        <v>34</v>
      </c>
      <c r="C53" s="75" t="s">
        <v>67</v>
      </c>
      <c r="D53" s="74" t="s">
        <v>28</v>
      </c>
      <c r="E53" s="48">
        <f>61.39*(2*0.2+0.8*0.2)</f>
        <v>34.378400000000006</v>
      </c>
      <c r="F53" s="48">
        <v>763</v>
      </c>
      <c r="G53" s="43">
        <v>523</v>
      </c>
      <c r="H53" s="48">
        <f t="shared" si="2"/>
        <v>26230.719200000003</v>
      </c>
      <c r="I53" s="39"/>
    </row>
    <row r="54" spans="1:9" ht="45" outlineLevel="2">
      <c r="A54" s="74"/>
      <c r="B54" s="75" t="s">
        <v>43</v>
      </c>
      <c r="C54" s="75" t="s">
        <v>68</v>
      </c>
      <c r="D54" s="74" t="s">
        <v>45</v>
      </c>
      <c r="E54" s="45">
        <v>0.93</v>
      </c>
      <c r="F54" s="48">
        <v>7100</v>
      </c>
      <c r="G54" s="43">
        <v>5370</v>
      </c>
      <c r="H54" s="48">
        <f t="shared" si="2"/>
        <v>6603</v>
      </c>
      <c r="I54" s="39"/>
    </row>
    <row r="55" spans="1:9" ht="33.75" outlineLevel="2">
      <c r="A55" s="38"/>
      <c r="B55" s="75" t="s">
        <v>49</v>
      </c>
      <c r="C55" s="75" t="s">
        <v>50</v>
      </c>
      <c r="D55" s="74" t="s">
        <v>51</v>
      </c>
      <c r="E55" s="48">
        <f>61.39+9.79+7.45</f>
        <v>78.63000000000001</v>
      </c>
      <c r="F55" s="48">
        <v>55</v>
      </c>
      <c r="G55" s="48">
        <v>35</v>
      </c>
      <c r="H55" s="48">
        <f t="shared" si="2"/>
        <v>4324.6500000000005</v>
      </c>
      <c r="I55" s="42"/>
    </row>
    <row r="56" spans="1:9" ht="33.75" outlineLevel="2">
      <c r="A56" s="74"/>
      <c r="B56" s="75" t="s">
        <v>36</v>
      </c>
      <c r="C56" s="75" t="s">
        <v>37</v>
      </c>
      <c r="D56" s="74" t="s">
        <v>31</v>
      </c>
      <c r="E56" s="48">
        <v>0.79</v>
      </c>
      <c r="F56" s="48">
        <v>177</v>
      </c>
      <c r="G56" s="48">
        <v>90</v>
      </c>
      <c r="H56" s="48">
        <f t="shared" si="2"/>
        <v>139.83000000000001</v>
      </c>
      <c r="I56" s="39"/>
    </row>
    <row r="57" spans="1:9" ht="33.75" outlineLevel="2">
      <c r="A57" s="74"/>
      <c r="B57" s="75" t="s">
        <v>36</v>
      </c>
      <c r="C57" s="75" t="s">
        <v>69</v>
      </c>
      <c r="D57" s="74" t="s">
        <v>31</v>
      </c>
      <c r="E57" s="48">
        <v>296.39</v>
      </c>
      <c r="F57" s="48">
        <v>177</v>
      </c>
      <c r="G57" s="48">
        <v>90</v>
      </c>
      <c r="H57" s="48">
        <f t="shared" si="2"/>
        <v>52461.03</v>
      </c>
      <c r="I57" s="39"/>
    </row>
    <row r="58" spans="1:9" ht="33.75" outlineLevel="2">
      <c r="A58" s="74"/>
      <c r="B58" s="75" t="s">
        <v>36</v>
      </c>
      <c r="C58" s="75" t="s">
        <v>38</v>
      </c>
      <c r="D58" s="74" t="s">
        <v>31</v>
      </c>
      <c r="E58" s="48">
        <v>1222.1300000000001</v>
      </c>
      <c r="F58" s="48">
        <v>177</v>
      </c>
      <c r="G58" s="48">
        <v>90</v>
      </c>
      <c r="H58" s="48">
        <f t="shared" si="2"/>
        <v>216317.01</v>
      </c>
      <c r="I58" s="39"/>
    </row>
    <row r="59" spans="1:9" ht="33.75" outlineLevel="2">
      <c r="A59" s="74"/>
      <c r="B59" s="75" t="s">
        <v>36</v>
      </c>
      <c r="C59" s="75" t="s">
        <v>39</v>
      </c>
      <c r="D59" s="74" t="s">
        <v>31</v>
      </c>
      <c r="E59" s="48">
        <v>2.58</v>
      </c>
      <c r="F59" s="48">
        <v>177</v>
      </c>
      <c r="G59" s="48">
        <v>90</v>
      </c>
      <c r="H59" s="48">
        <f t="shared" si="2"/>
        <v>456.66</v>
      </c>
      <c r="I59" s="39"/>
    </row>
    <row r="60" spans="1:9" outlineLevel="1">
      <c r="A60" s="38"/>
      <c r="B60" s="39" t="s">
        <v>40</v>
      </c>
      <c r="C60" s="39"/>
      <c r="D60" s="38"/>
      <c r="E60" s="40"/>
      <c r="F60" s="41"/>
      <c r="G60" s="41"/>
      <c r="H60" s="48"/>
      <c r="I60" s="42"/>
    </row>
    <row r="61" spans="1:9" ht="33.75" outlineLevel="2">
      <c r="A61" s="74"/>
      <c r="B61" s="75" t="s">
        <v>26</v>
      </c>
      <c r="C61" s="75" t="s">
        <v>27</v>
      </c>
      <c r="D61" s="74" t="s">
        <v>28</v>
      </c>
      <c r="E61" s="48">
        <f>E63+E64</f>
        <v>198.3</v>
      </c>
      <c r="F61" s="48">
        <f>$F$7</f>
        <v>12</v>
      </c>
      <c r="G61" s="48"/>
      <c r="H61" s="48">
        <f t="shared" si="2"/>
        <v>2379.6000000000004</v>
      </c>
      <c r="I61" s="39"/>
    </row>
    <row r="62" spans="1:9" ht="22.5" outlineLevel="2">
      <c r="A62" s="74"/>
      <c r="B62" s="75" t="s">
        <v>29</v>
      </c>
      <c r="C62" s="75" t="s">
        <v>30</v>
      </c>
      <c r="D62" s="74" t="s">
        <v>31</v>
      </c>
      <c r="E62" s="48">
        <v>991.5</v>
      </c>
      <c r="F62" s="48">
        <v>3</v>
      </c>
      <c r="G62" s="48"/>
      <c r="H62" s="48">
        <f t="shared" si="2"/>
        <v>2974.5</v>
      </c>
      <c r="I62" s="39"/>
    </row>
    <row r="63" spans="1:9" ht="22.5" outlineLevel="2">
      <c r="A63" s="74"/>
      <c r="B63" s="75" t="s">
        <v>32</v>
      </c>
      <c r="C63" s="75" t="s">
        <v>41</v>
      </c>
      <c r="D63" s="74" t="s">
        <v>28</v>
      </c>
      <c r="E63" s="48">
        <f>E62*0.1</f>
        <v>99.15</v>
      </c>
      <c r="F63" s="48">
        <v>230</v>
      </c>
      <c r="G63" s="43">
        <v>158</v>
      </c>
      <c r="H63" s="48">
        <f t="shared" si="2"/>
        <v>22804.5</v>
      </c>
      <c r="I63" s="39"/>
    </row>
    <row r="64" spans="1:9" ht="45" outlineLevel="2">
      <c r="A64" s="74"/>
      <c r="B64" s="75" t="s">
        <v>34</v>
      </c>
      <c r="C64" s="75" t="s">
        <v>42</v>
      </c>
      <c r="D64" s="74" t="s">
        <v>28</v>
      </c>
      <c r="E64" s="48">
        <f>E62*0.1</f>
        <v>99.15</v>
      </c>
      <c r="F64" s="48">
        <v>750</v>
      </c>
      <c r="G64" s="43">
        <v>512</v>
      </c>
      <c r="H64" s="48">
        <f t="shared" si="2"/>
        <v>74362.5</v>
      </c>
      <c r="I64" s="39"/>
    </row>
    <row r="65" spans="1:9" ht="45" outlineLevel="2">
      <c r="A65" s="74"/>
      <c r="B65" s="75" t="s">
        <v>43</v>
      </c>
      <c r="C65" s="75" t="s">
        <v>44</v>
      </c>
      <c r="D65" s="74" t="s">
        <v>45</v>
      </c>
      <c r="E65" s="45">
        <v>1.526</v>
      </c>
      <c r="F65" s="48">
        <v>7100</v>
      </c>
      <c r="G65" s="43">
        <f>$G$19</f>
        <v>5250</v>
      </c>
      <c r="H65" s="48">
        <f t="shared" si="2"/>
        <v>10834.6</v>
      </c>
      <c r="I65" s="39"/>
    </row>
    <row r="66" spans="1:9" ht="45" outlineLevel="2">
      <c r="A66" s="74"/>
      <c r="B66" s="75" t="s">
        <v>46</v>
      </c>
      <c r="C66" s="75" t="s">
        <v>47</v>
      </c>
      <c r="D66" s="74" t="s">
        <v>48</v>
      </c>
      <c r="E66" s="48">
        <v>410</v>
      </c>
      <c r="F66" s="48">
        <v>58.5</v>
      </c>
      <c r="G66" s="43">
        <v>36</v>
      </c>
      <c r="H66" s="48">
        <f t="shared" si="2"/>
        <v>23985</v>
      </c>
      <c r="I66" s="39"/>
    </row>
    <row r="67" spans="1:9" ht="33.75" outlineLevel="2">
      <c r="A67" s="74"/>
      <c r="B67" s="75" t="s">
        <v>36</v>
      </c>
      <c r="C67" s="75" t="s">
        <v>37</v>
      </c>
      <c r="D67" s="74" t="s">
        <v>31</v>
      </c>
      <c r="E67" s="48">
        <v>1</v>
      </c>
      <c r="F67" s="48">
        <v>177</v>
      </c>
      <c r="G67" s="48">
        <v>90</v>
      </c>
      <c r="H67" s="48">
        <f t="shared" si="2"/>
        <v>177</v>
      </c>
      <c r="I67" s="39"/>
    </row>
    <row r="68" spans="1:9" ht="33.75" outlineLevel="2">
      <c r="A68" s="74"/>
      <c r="B68" s="75" t="s">
        <v>36</v>
      </c>
      <c r="C68" s="75" t="s">
        <v>69</v>
      </c>
      <c r="D68" s="74" t="s">
        <v>31</v>
      </c>
      <c r="E68" s="48">
        <v>216.05</v>
      </c>
      <c r="F68" s="48">
        <v>177</v>
      </c>
      <c r="G68" s="48">
        <v>90</v>
      </c>
      <c r="H68" s="48">
        <f t="shared" si="2"/>
        <v>38240.85</v>
      </c>
      <c r="I68" s="39"/>
    </row>
    <row r="69" spans="1:9" ht="33.75" outlineLevel="2">
      <c r="A69" s="74"/>
      <c r="B69" s="75" t="s">
        <v>36</v>
      </c>
      <c r="C69" s="75" t="s">
        <v>38</v>
      </c>
      <c r="D69" s="74" t="s">
        <v>31</v>
      </c>
      <c r="E69" s="48">
        <v>771.19</v>
      </c>
      <c r="F69" s="48">
        <v>177</v>
      </c>
      <c r="G69" s="48">
        <v>90</v>
      </c>
      <c r="H69" s="48">
        <f t="shared" si="2"/>
        <v>136500.63</v>
      </c>
      <c r="I69" s="39"/>
    </row>
    <row r="70" spans="1:9" ht="33.75" outlineLevel="2">
      <c r="A70" s="74"/>
      <c r="B70" s="75" t="s">
        <v>36</v>
      </c>
      <c r="C70" s="75" t="s">
        <v>39</v>
      </c>
      <c r="D70" s="74" t="s">
        <v>31</v>
      </c>
      <c r="E70" s="48">
        <v>3.26</v>
      </c>
      <c r="F70" s="48">
        <v>177</v>
      </c>
      <c r="G70" s="48">
        <v>90</v>
      </c>
      <c r="H70" s="48">
        <f t="shared" si="2"/>
        <v>577.02</v>
      </c>
      <c r="I70" s="39"/>
    </row>
    <row r="71" spans="1:9" outlineLevel="1">
      <c r="A71" s="38"/>
      <c r="B71" s="75" t="s">
        <v>70</v>
      </c>
      <c r="C71" s="75"/>
      <c r="D71" s="74"/>
      <c r="E71" s="74"/>
      <c r="F71" s="48"/>
      <c r="G71" s="48"/>
      <c r="H71" s="48"/>
      <c r="I71" s="39"/>
    </row>
    <row r="72" spans="1:9" ht="33.75" outlineLevel="2">
      <c r="A72" s="38"/>
      <c r="B72" s="75" t="s">
        <v>26</v>
      </c>
      <c r="C72" s="75" t="s">
        <v>27</v>
      </c>
      <c r="D72" s="74" t="s">
        <v>28</v>
      </c>
      <c r="E72" s="74">
        <f>E74+E75</f>
        <v>297.904</v>
      </c>
      <c r="F72" s="48">
        <f>$F$7</f>
        <v>12</v>
      </c>
      <c r="G72" s="48"/>
      <c r="H72" s="48">
        <f t="shared" si="2"/>
        <v>3574.848</v>
      </c>
      <c r="I72" s="39"/>
    </row>
    <row r="73" spans="1:9" ht="22.5" outlineLevel="2">
      <c r="A73" s="38"/>
      <c r="B73" s="75" t="s">
        <v>29</v>
      </c>
      <c r="C73" s="75" t="s">
        <v>30</v>
      </c>
      <c r="D73" s="74" t="s">
        <v>31</v>
      </c>
      <c r="E73" s="48">
        <v>837.38</v>
      </c>
      <c r="F73" s="48">
        <v>3</v>
      </c>
      <c r="G73" s="48"/>
      <c r="H73" s="48">
        <f t="shared" si="2"/>
        <v>2512.14</v>
      </c>
      <c r="I73" s="39"/>
    </row>
    <row r="74" spans="1:9" ht="22.5" outlineLevel="2">
      <c r="A74" s="38"/>
      <c r="B74" s="75" t="s">
        <v>32</v>
      </c>
      <c r="C74" s="75" t="s">
        <v>33</v>
      </c>
      <c r="D74" s="74" t="s">
        <v>28</v>
      </c>
      <c r="E74" s="48">
        <f>E73*0.2</f>
        <v>167.476</v>
      </c>
      <c r="F74" s="48">
        <v>230</v>
      </c>
      <c r="G74" s="43">
        <v>158</v>
      </c>
      <c r="H74" s="48">
        <f t="shared" si="2"/>
        <v>38519.480000000003</v>
      </c>
      <c r="I74" s="39"/>
    </row>
    <row r="75" spans="1:9" ht="45" outlineLevel="2">
      <c r="A75" s="38"/>
      <c r="B75" s="75" t="s">
        <v>34</v>
      </c>
      <c r="C75" s="75" t="s">
        <v>35</v>
      </c>
      <c r="D75" s="74" t="s">
        <v>28</v>
      </c>
      <c r="E75" s="74">
        <f>E73*0.2-92.62*2*0.2</f>
        <v>130.428</v>
      </c>
      <c r="F75" s="48">
        <v>750</v>
      </c>
      <c r="G75" s="43">
        <v>512</v>
      </c>
      <c r="H75" s="48">
        <f t="shared" si="2"/>
        <v>97821</v>
      </c>
      <c r="I75" s="39"/>
    </row>
    <row r="76" spans="1:9" ht="56.25" outlineLevel="2">
      <c r="A76" s="38"/>
      <c r="B76" s="75" t="s">
        <v>34</v>
      </c>
      <c r="C76" s="75" t="s">
        <v>67</v>
      </c>
      <c r="D76" s="74" t="s">
        <v>28</v>
      </c>
      <c r="E76" s="74">
        <f>92.62*(2*0.2+0.8*0.2)</f>
        <v>51.867200000000004</v>
      </c>
      <c r="F76" s="48">
        <v>763</v>
      </c>
      <c r="G76" s="43">
        <v>523</v>
      </c>
      <c r="H76" s="48">
        <f t="shared" si="2"/>
        <v>39574.673600000002</v>
      </c>
      <c r="I76" s="39"/>
    </row>
    <row r="77" spans="1:9" ht="45" outlineLevel="2">
      <c r="A77" s="38"/>
      <c r="B77" s="75" t="s">
        <v>43</v>
      </c>
      <c r="C77" s="75" t="s">
        <v>68</v>
      </c>
      <c r="D77" s="74" t="s">
        <v>45</v>
      </c>
      <c r="E77" s="74">
        <v>1.4039999999999999</v>
      </c>
      <c r="F77" s="48">
        <v>7100</v>
      </c>
      <c r="G77" s="48">
        <f>$G$54</f>
        <v>5370</v>
      </c>
      <c r="H77" s="48">
        <f t="shared" si="2"/>
        <v>9968.4</v>
      </c>
      <c r="I77" s="39"/>
    </row>
    <row r="78" spans="1:9" ht="33.75" outlineLevel="2">
      <c r="A78" s="38"/>
      <c r="B78" s="75" t="s">
        <v>36</v>
      </c>
      <c r="C78" s="75" t="s">
        <v>69</v>
      </c>
      <c r="D78" s="74" t="s">
        <v>31</v>
      </c>
      <c r="E78" s="48">
        <v>110.94</v>
      </c>
      <c r="F78" s="48">
        <v>177</v>
      </c>
      <c r="G78" s="48">
        <v>90</v>
      </c>
      <c r="H78" s="48">
        <f t="shared" si="2"/>
        <v>19636.38</v>
      </c>
      <c r="I78" s="39"/>
    </row>
    <row r="79" spans="1:9" ht="45" outlineLevel="2">
      <c r="A79" s="38"/>
      <c r="B79" s="75" t="s">
        <v>71</v>
      </c>
      <c r="C79" s="75" t="s">
        <v>72</v>
      </c>
      <c r="D79" s="74" t="s">
        <v>31</v>
      </c>
      <c r="E79" s="48">
        <v>726.44</v>
      </c>
      <c r="F79" s="48">
        <v>235</v>
      </c>
      <c r="G79" s="48">
        <v>150</v>
      </c>
      <c r="H79" s="48">
        <f t="shared" si="2"/>
        <v>170713.40000000002</v>
      </c>
      <c r="I79" s="39"/>
    </row>
    <row r="80" spans="1:9" outlineLevel="1">
      <c r="A80" s="38"/>
      <c r="B80" s="75" t="s">
        <v>73</v>
      </c>
      <c r="C80" s="75"/>
      <c r="D80" s="74"/>
      <c r="E80" s="74"/>
      <c r="F80" s="48"/>
      <c r="G80" s="48"/>
      <c r="H80" s="48"/>
      <c r="I80" s="39"/>
    </row>
    <row r="81" spans="1:9" ht="22.5" outlineLevel="2">
      <c r="A81" s="38"/>
      <c r="B81" s="75" t="s">
        <v>29</v>
      </c>
      <c r="C81" s="75" t="s">
        <v>74</v>
      </c>
      <c r="D81" s="74" t="s">
        <v>31</v>
      </c>
      <c r="E81" s="74">
        <v>26.13</v>
      </c>
      <c r="F81" s="48">
        <v>3</v>
      </c>
      <c r="G81" s="48"/>
      <c r="H81" s="48">
        <f t="shared" si="2"/>
        <v>78.39</v>
      </c>
      <c r="I81" s="39"/>
    </row>
    <row r="82" spans="1:9" ht="22.5" outlineLevel="2">
      <c r="A82" s="38"/>
      <c r="B82" s="75" t="s">
        <v>32</v>
      </c>
      <c r="C82" s="75" t="s">
        <v>41</v>
      </c>
      <c r="D82" s="74" t="s">
        <v>28</v>
      </c>
      <c r="E82" s="48">
        <f>26.13*0.1</f>
        <v>2.613</v>
      </c>
      <c r="F82" s="48">
        <v>230</v>
      </c>
      <c r="G82" s="43">
        <v>158</v>
      </c>
      <c r="H82" s="48">
        <f t="shared" si="2"/>
        <v>600.99</v>
      </c>
      <c r="I82" s="39"/>
    </row>
    <row r="83" spans="1:9" ht="45" outlineLevel="2">
      <c r="A83" s="38"/>
      <c r="B83" s="75" t="s">
        <v>34</v>
      </c>
      <c r="C83" s="75" t="s">
        <v>75</v>
      </c>
      <c r="D83" s="74" t="s">
        <v>28</v>
      </c>
      <c r="E83" s="48">
        <f>26.13*0.1</f>
        <v>2.613</v>
      </c>
      <c r="F83" s="48">
        <v>750</v>
      </c>
      <c r="G83" s="43">
        <v>512</v>
      </c>
      <c r="H83" s="48">
        <f t="shared" si="2"/>
        <v>1959.75</v>
      </c>
      <c r="I83" s="39"/>
    </row>
    <row r="84" spans="1:9" ht="45" outlineLevel="2">
      <c r="A84" s="38"/>
      <c r="B84" s="75" t="s">
        <v>71</v>
      </c>
      <c r="C84" s="75" t="s">
        <v>72</v>
      </c>
      <c r="D84" s="74" t="s">
        <v>31</v>
      </c>
      <c r="E84" s="74">
        <v>26.13</v>
      </c>
      <c r="F84" s="48">
        <v>235</v>
      </c>
      <c r="G84" s="48">
        <v>150</v>
      </c>
      <c r="H84" s="48">
        <f t="shared" si="2"/>
        <v>6140.55</v>
      </c>
      <c r="I84" s="39"/>
    </row>
    <row r="85" spans="1:9" ht="33.75" outlineLevel="2">
      <c r="A85" s="38"/>
      <c r="B85" s="75" t="s">
        <v>76</v>
      </c>
      <c r="C85" s="75" t="s">
        <v>77</v>
      </c>
      <c r="D85" s="74" t="s">
        <v>31</v>
      </c>
      <c r="E85" s="74">
        <f>29.21-26.13</f>
        <v>3.0800000000000018</v>
      </c>
      <c r="F85" s="48">
        <v>167</v>
      </c>
      <c r="G85" s="48">
        <v>90</v>
      </c>
      <c r="H85" s="48">
        <f t="shared" si="2"/>
        <v>514.36000000000035</v>
      </c>
      <c r="I85" s="39"/>
    </row>
    <row r="86" spans="1:9" ht="22.5" outlineLevel="2">
      <c r="A86" s="38"/>
      <c r="B86" s="75" t="s">
        <v>29</v>
      </c>
      <c r="C86" s="75" t="s">
        <v>74</v>
      </c>
      <c r="D86" s="74" t="s">
        <v>31</v>
      </c>
      <c r="E86" s="74">
        <v>3.08</v>
      </c>
      <c r="F86" s="48">
        <v>3</v>
      </c>
      <c r="G86" s="48"/>
      <c r="H86" s="48">
        <f t="shared" si="2"/>
        <v>9.24</v>
      </c>
      <c r="I86" s="39"/>
    </row>
    <row r="87" spans="1:9" ht="22.5" outlineLevel="2">
      <c r="A87" s="38"/>
      <c r="B87" s="75" t="s">
        <v>32</v>
      </c>
      <c r="C87" s="75" t="s">
        <v>41</v>
      </c>
      <c r="D87" s="74" t="s">
        <v>28</v>
      </c>
      <c r="E87" s="48">
        <f>3.08*0.1</f>
        <v>0.30800000000000005</v>
      </c>
      <c r="F87" s="48">
        <v>230</v>
      </c>
      <c r="G87" s="43">
        <v>158</v>
      </c>
      <c r="H87" s="48">
        <f t="shared" si="2"/>
        <v>70.840000000000018</v>
      </c>
      <c r="I87" s="39"/>
    </row>
    <row r="88" spans="1:9" ht="45" outlineLevel="2">
      <c r="A88" s="38"/>
      <c r="B88" s="75" t="s">
        <v>34</v>
      </c>
      <c r="C88" s="75" t="s">
        <v>75</v>
      </c>
      <c r="D88" s="74" t="s">
        <v>28</v>
      </c>
      <c r="E88" s="48">
        <f>3.08*0.1</f>
        <v>0.30800000000000005</v>
      </c>
      <c r="F88" s="48">
        <v>750</v>
      </c>
      <c r="G88" s="43">
        <v>512</v>
      </c>
      <c r="H88" s="48">
        <f t="shared" si="2"/>
        <v>231.00000000000003</v>
      </c>
      <c r="I88" s="39"/>
    </row>
    <row r="89" spans="1:9" outlineLevel="1">
      <c r="A89" s="38"/>
      <c r="B89" s="39" t="s">
        <v>78</v>
      </c>
      <c r="C89" s="39"/>
      <c r="D89" s="38"/>
      <c r="E89" s="40"/>
      <c r="F89" s="41"/>
      <c r="G89" s="41"/>
      <c r="H89" s="48"/>
      <c r="I89" s="42"/>
    </row>
    <row r="90" spans="1:9" ht="33.75" outlineLevel="2">
      <c r="A90" s="74"/>
      <c r="B90" s="75" t="s">
        <v>26</v>
      </c>
      <c r="C90" s="75" t="s">
        <v>27</v>
      </c>
      <c r="D90" s="74" t="s">
        <v>28</v>
      </c>
      <c r="E90" s="48">
        <f>E92+E93</f>
        <v>7.6196000000000002</v>
      </c>
      <c r="F90" s="48">
        <f>$F$7</f>
        <v>12</v>
      </c>
      <c r="G90" s="48"/>
      <c r="H90" s="48">
        <f t="shared" si="2"/>
        <v>91.435200000000009</v>
      </c>
      <c r="I90" s="39"/>
    </row>
    <row r="91" spans="1:9" ht="22.5" outlineLevel="2">
      <c r="A91" s="38"/>
      <c r="B91" s="46" t="s">
        <v>29</v>
      </c>
      <c r="C91" s="46" t="s">
        <v>30</v>
      </c>
      <c r="D91" s="48" t="s">
        <v>31</v>
      </c>
      <c r="E91" s="48">
        <f>2.8*0.86*2+1.5*1.72</f>
        <v>7.3959999999999999</v>
      </c>
      <c r="F91" s="48">
        <v>3</v>
      </c>
      <c r="G91" s="41"/>
      <c r="H91" s="48">
        <f t="shared" ref="H91:H154" si="3">E91*F91</f>
        <v>22.187999999999999</v>
      </c>
      <c r="I91" s="42"/>
    </row>
    <row r="92" spans="1:9" ht="22.5" outlineLevel="2">
      <c r="A92" s="38"/>
      <c r="B92" s="46" t="s">
        <v>32</v>
      </c>
      <c r="C92" s="46" t="s">
        <v>41</v>
      </c>
      <c r="D92" s="48" t="s">
        <v>28</v>
      </c>
      <c r="E92" s="48">
        <f>E91*0.1</f>
        <v>0.73960000000000004</v>
      </c>
      <c r="F92" s="48">
        <v>230</v>
      </c>
      <c r="G92" s="43">
        <v>158</v>
      </c>
      <c r="H92" s="48">
        <f t="shared" si="3"/>
        <v>170.108</v>
      </c>
      <c r="I92" s="42"/>
    </row>
    <row r="93" spans="1:9" ht="45" outlineLevel="2">
      <c r="A93" s="38"/>
      <c r="B93" s="46" t="s">
        <v>79</v>
      </c>
      <c r="C93" s="46" t="s">
        <v>80</v>
      </c>
      <c r="D93" s="48" t="s">
        <v>31</v>
      </c>
      <c r="E93" s="48">
        <f>2.8*0.8*2+1.5*1.6</f>
        <v>6.88</v>
      </c>
      <c r="F93" s="48">
        <v>180</v>
      </c>
      <c r="G93" s="41">
        <v>65</v>
      </c>
      <c r="H93" s="48">
        <f t="shared" si="3"/>
        <v>1238.4000000000001</v>
      </c>
      <c r="I93" s="42"/>
    </row>
    <row r="94" spans="1:9" ht="56.25" outlineLevel="2">
      <c r="A94" s="38"/>
      <c r="B94" s="46" t="s">
        <v>81</v>
      </c>
      <c r="C94" s="75" t="s">
        <v>82</v>
      </c>
      <c r="D94" s="74" t="s">
        <v>31</v>
      </c>
      <c r="E94" s="48">
        <f>E93</f>
        <v>6.88</v>
      </c>
      <c r="F94" s="48">
        <v>630</v>
      </c>
      <c r="G94" s="41">
        <v>450</v>
      </c>
      <c r="H94" s="48">
        <f t="shared" si="3"/>
        <v>4334.3999999999996</v>
      </c>
      <c r="I94" s="42"/>
    </row>
    <row r="95" spans="1:9">
      <c r="A95" s="38" t="s">
        <v>83</v>
      </c>
      <c r="B95" s="39" t="s">
        <v>84</v>
      </c>
      <c r="C95" s="39"/>
      <c r="D95" s="38"/>
      <c r="E95" s="40"/>
      <c r="F95" s="41"/>
      <c r="G95" s="41"/>
      <c r="H95" s="48"/>
      <c r="I95" s="42"/>
    </row>
    <row r="96" spans="1:9" ht="33.75" outlineLevel="1">
      <c r="A96" s="74"/>
      <c r="B96" s="75" t="s">
        <v>26</v>
      </c>
      <c r="C96" s="75" t="s">
        <v>27</v>
      </c>
      <c r="D96" s="74" t="s">
        <v>28</v>
      </c>
      <c r="E96" s="48">
        <f>E98+E99</f>
        <v>27.776</v>
      </c>
      <c r="F96" s="48">
        <f>$F$7</f>
        <v>12</v>
      </c>
      <c r="G96" s="48"/>
      <c r="H96" s="48">
        <f t="shared" si="3"/>
        <v>333.31200000000001</v>
      </c>
      <c r="I96" s="39"/>
    </row>
    <row r="97" spans="1:9" ht="22.5" outlineLevel="1">
      <c r="A97" s="74"/>
      <c r="B97" s="75" t="s">
        <v>29</v>
      </c>
      <c r="C97" s="75" t="s">
        <v>30</v>
      </c>
      <c r="D97" s="74" t="s">
        <v>31</v>
      </c>
      <c r="E97" s="48">
        <v>69.44</v>
      </c>
      <c r="F97" s="48">
        <v>3</v>
      </c>
      <c r="G97" s="48"/>
      <c r="H97" s="48">
        <f t="shared" si="3"/>
        <v>208.32</v>
      </c>
      <c r="I97" s="39"/>
    </row>
    <row r="98" spans="1:9" ht="22.5" outlineLevel="1">
      <c r="A98" s="74"/>
      <c r="B98" s="75" t="s">
        <v>32</v>
      </c>
      <c r="C98" s="75" t="s">
        <v>33</v>
      </c>
      <c r="D98" s="74" t="s">
        <v>28</v>
      </c>
      <c r="E98" s="48">
        <f>E97*0.2</f>
        <v>13.888</v>
      </c>
      <c r="F98" s="48">
        <v>230</v>
      </c>
      <c r="G98" s="43">
        <v>158</v>
      </c>
      <c r="H98" s="48">
        <f t="shared" si="3"/>
        <v>3194.24</v>
      </c>
      <c r="I98" s="39"/>
    </row>
    <row r="99" spans="1:9" ht="45" outlineLevel="1">
      <c r="A99" s="74"/>
      <c r="B99" s="75" t="s">
        <v>34</v>
      </c>
      <c r="C99" s="75" t="s">
        <v>35</v>
      </c>
      <c r="D99" s="74" t="s">
        <v>28</v>
      </c>
      <c r="E99" s="48">
        <f>E97*0.2</f>
        <v>13.888</v>
      </c>
      <c r="F99" s="48">
        <v>750</v>
      </c>
      <c r="G99" s="43">
        <v>512</v>
      </c>
      <c r="H99" s="48">
        <f t="shared" si="3"/>
        <v>10416</v>
      </c>
      <c r="I99" s="39"/>
    </row>
    <row r="100" spans="1:9" ht="22.5" outlineLevel="1">
      <c r="A100" s="74"/>
      <c r="B100" s="75" t="s">
        <v>36</v>
      </c>
      <c r="C100" s="75" t="s">
        <v>85</v>
      </c>
      <c r="D100" s="74" t="s">
        <v>51</v>
      </c>
      <c r="E100" s="48">
        <v>6.95</v>
      </c>
      <c r="F100" s="48">
        <v>295</v>
      </c>
      <c r="G100" s="48">
        <v>165</v>
      </c>
      <c r="H100" s="48">
        <f t="shared" si="3"/>
        <v>2050.25</v>
      </c>
      <c r="I100" s="39"/>
    </row>
    <row r="101" spans="1:9" ht="45" outlineLevel="1">
      <c r="A101" s="38"/>
      <c r="B101" s="46" t="s">
        <v>86</v>
      </c>
      <c r="C101" s="46" t="s">
        <v>87</v>
      </c>
      <c r="D101" s="48" t="s">
        <v>31</v>
      </c>
      <c r="E101" s="48">
        <v>62.49</v>
      </c>
      <c r="F101" s="48">
        <v>167</v>
      </c>
      <c r="G101" s="48">
        <v>120</v>
      </c>
      <c r="H101" s="48">
        <f t="shared" si="3"/>
        <v>10435.83</v>
      </c>
      <c r="I101" s="42"/>
    </row>
    <row r="102" spans="1:9">
      <c r="A102" s="38" t="s">
        <v>88</v>
      </c>
      <c r="B102" s="39" t="s">
        <v>89</v>
      </c>
      <c r="C102" s="39"/>
      <c r="D102" s="38"/>
      <c r="E102" s="40"/>
      <c r="F102" s="41"/>
      <c r="G102" s="41"/>
      <c r="H102" s="48"/>
      <c r="I102" s="42"/>
    </row>
    <row r="103" spans="1:9" ht="33.75" outlineLevel="1">
      <c r="A103" s="74"/>
      <c r="B103" s="75" t="s">
        <v>26</v>
      </c>
      <c r="C103" s="75" t="s">
        <v>27</v>
      </c>
      <c r="D103" s="74" t="s">
        <v>28</v>
      </c>
      <c r="E103" s="48">
        <f>E104*0.34</f>
        <v>11.5175</v>
      </c>
      <c r="F103" s="48">
        <f>$F$7</f>
        <v>12</v>
      </c>
      <c r="G103" s="48"/>
      <c r="H103" s="48">
        <f t="shared" si="3"/>
        <v>138.21</v>
      </c>
      <c r="I103" s="39"/>
    </row>
    <row r="104" spans="1:9" ht="22.5" outlineLevel="1">
      <c r="A104" s="74"/>
      <c r="B104" s="75" t="s">
        <v>29</v>
      </c>
      <c r="C104" s="75" t="s">
        <v>30</v>
      </c>
      <c r="D104" s="74" t="s">
        <v>31</v>
      </c>
      <c r="E104" s="48">
        <f>31.21+26.65*0.1</f>
        <v>33.875</v>
      </c>
      <c r="F104" s="48">
        <v>3</v>
      </c>
      <c r="G104" s="48"/>
      <c r="H104" s="48">
        <f t="shared" si="3"/>
        <v>101.625</v>
      </c>
      <c r="I104" s="39"/>
    </row>
    <row r="105" spans="1:9" ht="22.5" outlineLevel="1">
      <c r="A105" s="74"/>
      <c r="B105" s="75" t="s">
        <v>32</v>
      </c>
      <c r="C105" s="75" t="s">
        <v>41</v>
      </c>
      <c r="D105" s="74" t="s">
        <v>28</v>
      </c>
      <c r="E105" s="48">
        <f>E104*0.1</f>
        <v>3.3875000000000002</v>
      </c>
      <c r="F105" s="48">
        <v>230</v>
      </c>
      <c r="G105" s="43">
        <v>158</v>
      </c>
      <c r="H105" s="48">
        <f t="shared" si="3"/>
        <v>779.125</v>
      </c>
      <c r="I105" s="39"/>
    </row>
    <row r="106" spans="1:9" ht="45" outlineLevel="1">
      <c r="A106" s="74"/>
      <c r="B106" s="75" t="s">
        <v>34</v>
      </c>
      <c r="C106" s="75" t="s">
        <v>42</v>
      </c>
      <c r="D106" s="74" t="s">
        <v>28</v>
      </c>
      <c r="E106" s="48">
        <f>E104*0.1+8*0.1</f>
        <v>4.1875</v>
      </c>
      <c r="F106" s="48">
        <v>750</v>
      </c>
      <c r="G106" s="43">
        <v>512</v>
      </c>
      <c r="H106" s="48">
        <f t="shared" si="3"/>
        <v>3140.625</v>
      </c>
      <c r="I106" s="39"/>
    </row>
    <row r="107" spans="1:9" ht="78.75" outlineLevel="1">
      <c r="A107" s="74"/>
      <c r="B107" s="75" t="s">
        <v>90</v>
      </c>
      <c r="C107" s="75" t="s">
        <v>91</v>
      </c>
      <c r="D107" s="74" t="s">
        <v>31</v>
      </c>
      <c r="E107" s="48">
        <v>23.21</v>
      </c>
      <c r="F107" s="48">
        <v>380</v>
      </c>
      <c r="G107" s="43">
        <v>320</v>
      </c>
      <c r="H107" s="48">
        <f t="shared" si="3"/>
        <v>8819.8000000000011</v>
      </c>
      <c r="I107" s="39"/>
    </row>
    <row r="108" spans="1:9" ht="33.75" outlineLevel="1">
      <c r="A108" s="74"/>
      <c r="B108" s="75" t="s">
        <v>36</v>
      </c>
      <c r="C108" s="75" t="s">
        <v>69</v>
      </c>
      <c r="D108" s="74" t="s">
        <v>31</v>
      </c>
      <c r="E108" s="48">
        <v>8</v>
      </c>
      <c r="F108" s="48">
        <v>177</v>
      </c>
      <c r="G108" s="48">
        <v>90</v>
      </c>
      <c r="H108" s="48">
        <f t="shared" si="3"/>
        <v>1416</v>
      </c>
      <c r="I108" s="39"/>
    </row>
    <row r="109" spans="1:9">
      <c r="A109" s="38" t="s">
        <v>92</v>
      </c>
      <c r="B109" s="39" t="s">
        <v>93</v>
      </c>
      <c r="C109" s="39"/>
      <c r="D109" s="38"/>
      <c r="E109" s="40"/>
      <c r="F109" s="41"/>
      <c r="G109" s="41"/>
      <c r="H109" s="48"/>
      <c r="I109" s="42"/>
    </row>
    <row r="110" spans="1:9" ht="33.75" outlineLevel="1">
      <c r="A110" s="74"/>
      <c r="B110" s="75" t="s">
        <v>26</v>
      </c>
      <c r="C110" s="75" t="s">
        <v>27</v>
      </c>
      <c r="D110" s="74" t="s">
        <v>28</v>
      </c>
      <c r="E110" s="48">
        <f>E112+E113+E114</f>
        <v>1806.9839999999999</v>
      </c>
      <c r="F110" s="48">
        <f>$F$7</f>
        <v>12</v>
      </c>
      <c r="G110" s="48"/>
      <c r="H110" s="48">
        <f t="shared" si="3"/>
        <v>21683.807999999997</v>
      </c>
      <c r="I110" s="39"/>
    </row>
    <row r="111" spans="1:9" ht="22.5" outlineLevel="1">
      <c r="A111" s="74"/>
      <c r="B111" s="75" t="s">
        <v>29</v>
      </c>
      <c r="C111" s="75" t="s">
        <v>30</v>
      </c>
      <c r="D111" s="74" t="s">
        <v>31</v>
      </c>
      <c r="E111" s="48">
        <v>3011.64</v>
      </c>
      <c r="F111" s="48">
        <v>3</v>
      </c>
      <c r="G111" s="48"/>
      <c r="H111" s="48">
        <f t="shared" si="3"/>
        <v>9034.92</v>
      </c>
      <c r="I111" s="39"/>
    </row>
    <row r="112" spans="1:9" ht="22.5" outlineLevel="1">
      <c r="A112" s="74"/>
      <c r="B112" s="75" t="s">
        <v>32</v>
      </c>
      <c r="C112" s="75" t="s">
        <v>33</v>
      </c>
      <c r="D112" s="74" t="s">
        <v>28</v>
      </c>
      <c r="E112" s="48">
        <f>E111*0.2</f>
        <v>602.32799999999997</v>
      </c>
      <c r="F112" s="48">
        <v>230</v>
      </c>
      <c r="G112" s="43">
        <v>158</v>
      </c>
      <c r="H112" s="48">
        <f t="shared" si="3"/>
        <v>138535.44</v>
      </c>
      <c r="I112" s="39"/>
    </row>
    <row r="113" spans="1:9" ht="45" outlineLevel="1">
      <c r="A113" s="74"/>
      <c r="B113" s="75" t="s">
        <v>34</v>
      </c>
      <c r="C113" s="75" t="s">
        <v>35</v>
      </c>
      <c r="D113" s="74" t="s">
        <v>28</v>
      </c>
      <c r="E113" s="48">
        <f>E111*0.2</f>
        <v>602.32799999999997</v>
      </c>
      <c r="F113" s="48">
        <v>750</v>
      </c>
      <c r="G113" s="43">
        <v>512</v>
      </c>
      <c r="H113" s="48">
        <f t="shared" si="3"/>
        <v>451746</v>
      </c>
      <c r="I113" s="39"/>
    </row>
    <row r="114" spans="1:9" ht="33.75" outlineLevel="1">
      <c r="A114" s="74"/>
      <c r="B114" s="75" t="s">
        <v>94</v>
      </c>
      <c r="C114" s="75" t="s">
        <v>95</v>
      </c>
      <c r="D114" s="74" t="s">
        <v>28</v>
      </c>
      <c r="E114" s="48">
        <f>E111*0.2</f>
        <v>602.32799999999997</v>
      </c>
      <c r="F114" s="48">
        <v>150</v>
      </c>
      <c r="G114" s="43">
        <v>80</v>
      </c>
      <c r="H114" s="48">
        <f t="shared" si="3"/>
        <v>90349.2</v>
      </c>
      <c r="I114" s="39"/>
    </row>
    <row r="115" spans="1:9" ht="22.5" outlineLevel="1">
      <c r="A115" s="74"/>
      <c r="B115" s="75" t="s">
        <v>96</v>
      </c>
      <c r="C115" s="75" t="s">
        <v>97</v>
      </c>
      <c r="D115" s="74" t="s">
        <v>98</v>
      </c>
      <c r="E115" s="48">
        <v>3765</v>
      </c>
      <c r="F115" s="48">
        <v>8</v>
      </c>
      <c r="G115" s="43">
        <v>5</v>
      </c>
      <c r="H115" s="48">
        <f t="shared" si="3"/>
        <v>30120</v>
      </c>
      <c r="I115" s="39"/>
    </row>
    <row r="116" spans="1:9">
      <c r="A116" s="38" t="s">
        <v>99</v>
      </c>
      <c r="B116" s="42" t="s">
        <v>100</v>
      </c>
      <c r="C116" s="42"/>
      <c r="D116" s="38"/>
      <c r="E116" s="40"/>
      <c r="F116" s="41"/>
      <c r="G116" s="41"/>
      <c r="H116" s="48"/>
      <c r="I116" s="42"/>
    </row>
    <row r="117" spans="1:9" ht="33.75" outlineLevel="1">
      <c r="A117" s="74"/>
      <c r="B117" s="75" t="s">
        <v>26</v>
      </c>
      <c r="C117" s="75" t="s">
        <v>27</v>
      </c>
      <c r="D117" s="74" t="s">
        <v>28</v>
      </c>
      <c r="E117" s="48">
        <f>E119</f>
        <v>7.7940000000000005</v>
      </c>
      <c r="F117" s="48">
        <f>$F$7</f>
        <v>12</v>
      </c>
      <c r="G117" s="48"/>
      <c r="H117" s="48">
        <f t="shared" si="3"/>
        <v>93.528000000000006</v>
      </c>
      <c r="I117" s="39"/>
    </row>
    <row r="118" spans="1:9" ht="22.5" outlineLevel="1">
      <c r="A118" s="74"/>
      <c r="B118" s="75" t="s">
        <v>29</v>
      </c>
      <c r="C118" s="75" t="s">
        <v>30</v>
      </c>
      <c r="D118" s="74" t="s">
        <v>31</v>
      </c>
      <c r="E118" s="48">
        <f>433*0.6*0.3</f>
        <v>77.94</v>
      </c>
      <c r="F118" s="48">
        <v>3</v>
      </c>
      <c r="G118" s="48"/>
      <c r="H118" s="48">
        <f t="shared" si="3"/>
        <v>233.82</v>
      </c>
      <c r="I118" s="39"/>
    </row>
    <row r="119" spans="1:9" ht="22.5" outlineLevel="1">
      <c r="A119" s="74"/>
      <c r="B119" s="75" t="s">
        <v>32</v>
      </c>
      <c r="C119" s="75" t="s">
        <v>41</v>
      </c>
      <c r="D119" s="74" t="s">
        <v>28</v>
      </c>
      <c r="E119" s="48">
        <f>E118*0.1</f>
        <v>7.7940000000000005</v>
      </c>
      <c r="F119" s="48">
        <v>230</v>
      </c>
      <c r="G119" s="43">
        <v>158</v>
      </c>
      <c r="H119" s="48">
        <f t="shared" si="3"/>
        <v>1792.6200000000001</v>
      </c>
      <c r="I119" s="39"/>
    </row>
    <row r="120" spans="1:9" ht="33.75" outlineLevel="1">
      <c r="A120" s="74"/>
      <c r="B120" s="75" t="s">
        <v>101</v>
      </c>
      <c r="C120" s="75" t="s">
        <v>55</v>
      </c>
      <c r="D120" s="74" t="s">
        <v>31</v>
      </c>
      <c r="E120" s="48">
        <f>433*0.6*0.3</f>
        <v>77.94</v>
      </c>
      <c r="F120" s="48">
        <v>275</v>
      </c>
      <c r="G120" s="48">
        <v>165</v>
      </c>
      <c r="H120" s="48">
        <f t="shared" si="3"/>
        <v>21433.5</v>
      </c>
      <c r="I120" s="39"/>
    </row>
    <row r="121" spans="1:9">
      <c r="A121" s="38" t="s">
        <v>102</v>
      </c>
      <c r="B121" s="42" t="s">
        <v>103</v>
      </c>
      <c r="C121" s="42"/>
      <c r="D121" s="38"/>
      <c r="E121" s="40"/>
      <c r="F121" s="41"/>
      <c r="G121" s="41"/>
      <c r="H121" s="48"/>
      <c r="I121" s="42"/>
    </row>
    <row r="122" spans="1:9" outlineLevel="1">
      <c r="A122" s="38"/>
      <c r="B122" s="42" t="s">
        <v>104</v>
      </c>
      <c r="C122" s="42"/>
      <c r="D122" s="38"/>
      <c r="E122" s="40"/>
      <c r="F122" s="41"/>
      <c r="G122" s="41"/>
      <c r="H122" s="48"/>
      <c r="I122" s="42"/>
    </row>
    <row r="123" spans="1:9" ht="33.75" outlineLevel="2">
      <c r="A123" s="74"/>
      <c r="B123" s="75" t="s">
        <v>26</v>
      </c>
      <c r="C123" s="75" t="s">
        <v>27</v>
      </c>
      <c r="D123" s="74" t="s">
        <v>28</v>
      </c>
      <c r="E123" s="48">
        <f>E124*0.32</f>
        <v>4.0972800000000005</v>
      </c>
      <c r="F123" s="48">
        <f>$F$7</f>
        <v>12</v>
      </c>
      <c r="G123" s="48"/>
      <c r="H123" s="48">
        <f t="shared" si="3"/>
        <v>49.167360000000002</v>
      </c>
      <c r="I123" s="39"/>
    </row>
    <row r="124" spans="1:9" ht="22.5" outlineLevel="2">
      <c r="A124" s="74"/>
      <c r="B124" s="75" t="s">
        <v>29</v>
      </c>
      <c r="C124" s="75" t="s">
        <v>30</v>
      </c>
      <c r="D124" s="74" t="s">
        <v>31</v>
      </c>
      <c r="E124" s="48">
        <f>9.9+0.11*2.4*11</f>
        <v>12.804</v>
      </c>
      <c r="F124" s="48">
        <v>3</v>
      </c>
      <c r="G124" s="48"/>
      <c r="H124" s="48">
        <f t="shared" si="3"/>
        <v>38.411999999999999</v>
      </c>
      <c r="I124" s="39"/>
    </row>
    <row r="125" spans="1:9" ht="22.5" outlineLevel="2">
      <c r="A125" s="74"/>
      <c r="B125" s="75" t="s">
        <v>32</v>
      </c>
      <c r="C125" s="75" t="s">
        <v>41</v>
      </c>
      <c r="D125" s="74" t="s">
        <v>28</v>
      </c>
      <c r="E125" s="48">
        <f>E124*0.1</f>
        <v>1.2804000000000002</v>
      </c>
      <c r="F125" s="48">
        <v>230</v>
      </c>
      <c r="G125" s="43">
        <v>158</v>
      </c>
      <c r="H125" s="48">
        <f t="shared" si="3"/>
        <v>294.49200000000008</v>
      </c>
      <c r="I125" s="39"/>
    </row>
    <row r="126" spans="1:9" ht="45" outlineLevel="2">
      <c r="A126" s="74"/>
      <c r="B126" s="75" t="s">
        <v>34</v>
      </c>
      <c r="C126" s="75" t="s">
        <v>42</v>
      </c>
      <c r="D126" s="74" t="s">
        <v>28</v>
      </c>
      <c r="E126" s="48">
        <f>(7.04+0.2*0.1*2*11)*0.1</f>
        <v>0.74800000000000011</v>
      </c>
      <c r="F126" s="48">
        <v>750</v>
      </c>
      <c r="G126" s="43">
        <v>512</v>
      </c>
      <c r="H126" s="48">
        <f t="shared" si="3"/>
        <v>561.00000000000011</v>
      </c>
      <c r="I126" s="39"/>
    </row>
    <row r="127" spans="1:9" ht="33.75" outlineLevel="2">
      <c r="A127" s="74"/>
      <c r="B127" s="75" t="s">
        <v>36</v>
      </c>
      <c r="C127" s="75" t="s">
        <v>105</v>
      </c>
      <c r="D127" s="74" t="s">
        <v>31</v>
      </c>
      <c r="E127" s="48">
        <f>0.8*0.8*11</f>
        <v>7.0400000000000009</v>
      </c>
      <c r="F127" s="48">
        <v>255</v>
      </c>
      <c r="G127" s="48">
        <v>185</v>
      </c>
      <c r="H127" s="48">
        <f t="shared" si="3"/>
        <v>1795.2000000000003</v>
      </c>
      <c r="I127" s="39"/>
    </row>
    <row r="128" spans="1:9" ht="33.75" outlineLevel="2">
      <c r="A128" s="74"/>
      <c r="B128" s="75" t="s">
        <v>36</v>
      </c>
      <c r="C128" s="75" t="s">
        <v>106</v>
      </c>
      <c r="D128" s="74" t="s">
        <v>31</v>
      </c>
      <c r="E128" s="48">
        <f>(0.9*2+0.8)*0.1*11</f>
        <v>2.8600000000000003</v>
      </c>
      <c r="F128" s="48">
        <v>255</v>
      </c>
      <c r="G128" s="48">
        <v>185</v>
      </c>
      <c r="H128" s="48">
        <f t="shared" si="3"/>
        <v>729.30000000000007</v>
      </c>
      <c r="I128" s="39"/>
    </row>
    <row r="129" spans="1:9" ht="33.75" outlineLevel="2">
      <c r="A129" s="74"/>
      <c r="B129" s="75" t="s">
        <v>36</v>
      </c>
      <c r="C129" s="75" t="s">
        <v>107</v>
      </c>
      <c r="D129" s="74" t="s">
        <v>31</v>
      </c>
      <c r="E129" s="48">
        <f>(0.6*2+0.8+0.2)*0.1*11</f>
        <v>2.4200000000000004</v>
      </c>
      <c r="F129" s="48">
        <v>255</v>
      </c>
      <c r="G129" s="48">
        <v>185</v>
      </c>
      <c r="H129" s="48">
        <f t="shared" si="3"/>
        <v>617.10000000000014</v>
      </c>
      <c r="I129" s="39"/>
    </row>
    <row r="130" spans="1:9" ht="33.75" outlineLevel="2">
      <c r="A130" s="74"/>
      <c r="B130" s="75" t="s">
        <v>108</v>
      </c>
      <c r="C130" s="39" t="s">
        <v>109</v>
      </c>
      <c r="D130" s="74" t="s">
        <v>28</v>
      </c>
      <c r="E130" s="48">
        <f>0.12*2.4*0.2*11</f>
        <v>0.63359999999999994</v>
      </c>
      <c r="F130" s="48">
        <v>630</v>
      </c>
      <c r="G130" s="43">
        <v>300</v>
      </c>
      <c r="H130" s="48">
        <f t="shared" si="3"/>
        <v>399.16799999999995</v>
      </c>
      <c r="I130" s="39"/>
    </row>
    <row r="131" spans="1:9" outlineLevel="1">
      <c r="A131" s="38"/>
      <c r="B131" s="42" t="s">
        <v>110</v>
      </c>
      <c r="C131" s="42"/>
      <c r="D131" s="38"/>
      <c r="E131" s="40"/>
      <c r="F131" s="41"/>
      <c r="G131" s="41"/>
      <c r="H131" s="48"/>
      <c r="I131" s="42"/>
    </row>
    <row r="132" spans="1:9" ht="33.75" outlineLevel="2">
      <c r="A132" s="74"/>
      <c r="B132" s="75" t="s">
        <v>26</v>
      </c>
      <c r="C132" s="75" t="s">
        <v>27</v>
      </c>
      <c r="D132" s="74" t="s">
        <v>28</v>
      </c>
      <c r="E132" s="48">
        <f>E133*0.32</f>
        <v>1.6727040000000002</v>
      </c>
      <c r="F132" s="48">
        <f>$F$7</f>
        <v>12</v>
      </c>
      <c r="G132" s="48"/>
      <c r="H132" s="48">
        <f t="shared" si="3"/>
        <v>20.072448000000001</v>
      </c>
      <c r="I132" s="39"/>
    </row>
    <row r="133" spans="1:9" ht="22.5" outlineLevel="2">
      <c r="A133" s="74"/>
      <c r="B133" s="75" t="s">
        <v>29</v>
      </c>
      <c r="C133" s="75" t="s">
        <v>30</v>
      </c>
      <c r="D133" s="74" t="s">
        <v>31</v>
      </c>
      <c r="E133" s="48">
        <f>1.32*1.32*3</f>
        <v>5.2272000000000007</v>
      </c>
      <c r="F133" s="48">
        <v>3</v>
      </c>
      <c r="G133" s="48"/>
      <c r="H133" s="48">
        <f t="shared" si="3"/>
        <v>15.681600000000003</v>
      </c>
      <c r="I133" s="39"/>
    </row>
    <row r="134" spans="1:9" ht="22.5" outlineLevel="2">
      <c r="A134" s="74"/>
      <c r="B134" s="75" t="s">
        <v>32</v>
      </c>
      <c r="C134" s="75" t="s">
        <v>41</v>
      </c>
      <c r="D134" s="74" t="s">
        <v>28</v>
      </c>
      <c r="E134" s="48">
        <f>E133*0.1</f>
        <v>0.52272000000000007</v>
      </c>
      <c r="F134" s="48">
        <v>230</v>
      </c>
      <c r="G134" s="43">
        <v>158</v>
      </c>
      <c r="H134" s="48">
        <f t="shared" si="3"/>
        <v>120.22560000000001</v>
      </c>
      <c r="I134" s="39"/>
    </row>
    <row r="135" spans="1:9" ht="45" outlineLevel="2">
      <c r="A135" s="74"/>
      <c r="B135" s="75" t="s">
        <v>34</v>
      </c>
      <c r="C135" s="75" t="s">
        <v>42</v>
      </c>
      <c r="D135" s="74" t="s">
        <v>28</v>
      </c>
      <c r="E135" s="48">
        <f>1.12*1.12*3</f>
        <v>3.7632000000000003</v>
      </c>
      <c r="F135" s="48">
        <v>750</v>
      </c>
      <c r="G135" s="43">
        <v>512</v>
      </c>
      <c r="H135" s="48">
        <f t="shared" si="3"/>
        <v>2822.4</v>
      </c>
      <c r="I135" s="39"/>
    </row>
    <row r="136" spans="1:9" ht="33.75" outlineLevel="2">
      <c r="A136" s="74"/>
      <c r="B136" s="75" t="s">
        <v>36</v>
      </c>
      <c r="C136" s="75" t="s">
        <v>111</v>
      </c>
      <c r="D136" s="74" t="s">
        <v>31</v>
      </c>
      <c r="E136" s="48">
        <f>0.4*0.8*3</f>
        <v>0.96000000000000019</v>
      </c>
      <c r="F136" s="48">
        <v>255</v>
      </c>
      <c r="G136" s="48">
        <v>185</v>
      </c>
      <c r="H136" s="48">
        <f t="shared" si="3"/>
        <v>244.80000000000004</v>
      </c>
      <c r="I136" s="39"/>
    </row>
    <row r="137" spans="1:9" ht="33.75" outlineLevel="2">
      <c r="A137" s="74"/>
      <c r="B137" s="75" t="s">
        <v>36</v>
      </c>
      <c r="C137" s="75" t="s">
        <v>112</v>
      </c>
      <c r="D137" s="74" t="s">
        <v>31</v>
      </c>
      <c r="E137" s="48">
        <f>0.8*4*0.2*3</f>
        <v>1.9200000000000004</v>
      </c>
      <c r="F137" s="48">
        <v>255</v>
      </c>
      <c r="G137" s="48">
        <v>185</v>
      </c>
      <c r="H137" s="48">
        <f t="shared" si="3"/>
        <v>489.60000000000008</v>
      </c>
      <c r="I137" s="39"/>
    </row>
    <row r="138" spans="1:9" ht="33.75" outlineLevel="2">
      <c r="A138" s="74"/>
      <c r="B138" s="75" t="s">
        <v>36</v>
      </c>
      <c r="C138" s="75" t="s">
        <v>113</v>
      </c>
      <c r="D138" s="74" t="s">
        <v>31</v>
      </c>
      <c r="E138" s="48">
        <f>0.9*4*0.1*3</f>
        <v>1.08</v>
      </c>
      <c r="F138" s="48">
        <v>255</v>
      </c>
      <c r="G138" s="48">
        <v>185</v>
      </c>
      <c r="H138" s="48">
        <f t="shared" si="3"/>
        <v>275.40000000000003</v>
      </c>
      <c r="I138" s="39"/>
    </row>
    <row r="139" spans="1:9" ht="33.75" outlineLevel="2">
      <c r="A139" s="74"/>
      <c r="B139" s="75" t="s">
        <v>36</v>
      </c>
      <c r="C139" s="75" t="s">
        <v>114</v>
      </c>
      <c r="D139" s="74" t="s">
        <v>31</v>
      </c>
      <c r="E139" s="48">
        <f>0.4*0.8*3</f>
        <v>0.96000000000000019</v>
      </c>
      <c r="F139" s="48">
        <v>255</v>
      </c>
      <c r="G139" s="48">
        <v>185</v>
      </c>
      <c r="H139" s="48">
        <f t="shared" si="3"/>
        <v>244.80000000000004</v>
      </c>
      <c r="I139" s="39"/>
    </row>
    <row r="140" spans="1:9" ht="33.75" outlineLevel="2">
      <c r="A140" s="74"/>
      <c r="B140" s="75" t="s">
        <v>108</v>
      </c>
      <c r="C140" s="39" t="s">
        <v>109</v>
      </c>
      <c r="D140" s="74" t="s">
        <v>28</v>
      </c>
      <c r="E140" s="48">
        <f>1*4*0.12*0.2*3</f>
        <v>0.28800000000000003</v>
      </c>
      <c r="F140" s="48">
        <v>630</v>
      </c>
      <c r="G140" s="43">
        <v>300</v>
      </c>
      <c r="H140" s="48">
        <f t="shared" si="3"/>
        <v>181.44000000000003</v>
      </c>
      <c r="I140" s="39"/>
    </row>
    <row r="141" spans="1:9">
      <c r="A141" s="74" t="s">
        <v>115</v>
      </c>
      <c r="B141" s="39" t="s">
        <v>116</v>
      </c>
      <c r="C141" s="39"/>
      <c r="D141" s="74"/>
      <c r="E141" s="74"/>
      <c r="F141" s="48"/>
      <c r="G141" s="48"/>
      <c r="H141" s="48"/>
      <c r="I141" s="39"/>
    </row>
    <row r="142" spans="1:9" ht="56.25" outlineLevel="1">
      <c r="A142" s="74"/>
      <c r="B142" s="75" t="s">
        <v>117</v>
      </c>
      <c r="C142" s="75" t="s">
        <v>118</v>
      </c>
      <c r="D142" s="74" t="s">
        <v>28</v>
      </c>
      <c r="E142" s="48">
        <f>0.62*0.55*(3*6+1.3+2.5+1.7+1.8+1.1+1.1+1.5+2.9+0.9)</f>
        <v>11.184800000000003</v>
      </c>
      <c r="F142" s="48">
        <f>$F$7</f>
        <v>12</v>
      </c>
      <c r="G142" s="43"/>
      <c r="H142" s="48">
        <f t="shared" si="3"/>
        <v>134.21760000000003</v>
      </c>
      <c r="I142" s="39"/>
    </row>
    <row r="143" spans="1:9" ht="56.25" outlineLevel="1">
      <c r="A143" s="74"/>
      <c r="B143" s="75" t="s">
        <v>119</v>
      </c>
      <c r="C143" s="75" t="s">
        <v>120</v>
      </c>
      <c r="D143" s="74" t="s">
        <v>28</v>
      </c>
      <c r="E143" s="48">
        <f>E142-E145-E146-E147</f>
        <v>2.6108800000000025</v>
      </c>
      <c r="F143" s="48">
        <v>20</v>
      </c>
      <c r="G143" s="48"/>
      <c r="H143" s="48">
        <f t="shared" si="3"/>
        <v>52.217600000000047</v>
      </c>
      <c r="I143" s="39"/>
    </row>
    <row r="144" spans="1:9" ht="33.75" outlineLevel="1">
      <c r="A144" s="74"/>
      <c r="B144" s="75" t="s">
        <v>29</v>
      </c>
      <c r="C144" s="75" t="s">
        <v>121</v>
      </c>
      <c r="D144" s="74" t="s">
        <v>31</v>
      </c>
      <c r="E144" s="48">
        <f>0.62*(3*6+1.3+2.5+1.7+1.8+1.1+1.1+1.5+2.9+0.9)</f>
        <v>20.336000000000002</v>
      </c>
      <c r="F144" s="48">
        <v>3</v>
      </c>
      <c r="G144" s="48"/>
      <c r="H144" s="48">
        <f t="shared" si="3"/>
        <v>61.00800000000001</v>
      </c>
      <c r="I144" s="39"/>
    </row>
    <row r="145" spans="1:9" ht="22.5" outlineLevel="1">
      <c r="A145" s="74"/>
      <c r="B145" s="75" t="s">
        <v>32</v>
      </c>
      <c r="C145" s="75" t="s">
        <v>41</v>
      </c>
      <c r="D145" s="74" t="s">
        <v>28</v>
      </c>
      <c r="E145" s="48">
        <f>0.62*(3*6+1.3+2.5+1.7+1.8+1.1+1.1+1.5+2.9+0.9)*0.1</f>
        <v>2.0336000000000003</v>
      </c>
      <c r="F145" s="48">
        <v>230</v>
      </c>
      <c r="G145" s="43">
        <v>158</v>
      </c>
      <c r="H145" s="48">
        <f t="shared" si="3"/>
        <v>467.72800000000007</v>
      </c>
      <c r="I145" s="39"/>
    </row>
    <row r="146" spans="1:9" ht="45" outlineLevel="1">
      <c r="A146" s="74"/>
      <c r="B146" s="75" t="s">
        <v>34</v>
      </c>
      <c r="C146" s="75" t="s">
        <v>75</v>
      </c>
      <c r="D146" s="74" t="s">
        <v>28</v>
      </c>
      <c r="E146" s="48">
        <f>0.62*(3*6+1.3+2.5+1.7+1.8+1.1+1.1+1.5+2.9+0.9)*0.1</f>
        <v>2.0336000000000003</v>
      </c>
      <c r="F146" s="48">
        <v>750</v>
      </c>
      <c r="G146" s="43">
        <v>512</v>
      </c>
      <c r="H146" s="48">
        <f t="shared" si="3"/>
        <v>1525.2000000000003</v>
      </c>
      <c r="I146" s="39"/>
    </row>
    <row r="147" spans="1:9" ht="45" outlineLevel="1">
      <c r="A147" s="74"/>
      <c r="B147" s="75" t="s">
        <v>108</v>
      </c>
      <c r="C147" s="75" t="s">
        <v>122</v>
      </c>
      <c r="D147" s="74" t="s">
        <v>28</v>
      </c>
      <c r="E147" s="48">
        <f>0.42*(3*6+1.3+2.5+1.7+1.8+1.1+1.1+1.5+2.9+0.9)*0.12+0.3*(3*6+1.3+2.5+1.7+1.8+1.1+1.1+1.5+2.9+0.9)*0.29</f>
        <v>4.5067200000000005</v>
      </c>
      <c r="F147" s="48">
        <v>630</v>
      </c>
      <c r="G147" s="43">
        <v>300</v>
      </c>
      <c r="H147" s="48">
        <f t="shared" si="3"/>
        <v>2839.2336000000005</v>
      </c>
      <c r="I147" s="39"/>
    </row>
    <row r="148" spans="1:9" ht="22.5" outlineLevel="1">
      <c r="A148" s="74"/>
      <c r="B148" s="75" t="s">
        <v>123</v>
      </c>
      <c r="C148" s="75" t="s">
        <v>124</v>
      </c>
      <c r="D148" s="74" t="s">
        <v>31</v>
      </c>
      <c r="E148" s="48">
        <f>0.3*(3*6+1.3+2.5+1.7+1.8+1.1+1.1+1.5+2.9+0.9)</f>
        <v>9.8400000000000016</v>
      </c>
      <c r="F148" s="48">
        <v>35</v>
      </c>
      <c r="G148" s="48">
        <v>18</v>
      </c>
      <c r="H148" s="48">
        <f t="shared" si="3"/>
        <v>344.40000000000003</v>
      </c>
      <c r="I148" s="39"/>
    </row>
    <row r="149" spans="1:9" ht="45" outlineLevel="1">
      <c r="A149" s="74"/>
      <c r="B149" s="75" t="s">
        <v>125</v>
      </c>
      <c r="C149" s="75" t="s">
        <v>126</v>
      </c>
      <c r="D149" s="74" t="s">
        <v>28</v>
      </c>
      <c r="E149" s="48">
        <f>0.3*(3*6+1.3+2.5+1.7+1.8+1.1+1.1+1.5+2.9+0.9)*0.2</f>
        <v>1.9680000000000004</v>
      </c>
      <c r="F149" s="48">
        <v>650</v>
      </c>
      <c r="G149" s="48">
        <v>300</v>
      </c>
      <c r="H149" s="48">
        <f t="shared" si="3"/>
        <v>1279.2000000000003</v>
      </c>
      <c r="I149" s="39"/>
    </row>
    <row r="150" spans="1:9" ht="45" outlineLevel="1">
      <c r="A150" s="74"/>
      <c r="B150" s="75" t="s">
        <v>127</v>
      </c>
      <c r="C150" s="75" t="s">
        <v>128</v>
      </c>
      <c r="D150" s="74" t="s">
        <v>28</v>
      </c>
      <c r="E150" s="48">
        <f>0.3*(3*6+1.3+2.5+1.7+1.8+1.1+1.1+1.5+2.9+0.9)*0.1</f>
        <v>0.98400000000000021</v>
      </c>
      <c r="F150" s="48">
        <v>860</v>
      </c>
      <c r="G150" s="48">
        <v>512</v>
      </c>
      <c r="H150" s="48">
        <f t="shared" si="3"/>
        <v>846.24000000000012</v>
      </c>
      <c r="I150" s="39"/>
    </row>
    <row r="151" spans="1:9" ht="22.5" outlineLevel="1">
      <c r="A151" s="74"/>
      <c r="B151" s="75" t="s">
        <v>129</v>
      </c>
      <c r="C151" s="75" t="s">
        <v>124</v>
      </c>
      <c r="D151" s="74" t="s">
        <v>31</v>
      </c>
      <c r="E151" s="48">
        <f>(0.55*2+0.3)*(3*6+1.3+2.5+1.7+1.8+1.1+1.1+1.5+2.9+0.9)</f>
        <v>45.920000000000009</v>
      </c>
      <c r="F151" s="48">
        <v>35</v>
      </c>
      <c r="G151" s="48">
        <v>20</v>
      </c>
      <c r="H151" s="48">
        <f t="shared" si="3"/>
        <v>1607.2000000000003</v>
      </c>
      <c r="I151" s="39"/>
    </row>
    <row r="152" spans="1:9" ht="22.5" outlineLevel="1">
      <c r="A152" s="74"/>
      <c r="B152" s="75" t="s">
        <v>130</v>
      </c>
      <c r="C152" s="75" t="s">
        <v>131</v>
      </c>
      <c r="D152" s="74" t="s">
        <v>31</v>
      </c>
      <c r="E152" s="48">
        <f>0.45*(3*6+1.3+2.5+1.7+1.8+1.1+1.1+1.5+2.9+0.9)*2+0.45*0.4*9*2</f>
        <v>32.760000000000005</v>
      </c>
      <c r="F152" s="48">
        <v>255</v>
      </c>
      <c r="G152" s="48">
        <v>135</v>
      </c>
      <c r="H152" s="48">
        <f t="shared" si="3"/>
        <v>8353.8000000000011</v>
      </c>
      <c r="I152" s="39"/>
    </row>
    <row r="153" spans="1:9" ht="22.5" outlineLevel="1">
      <c r="A153" s="74"/>
      <c r="B153" s="75" t="s">
        <v>132</v>
      </c>
      <c r="C153" s="75" t="s">
        <v>133</v>
      </c>
      <c r="D153" s="74" t="s">
        <v>31</v>
      </c>
      <c r="E153" s="48">
        <f>0.4*0.4*9*2</f>
        <v>2.8800000000000008</v>
      </c>
      <c r="F153" s="48">
        <v>265</v>
      </c>
      <c r="G153" s="48">
        <v>180</v>
      </c>
      <c r="H153" s="48">
        <f t="shared" si="3"/>
        <v>763.20000000000016</v>
      </c>
      <c r="I153" s="39"/>
    </row>
    <row r="154" spans="1:9" ht="45" outlineLevel="1">
      <c r="A154" s="74"/>
      <c r="B154" s="75" t="s">
        <v>134</v>
      </c>
      <c r="C154" s="75" t="s">
        <v>135</v>
      </c>
      <c r="D154" s="74" t="s">
        <v>31</v>
      </c>
      <c r="E154" s="48">
        <f>(1.8*6+0.6+1.8+2.9+3.9+0.24)*0.4</f>
        <v>8.0960000000000001</v>
      </c>
      <c r="F154" s="48">
        <v>380</v>
      </c>
      <c r="G154" s="43">
        <v>320</v>
      </c>
      <c r="H154" s="48">
        <f t="shared" si="3"/>
        <v>3076.48</v>
      </c>
      <c r="I154" s="39"/>
    </row>
    <row r="155" spans="1:9">
      <c r="A155" s="74" t="s">
        <v>136</v>
      </c>
      <c r="B155" s="39" t="s">
        <v>137</v>
      </c>
      <c r="C155" s="39"/>
      <c r="D155" s="74"/>
      <c r="E155" s="74"/>
      <c r="F155" s="48"/>
      <c r="G155" s="48"/>
      <c r="H155" s="48"/>
      <c r="I155" s="39"/>
    </row>
    <row r="156" spans="1:9" outlineLevel="1">
      <c r="A156" s="74">
        <v>1</v>
      </c>
      <c r="B156" s="75" t="s">
        <v>138</v>
      </c>
      <c r="C156" s="75"/>
      <c r="D156" s="74"/>
      <c r="E156" s="74"/>
      <c r="F156" s="48"/>
      <c r="G156" s="48"/>
      <c r="H156" s="48"/>
      <c r="I156" s="39"/>
    </row>
    <row r="157" spans="1:9" ht="56.25" outlineLevel="2">
      <c r="A157" s="74"/>
      <c r="B157" s="75" t="s">
        <v>139</v>
      </c>
      <c r="C157" s="75" t="s">
        <v>140</v>
      </c>
      <c r="D157" s="74" t="s">
        <v>28</v>
      </c>
      <c r="E157" s="74">
        <v>253.82</v>
      </c>
      <c r="F157" s="48">
        <f>$F$7</f>
        <v>12</v>
      </c>
      <c r="G157" s="48"/>
      <c r="H157" s="48">
        <f t="shared" ref="H157:H218" si="4">E157*F157</f>
        <v>3045.84</v>
      </c>
      <c r="I157" s="39"/>
    </row>
    <row r="158" spans="1:9" ht="33.75" outlineLevel="2">
      <c r="A158" s="74"/>
      <c r="B158" s="75" t="s">
        <v>29</v>
      </c>
      <c r="C158" s="75" t="s">
        <v>121</v>
      </c>
      <c r="D158" s="74" t="s">
        <v>31</v>
      </c>
      <c r="E158" s="74">
        <v>283.97000000000003</v>
      </c>
      <c r="F158" s="48">
        <v>3</v>
      </c>
      <c r="G158" s="48"/>
      <c r="H158" s="48">
        <f t="shared" si="4"/>
        <v>851.91000000000008</v>
      </c>
      <c r="I158" s="39"/>
    </row>
    <row r="159" spans="1:9" ht="56.25" outlineLevel="2">
      <c r="A159" s="74"/>
      <c r="B159" s="75" t="s">
        <v>119</v>
      </c>
      <c r="C159" s="75" t="s">
        <v>120</v>
      </c>
      <c r="D159" s="74" t="s">
        <v>28</v>
      </c>
      <c r="E159" s="74">
        <v>126.65</v>
      </c>
      <c r="F159" s="48">
        <f>$F$143</f>
        <v>20</v>
      </c>
      <c r="G159" s="48"/>
      <c r="H159" s="48">
        <f t="shared" si="4"/>
        <v>2533</v>
      </c>
      <c r="I159" s="39"/>
    </row>
    <row r="160" spans="1:9" ht="22.5" outlineLevel="2">
      <c r="A160" s="74"/>
      <c r="B160" s="75" t="s">
        <v>32</v>
      </c>
      <c r="C160" s="75" t="s">
        <v>41</v>
      </c>
      <c r="D160" s="74" t="s">
        <v>28</v>
      </c>
      <c r="E160" s="74">
        <f>24.12</f>
        <v>24.12</v>
      </c>
      <c r="F160" s="48">
        <v>230</v>
      </c>
      <c r="G160" s="43">
        <v>158</v>
      </c>
      <c r="H160" s="48">
        <f t="shared" si="4"/>
        <v>5547.6</v>
      </c>
      <c r="I160" s="39"/>
    </row>
    <row r="161" spans="1:9" ht="45" outlineLevel="2">
      <c r="A161" s="74"/>
      <c r="B161" s="75" t="s">
        <v>34</v>
      </c>
      <c r="C161" s="75" t="s">
        <v>141</v>
      </c>
      <c r="D161" s="74" t="s">
        <v>28</v>
      </c>
      <c r="E161" s="74">
        <v>24.12</v>
      </c>
      <c r="F161" s="48">
        <v>750</v>
      </c>
      <c r="G161" s="43">
        <v>512</v>
      </c>
      <c r="H161" s="48">
        <f t="shared" si="4"/>
        <v>18090</v>
      </c>
      <c r="I161" s="39"/>
    </row>
    <row r="162" spans="1:9" ht="45" outlineLevel="2">
      <c r="A162" s="74"/>
      <c r="B162" s="75" t="s">
        <v>142</v>
      </c>
      <c r="C162" s="75" t="s">
        <v>143</v>
      </c>
      <c r="D162" s="74" t="s">
        <v>28</v>
      </c>
      <c r="E162" s="74">
        <f>52.26+0.18</f>
        <v>52.44</v>
      </c>
      <c r="F162" s="48">
        <v>758</v>
      </c>
      <c r="G162" s="48">
        <v>523</v>
      </c>
      <c r="H162" s="48">
        <f t="shared" si="4"/>
        <v>39749.519999999997</v>
      </c>
      <c r="I162" s="39"/>
    </row>
    <row r="163" spans="1:9" ht="45" outlineLevel="2">
      <c r="A163" s="74"/>
      <c r="B163" s="75" t="s">
        <v>144</v>
      </c>
      <c r="C163" s="75" t="s">
        <v>145</v>
      </c>
      <c r="D163" s="74" t="s">
        <v>28</v>
      </c>
      <c r="E163" s="74">
        <f>52.26+12.52-52.44</f>
        <v>12.340000000000003</v>
      </c>
      <c r="F163" s="48">
        <v>843</v>
      </c>
      <c r="G163" s="48">
        <v>523</v>
      </c>
      <c r="H163" s="48">
        <f t="shared" si="4"/>
        <v>10402.620000000003</v>
      </c>
      <c r="I163" s="39"/>
    </row>
    <row r="164" spans="1:9" ht="33.75" outlineLevel="2">
      <c r="A164" s="74"/>
      <c r="B164" s="75" t="s">
        <v>146</v>
      </c>
      <c r="C164" s="75" t="s">
        <v>147</v>
      </c>
      <c r="D164" s="74" t="s">
        <v>45</v>
      </c>
      <c r="E164" s="45">
        <f>2.297+4.663</f>
        <v>6.9600000000000009</v>
      </c>
      <c r="F164" s="48">
        <v>7100</v>
      </c>
      <c r="G164" s="48">
        <v>5500</v>
      </c>
      <c r="H164" s="48">
        <f t="shared" si="4"/>
        <v>49416.000000000007</v>
      </c>
      <c r="I164" s="39"/>
    </row>
    <row r="165" spans="1:9" ht="33.75" outlineLevel="2">
      <c r="A165" s="74"/>
      <c r="B165" s="75" t="s">
        <v>148</v>
      </c>
      <c r="C165" s="75" t="s">
        <v>149</v>
      </c>
      <c r="D165" s="74" t="s">
        <v>31</v>
      </c>
      <c r="E165" s="74">
        <f>135.98-5.84-11.53+3.54+37.75+56.57</f>
        <v>216.46999999999997</v>
      </c>
      <c r="F165" s="48">
        <v>295</v>
      </c>
      <c r="G165" s="48">
        <v>205</v>
      </c>
      <c r="H165" s="48">
        <f t="shared" si="4"/>
        <v>63858.649999999994</v>
      </c>
      <c r="I165" s="39"/>
    </row>
    <row r="166" spans="1:9" ht="33.75" outlineLevel="2">
      <c r="A166" s="74"/>
      <c r="B166" s="75" t="s">
        <v>150</v>
      </c>
      <c r="C166" s="75" t="s">
        <v>151</v>
      </c>
      <c r="D166" s="74" t="s">
        <v>31</v>
      </c>
      <c r="E166" s="47">
        <f>216.47+(76-9.3-13.6)*0.35+21.07*(0.56+0.4)+10.2*0.75+0.45*(7.645+5.632+7.176+3.396+9.169)+21.7*(0.311+0.4)+(1.65+9.2)*0.45+0.71*0.71+0.9*1.22+0.5*(1.16+6.2+6.8+0.534)+0.35*(10.2+1.1)+(22.25+26*0.75)</f>
        <v>352.75559999999996</v>
      </c>
      <c r="F166" s="48">
        <v>35</v>
      </c>
      <c r="G166" s="48">
        <v>18</v>
      </c>
      <c r="H166" s="48">
        <f t="shared" si="4"/>
        <v>12346.445999999998</v>
      </c>
      <c r="I166" s="39"/>
    </row>
    <row r="167" spans="1:9" ht="33.75" outlineLevel="2">
      <c r="A167" s="74"/>
      <c r="B167" s="75" t="s">
        <v>152</v>
      </c>
      <c r="C167" s="75" t="s">
        <v>153</v>
      </c>
      <c r="D167" s="74" t="s">
        <v>31</v>
      </c>
      <c r="E167" s="74">
        <v>353</v>
      </c>
      <c r="F167" s="48">
        <v>55</v>
      </c>
      <c r="G167" s="48">
        <v>25</v>
      </c>
      <c r="H167" s="48">
        <f t="shared" si="4"/>
        <v>19415</v>
      </c>
      <c r="I167" s="39"/>
    </row>
    <row r="168" spans="1:9" ht="33.75" outlineLevel="2">
      <c r="A168" s="74"/>
      <c r="B168" s="75" t="s">
        <v>154</v>
      </c>
      <c r="C168" s="75" t="s">
        <v>155</v>
      </c>
      <c r="D168" s="74" t="s">
        <v>31</v>
      </c>
      <c r="E168" s="74">
        <v>353</v>
      </c>
      <c r="F168" s="48">
        <v>35</v>
      </c>
      <c r="G168" s="48">
        <v>18</v>
      </c>
      <c r="H168" s="48">
        <f t="shared" si="4"/>
        <v>12355</v>
      </c>
      <c r="I168" s="39"/>
    </row>
    <row r="169" spans="1:9" ht="33.75" outlineLevel="2">
      <c r="A169" s="74"/>
      <c r="B169" s="75" t="s">
        <v>156</v>
      </c>
      <c r="C169" s="75" t="s">
        <v>157</v>
      </c>
      <c r="D169" s="74" t="s">
        <v>31</v>
      </c>
      <c r="E169" s="48">
        <f>51.79*0.295</f>
        <v>15.278049999999999</v>
      </c>
      <c r="F169" s="48">
        <v>1200</v>
      </c>
      <c r="G169" s="48">
        <v>900</v>
      </c>
      <c r="H169" s="48">
        <f t="shared" si="4"/>
        <v>18333.66</v>
      </c>
      <c r="I169" s="39"/>
    </row>
    <row r="170" spans="1:9" ht="33.75" outlineLevel="2">
      <c r="A170" s="74"/>
      <c r="B170" s="75" t="s">
        <v>158</v>
      </c>
      <c r="C170" s="75" t="s">
        <v>159</v>
      </c>
      <c r="D170" s="74" t="s">
        <v>31</v>
      </c>
      <c r="E170" s="48">
        <f>26.56*0.15</f>
        <v>3.9839999999999995</v>
      </c>
      <c r="F170" s="48">
        <v>1200</v>
      </c>
      <c r="G170" s="48">
        <v>900</v>
      </c>
      <c r="H170" s="48">
        <f t="shared" si="4"/>
        <v>4780.7999999999993</v>
      </c>
      <c r="I170" s="39"/>
    </row>
    <row r="171" spans="1:9" ht="33.75" outlineLevel="2">
      <c r="A171" s="74"/>
      <c r="B171" s="75" t="s">
        <v>160</v>
      </c>
      <c r="C171" s="75" t="s">
        <v>161</v>
      </c>
      <c r="D171" s="74" t="s">
        <v>31</v>
      </c>
      <c r="E171" s="48">
        <f>25.1*0.19</f>
        <v>4.7690000000000001</v>
      </c>
      <c r="F171" s="48">
        <v>1200</v>
      </c>
      <c r="G171" s="48">
        <v>900</v>
      </c>
      <c r="H171" s="48">
        <f t="shared" si="4"/>
        <v>5722.8</v>
      </c>
      <c r="I171" s="39"/>
    </row>
    <row r="172" spans="1:9" ht="33.75" outlineLevel="2">
      <c r="A172" s="74"/>
      <c r="B172" s="75" t="s">
        <v>162</v>
      </c>
      <c r="C172" s="75" t="s">
        <v>163</v>
      </c>
      <c r="D172" s="74" t="s">
        <v>51</v>
      </c>
      <c r="E172" s="48">
        <f>7.08+5.685+7.265+1.635</f>
        <v>21.665000000000003</v>
      </c>
      <c r="F172" s="48">
        <v>720</v>
      </c>
      <c r="G172" s="48">
        <v>540</v>
      </c>
      <c r="H172" s="48">
        <f t="shared" si="4"/>
        <v>15598.800000000001</v>
      </c>
      <c r="I172" s="39"/>
    </row>
    <row r="173" spans="1:9" ht="33.75" outlineLevel="2">
      <c r="A173" s="74"/>
      <c r="B173" s="75" t="s">
        <v>164</v>
      </c>
      <c r="C173" s="75" t="s">
        <v>165</v>
      </c>
      <c r="D173" s="74" t="s">
        <v>51</v>
      </c>
      <c r="E173" s="74">
        <f>8.035+4.865+6.295+1.875</f>
        <v>21.07</v>
      </c>
      <c r="F173" s="48">
        <v>960</v>
      </c>
      <c r="G173" s="48">
        <v>860</v>
      </c>
      <c r="H173" s="48">
        <f t="shared" si="4"/>
        <v>20227.2</v>
      </c>
      <c r="I173" s="39"/>
    </row>
    <row r="174" spans="1:9" ht="33.75" outlineLevel="2">
      <c r="A174" s="74"/>
      <c r="B174" s="75" t="s">
        <v>166</v>
      </c>
      <c r="C174" s="75" t="s">
        <v>167</v>
      </c>
      <c r="D174" s="74" t="s">
        <v>51</v>
      </c>
      <c r="E174" s="74">
        <f>(8.521+4.844+6.299+3.471+8.587)+(7.645+5.632+7.176+3.396+9.169)</f>
        <v>64.740000000000009</v>
      </c>
      <c r="F174" s="48">
        <v>520</v>
      </c>
      <c r="G174" s="48">
        <v>350</v>
      </c>
      <c r="H174" s="48">
        <f t="shared" si="4"/>
        <v>33664.800000000003</v>
      </c>
      <c r="I174" s="39"/>
    </row>
    <row r="175" spans="1:9" ht="33.75" outlineLevel="2">
      <c r="A175" s="74"/>
      <c r="B175" s="75" t="s">
        <v>168</v>
      </c>
      <c r="C175" s="75" t="s">
        <v>169</v>
      </c>
      <c r="D175" s="74" t="s">
        <v>51</v>
      </c>
      <c r="E175" s="48">
        <f>9.195+1.65</f>
        <v>10.845000000000001</v>
      </c>
      <c r="F175" s="48">
        <v>540</v>
      </c>
      <c r="G175" s="48">
        <v>420</v>
      </c>
      <c r="H175" s="48">
        <f t="shared" si="4"/>
        <v>5856.3</v>
      </c>
      <c r="I175" s="39"/>
    </row>
    <row r="176" spans="1:9" ht="33.75" outlineLevel="2">
      <c r="A176" s="74"/>
      <c r="B176" s="75" t="s">
        <v>168</v>
      </c>
      <c r="C176" s="75" t="s">
        <v>170</v>
      </c>
      <c r="D176" s="74" t="s">
        <v>51</v>
      </c>
      <c r="E176" s="48">
        <f>8.64+1.725</f>
        <v>10.365</v>
      </c>
      <c r="F176" s="48">
        <v>840</v>
      </c>
      <c r="G176" s="48">
        <v>680</v>
      </c>
      <c r="H176" s="48">
        <f t="shared" si="4"/>
        <v>8706.6</v>
      </c>
      <c r="I176" s="39"/>
    </row>
    <row r="177" spans="1:9" ht="33.75" outlineLevel="2">
      <c r="A177" s="74"/>
      <c r="B177" s="75" t="s">
        <v>171</v>
      </c>
      <c r="C177" s="75" t="s">
        <v>172</v>
      </c>
      <c r="D177" s="74" t="s">
        <v>51</v>
      </c>
      <c r="E177" s="48">
        <f>(7.194+5.655+7.26+3.1+9.085)+(8.49+3.475+6.275+4.855+8.145)</f>
        <v>63.534000000000006</v>
      </c>
      <c r="F177" s="48">
        <v>315</v>
      </c>
      <c r="G177" s="48">
        <v>205</v>
      </c>
      <c r="H177" s="48">
        <f t="shared" si="4"/>
        <v>20013.210000000003</v>
      </c>
      <c r="I177" s="39"/>
    </row>
    <row r="178" spans="1:9" ht="45" outlineLevel="2">
      <c r="A178" s="74"/>
      <c r="B178" s="75" t="s">
        <v>173</v>
      </c>
      <c r="C178" s="75" t="s">
        <v>174</v>
      </c>
      <c r="D178" s="74" t="s">
        <v>28</v>
      </c>
      <c r="E178" s="74">
        <v>4.5199999999999996</v>
      </c>
      <c r="F178" s="48">
        <v>750</v>
      </c>
      <c r="G178" s="43">
        <v>512</v>
      </c>
      <c r="H178" s="48">
        <f t="shared" si="4"/>
        <v>3389.9999999999995</v>
      </c>
      <c r="I178" s="39"/>
    </row>
    <row r="179" spans="1:9" ht="33.75" outlineLevel="2">
      <c r="A179" s="74"/>
      <c r="B179" s="75" t="s">
        <v>175</v>
      </c>
      <c r="C179" s="75" t="s">
        <v>176</v>
      </c>
      <c r="D179" s="74" t="s">
        <v>31</v>
      </c>
      <c r="E179" s="48">
        <v>22</v>
      </c>
      <c r="F179" s="48">
        <v>295</v>
      </c>
      <c r="G179" s="48">
        <v>105</v>
      </c>
      <c r="H179" s="48">
        <f t="shared" si="4"/>
        <v>6490</v>
      </c>
      <c r="I179" s="39"/>
    </row>
    <row r="180" spans="1:9" ht="33.75" outlineLevel="2">
      <c r="A180" s="74"/>
      <c r="B180" s="75" t="s">
        <v>177</v>
      </c>
      <c r="C180" s="75" t="s">
        <v>178</v>
      </c>
      <c r="D180" s="74" t="s">
        <v>45</v>
      </c>
      <c r="E180" s="74">
        <v>0.26100000000000001</v>
      </c>
      <c r="F180" s="48">
        <v>8250</v>
      </c>
      <c r="G180" s="48">
        <v>5750</v>
      </c>
      <c r="H180" s="48">
        <f t="shared" si="4"/>
        <v>2153.25</v>
      </c>
      <c r="I180" s="39"/>
    </row>
    <row r="181" spans="1:9" ht="45" outlineLevel="2">
      <c r="A181" s="74"/>
      <c r="B181" s="75" t="s">
        <v>179</v>
      </c>
      <c r="C181" s="75" t="s">
        <v>180</v>
      </c>
      <c r="D181" s="74" t="s">
        <v>31</v>
      </c>
      <c r="E181" s="74">
        <v>2.56</v>
      </c>
      <c r="F181" s="48">
        <v>1200</v>
      </c>
      <c r="G181" s="48">
        <v>900</v>
      </c>
      <c r="H181" s="48">
        <f t="shared" si="4"/>
        <v>3072</v>
      </c>
      <c r="I181" s="39"/>
    </row>
    <row r="182" spans="1:9" ht="33.75" outlineLevel="2">
      <c r="A182" s="74"/>
      <c r="B182" s="75" t="s">
        <v>179</v>
      </c>
      <c r="C182" s="75" t="s">
        <v>181</v>
      </c>
      <c r="D182" s="74" t="s">
        <v>31</v>
      </c>
      <c r="E182" s="74">
        <v>1.99</v>
      </c>
      <c r="F182" s="48">
        <v>1200</v>
      </c>
      <c r="G182" s="48">
        <v>900</v>
      </c>
      <c r="H182" s="48">
        <f t="shared" si="4"/>
        <v>2388</v>
      </c>
      <c r="I182" s="39"/>
    </row>
    <row r="183" spans="1:9" ht="56.25" outlineLevel="2">
      <c r="A183" s="74"/>
      <c r="B183" s="75" t="s">
        <v>182</v>
      </c>
      <c r="C183" s="75" t="s">
        <v>183</v>
      </c>
      <c r="D183" s="74" t="s">
        <v>28</v>
      </c>
      <c r="E183" s="74">
        <f>7.71</f>
        <v>7.71</v>
      </c>
      <c r="F183" s="48">
        <v>650</v>
      </c>
      <c r="G183" s="48">
        <v>300</v>
      </c>
      <c r="H183" s="48">
        <f t="shared" si="4"/>
        <v>5011.5</v>
      </c>
      <c r="I183" s="39"/>
    </row>
    <row r="184" spans="1:9" ht="22.5" outlineLevel="2">
      <c r="A184" s="74"/>
      <c r="B184" s="75" t="s">
        <v>184</v>
      </c>
      <c r="C184" s="75" t="s">
        <v>185</v>
      </c>
      <c r="D184" s="74" t="s">
        <v>98</v>
      </c>
      <c r="E184" s="48">
        <v>130</v>
      </c>
      <c r="F184" s="48">
        <v>75</v>
      </c>
      <c r="G184" s="48">
        <v>40</v>
      </c>
      <c r="H184" s="48">
        <f t="shared" si="4"/>
        <v>9750</v>
      </c>
      <c r="I184" s="39"/>
    </row>
    <row r="185" spans="1:9" outlineLevel="1">
      <c r="A185" s="74">
        <v>2</v>
      </c>
      <c r="B185" s="89" t="s">
        <v>186</v>
      </c>
      <c r="C185" s="89"/>
      <c r="D185" s="74"/>
      <c r="E185" s="74"/>
      <c r="F185" s="48"/>
      <c r="G185" s="48"/>
      <c r="H185" s="48"/>
      <c r="I185" s="39"/>
    </row>
    <row r="186" spans="1:9" ht="56.25" outlineLevel="2">
      <c r="A186" s="74"/>
      <c r="B186" s="75" t="s">
        <v>117</v>
      </c>
      <c r="C186" s="75" t="s">
        <v>140</v>
      </c>
      <c r="D186" s="74" t="s">
        <v>28</v>
      </c>
      <c r="E186" s="48">
        <v>4.8</v>
      </c>
      <c r="F186" s="48">
        <f>$F$7</f>
        <v>12</v>
      </c>
      <c r="G186" s="48"/>
      <c r="H186" s="48">
        <f t="shared" si="4"/>
        <v>57.599999999999994</v>
      </c>
      <c r="I186" s="39"/>
    </row>
    <row r="187" spans="1:9" ht="56.25" outlineLevel="2">
      <c r="A187" s="74"/>
      <c r="B187" s="75" t="s">
        <v>119</v>
      </c>
      <c r="C187" s="75" t="s">
        <v>120</v>
      </c>
      <c r="D187" s="74" t="s">
        <v>28</v>
      </c>
      <c r="E187" s="48">
        <v>2.54</v>
      </c>
      <c r="F187" s="48">
        <f>$F$143</f>
        <v>20</v>
      </c>
      <c r="G187" s="48"/>
      <c r="H187" s="48">
        <f t="shared" si="4"/>
        <v>50.8</v>
      </c>
      <c r="I187" s="39"/>
    </row>
    <row r="188" spans="1:9" ht="22.5" outlineLevel="2">
      <c r="A188" s="74"/>
      <c r="B188" s="75" t="s">
        <v>29</v>
      </c>
      <c r="C188" s="75" t="s">
        <v>74</v>
      </c>
      <c r="D188" s="74" t="s">
        <v>31</v>
      </c>
      <c r="E188" s="48">
        <v>10.66</v>
      </c>
      <c r="F188" s="48">
        <v>3</v>
      </c>
      <c r="G188" s="48"/>
      <c r="H188" s="48">
        <f t="shared" si="4"/>
        <v>31.98</v>
      </c>
      <c r="I188" s="39"/>
    </row>
    <row r="189" spans="1:9" ht="22.5" outlineLevel="2">
      <c r="A189" s="74"/>
      <c r="B189" s="75" t="s">
        <v>32</v>
      </c>
      <c r="C189" s="75" t="s">
        <v>41</v>
      </c>
      <c r="D189" s="74" t="s">
        <v>28</v>
      </c>
      <c r="E189" s="48">
        <v>0.7</v>
      </c>
      <c r="F189" s="48">
        <v>230</v>
      </c>
      <c r="G189" s="43">
        <v>158</v>
      </c>
      <c r="H189" s="48">
        <f t="shared" si="4"/>
        <v>161</v>
      </c>
      <c r="I189" s="39"/>
    </row>
    <row r="190" spans="1:9" ht="45" outlineLevel="2">
      <c r="A190" s="74"/>
      <c r="B190" s="75" t="s">
        <v>34</v>
      </c>
      <c r="C190" s="75" t="s">
        <v>75</v>
      </c>
      <c r="D190" s="74" t="s">
        <v>28</v>
      </c>
      <c r="E190" s="48">
        <v>0.7</v>
      </c>
      <c r="F190" s="48">
        <v>750</v>
      </c>
      <c r="G190" s="43">
        <v>512</v>
      </c>
      <c r="H190" s="48">
        <f t="shared" si="4"/>
        <v>525</v>
      </c>
      <c r="I190" s="39"/>
    </row>
    <row r="191" spans="1:9" ht="45" outlineLevel="2">
      <c r="A191" s="74"/>
      <c r="B191" s="75" t="s">
        <v>108</v>
      </c>
      <c r="C191" s="75" t="s">
        <v>122</v>
      </c>
      <c r="D191" s="74" t="s">
        <v>28</v>
      </c>
      <c r="E191" s="48">
        <f>0.37+8.5*0.19*0.24</f>
        <v>0.75760000000000005</v>
      </c>
      <c r="F191" s="48">
        <v>630</v>
      </c>
      <c r="G191" s="43">
        <v>300</v>
      </c>
      <c r="H191" s="48">
        <f t="shared" si="4"/>
        <v>477.28800000000001</v>
      </c>
      <c r="I191" s="39"/>
    </row>
    <row r="192" spans="1:9" ht="45" outlineLevel="2">
      <c r="A192" s="74"/>
      <c r="B192" s="75" t="s">
        <v>187</v>
      </c>
      <c r="C192" s="75" t="s">
        <v>188</v>
      </c>
      <c r="D192" s="74" t="s">
        <v>28</v>
      </c>
      <c r="E192" s="48">
        <v>1.1499999999999999</v>
      </c>
      <c r="F192" s="48">
        <v>793</v>
      </c>
      <c r="G192" s="48">
        <v>523</v>
      </c>
      <c r="H192" s="48">
        <f t="shared" si="4"/>
        <v>911.94999999999993</v>
      </c>
      <c r="I192" s="39"/>
    </row>
    <row r="193" spans="1:9" ht="45" outlineLevel="2">
      <c r="A193" s="74"/>
      <c r="B193" s="75" t="s">
        <v>189</v>
      </c>
      <c r="C193" s="75" t="s">
        <v>190</v>
      </c>
      <c r="D193" s="74" t="s">
        <v>28</v>
      </c>
      <c r="E193" s="48">
        <v>1.45</v>
      </c>
      <c r="F193" s="48">
        <v>883</v>
      </c>
      <c r="G193" s="48">
        <v>523</v>
      </c>
      <c r="H193" s="48">
        <f t="shared" si="4"/>
        <v>1280.3499999999999</v>
      </c>
      <c r="I193" s="39"/>
    </row>
    <row r="194" spans="1:9" ht="45" outlineLevel="2">
      <c r="A194" s="74"/>
      <c r="B194" s="75" t="s">
        <v>125</v>
      </c>
      <c r="C194" s="75" t="s">
        <v>191</v>
      </c>
      <c r="D194" s="74" t="s">
        <v>28</v>
      </c>
      <c r="E194" s="48">
        <f>2.37-8.5*0.19*0.24</f>
        <v>1.9824000000000002</v>
      </c>
      <c r="F194" s="48">
        <v>650</v>
      </c>
      <c r="G194" s="48">
        <v>300</v>
      </c>
      <c r="H194" s="48">
        <f t="shared" si="4"/>
        <v>1288.5600000000002</v>
      </c>
      <c r="I194" s="39"/>
    </row>
    <row r="195" spans="1:9" ht="33.75" outlineLevel="2">
      <c r="A195" s="74"/>
      <c r="B195" s="75" t="s">
        <v>130</v>
      </c>
      <c r="C195" s="75" t="s">
        <v>192</v>
      </c>
      <c r="D195" s="74" t="s">
        <v>31</v>
      </c>
      <c r="E195" s="48">
        <f>25.78-0.69</f>
        <v>25.09</v>
      </c>
      <c r="F195" s="48">
        <v>365</v>
      </c>
      <c r="G195" s="48">
        <v>135</v>
      </c>
      <c r="H195" s="48">
        <f t="shared" si="4"/>
        <v>9157.85</v>
      </c>
      <c r="I195" s="39"/>
    </row>
    <row r="196" spans="1:9" ht="22.5" outlineLevel="2">
      <c r="A196" s="74"/>
      <c r="B196" s="75" t="s">
        <v>193</v>
      </c>
      <c r="C196" s="75" t="s">
        <v>194</v>
      </c>
      <c r="D196" s="74" t="s">
        <v>31</v>
      </c>
      <c r="E196" s="48">
        <v>17.920000000000002</v>
      </c>
      <c r="F196" s="48">
        <v>558</v>
      </c>
      <c r="G196" s="48">
        <v>355</v>
      </c>
      <c r="H196" s="48">
        <f t="shared" si="4"/>
        <v>9999.36</v>
      </c>
      <c r="I196" s="39"/>
    </row>
    <row r="197" spans="1:9" ht="33.75" outlineLevel="2">
      <c r="A197" s="74"/>
      <c r="B197" s="75" t="s">
        <v>43</v>
      </c>
      <c r="C197" s="75" t="s">
        <v>195</v>
      </c>
      <c r="D197" s="74" t="s">
        <v>45</v>
      </c>
      <c r="E197" s="45">
        <f>(35.5+104.2)/1000</f>
        <v>0.13969999999999999</v>
      </c>
      <c r="F197" s="48">
        <v>7100</v>
      </c>
      <c r="G197" s="48">
        <v>5340</v>
      </c>
      <c r="H197" s="48">
        <f t="shared" si="4"/>
        <v>991.86999999999989</v>
      </c>
      <c r="I197" s="39"/>
    </row>
    <row r="198" spans="1:9" ht="45" outlineLevel="2">
      <c r="A198" s="74"/>
      <c r="B198" s="75" t="s">
        <v>196</v>
      </c>
      <c r="C198" s="75" t="s">
        <v>197</v>
      </c>
      <c r="D198" s="74" t="s">
        <v>198</v>
      </c>
      <c r="E198" s="48">
        <v>1</v>
      </c>
      <c r="F198" s="48">
        <v>5800</v>
      </c>
      <c r="G198" s="48">
        <v>4500</v>
      </c>
      <c r="H198" s="48">
        <f t="shared" si="4"/>
        <v>5800</v>
      </c>
      <c r="I198" s="39"/>
    </row>
    <row r="199" spans="1:9" outlineLevel="1">
      <c r="A199" s="74">
        <v>3</v>
      </c>
      <c r="B199" s="89" t="s">
        <v>199</v>
      </c>
      <c r="C199" s="89"/>
      <c r="D199" s="74"/>
      <c r="E199" s="74"/>
      <c r="F199" s="48"/>
      <c r="G199" s="48"/>
      <c r="H199" s="48"/>
      <c r="I199" s="39"/>
    </row>
    <row r="200" spans="1:9" ht="56.25" outlineLevel="2">
      <c r="A200" s="74"/>
      <c r="B200" s="75" t="s">
        <v>26</v>
      </c>
      <c r="C200" s="75" t="s">
        <v>140</v>
      </c>
      <c r="D200" s="74" t="s">
        <v>28</v>
      </c>
      <c r="E200" s="74">
        <f>23.9+33.19</f>
        <v>57.089999999999996</v>
      </c>
      <c r="F200" s="48">
        <f>$F$7</f>
        <v>12</v>
      </c>
      <c r="G200" s="48"/>
      <c r="H200" s="48">
        <f t="shared" si="4"/>
        <v>685.07999999999993</v>
      </c>
      <c r="I200" s="39"/>
    </row>
    <row r="201" spans="1:9" ht="56.25" outlineLevel="2">
      <c r="A201" s="74"/>
      <c r="B201" s="75" t="s">
        <v>119</v>
      </c>
      <c r="C201" s="75" t="s">
        <v>120</v>
      </c>
      <c r="D201" s="74" t="s">
        <v>28</v>
      </c>
      <c r="E201" s="74">
        <f>18.17+26.2</f>
        <v>44.370000000000005</v>
      </c>
      <c r="F201" s="48">
        <f>$F$143</f>
        <v>20</v>
      </c>
      <c r="G201" s="48"/>
      <c r="H201" s="48">
        <f t="shared" si="4"/>
        <v>887.40000000000009</v>
      </c>
      <c r="I201" s="39"/>
    </row>
    <row r="202" spans="1:9" ht="22.5" outlineLevel="2">
      <c r="A202" s="74"/>
      <c r="B202" s="75" t="s">
        <v>29</v>
      </c>
      <c r="C202" s="75" t="s">
        <v>74</v>
      </c>
      <c r="D202" s="74" t="s">
        <v>31</v>
      </c>
      <c r="E202" s="74">
        <f>11.03+17.87</f>
        <v>28.9</v>
      </c>
      <c r="F202" s="48">
        <v>3</v>
      </c>
      <c r="G202" s="48"/>
      <c r="H202" s="48">
        <f t="shared" si="4"/>
        <v>86.699999999999989</v>
      </c>
      <c r="I202" s="39"/>
    </row>
    <row r="203" spans="1:9" ht="56.25" outlineLevel="2">
      <c r="A203" s="74"/>
      <c r="B203" s="75" t="s">
        <v>34</v>
      </c>
      <c r="C203" s="75" t="s">
        <v>200</v>
      </c>
      <c r="D203" s="74" t="s">
        <v>28</v>
      </c>
      <c r="E203" s="74">
        <v>1.67</v>
      </c>
      <c r="F203" s="48">
        <v>736</v>
      </c>
      <c r="G203" s="43">
        <v>502</v>
      </c>
      <c r="H203" s="48">
        <f t="shared" si="4"/>
        <v>1229.1199999999999</v>
      </c>
      <c r="I203" s="39"/>
    </row>
    <row r="204" spans="1:9" ht="45" outlineLevel="2">
      <c r="A204" s="74"/>
      <c r="B204" s="75" t="s">
        <v>108</v>
      </c>
      <c r="C204" s="75" t="s">
        <v>122</v>
      </c>
      <c r="D204" s="74" t="s">
        <v>28</v>
      </c>
      <c r="E204" s="74">
        <v>5.41</v>
      </c>
      <c r="F204" s="48">
        <v>630</v>
      </c>
      <c r="G204" s="43">
        <v>300</v>
      </c>
      <c r="H204" s="48">
        <f t="shared" si="4"/>
        <v>3408.3</v>
      </c>
      <c r="I204" s="39"/>
    </row>
    <row r="205" spans="1:9" ht="56.25" outlineLevel="2">
      <c r="A205" s="74"/>
      <c r="B205" s="75" t="s">
        <v>201</v>
      </c>
      <c r="C205" s="75" t="s">
        <v>202</v>
      </c>
      <c r="D205" s="74" t="s">
        <v>28</v>
      </c>
      <c r="E205" s="74">
        <v>1.2</v>
      </c>
      <c r="F205" s="48">
        <v>762</v>
      </c>
      <c r="G205" s="48">
        <v>532</v>
      </c>
      <c r="H205" s="48">
        <f t="shared" si="4"/>
        <v>914.4</v>
      </c>
      <c r="I205" s="39"/>
    </row>
    <row r="206" spans="1:9" ht="56.25" outlineLevel="2">
      <c r="A206" s="74"/>
      <c r="B206" s="75" t="s">
        <v>203</v>
      </c>
      <c r="C206" s="75" t="s">
        <v>204</v>
      </c>
      <c r="D206" s="74" t="s">
        <v>28</v>
      </c>
      <c r="E206" s="74">
        <v>1.38</v>
      </c>
      <c r="F206" s="48">
        <v>855</v>
      </c>
      <c r="G206" s="48">
        <v>532</v>
      </c>
      <c r="H206" s="48">
        <f t="shared" si="4"/>
        <v>1179.8999999999999</v>
      </c>
      <c r="I206" s="39"/>
    </row>
    <row r="207" spans="1:9" ht="56.25" outlineLevel="2">
      <c r="A207" s="74"/>
      <c r="B207" s="75" t="s">
        <v>205</v>
      </c>
      <c r="C207" s="75" t="s">
        <v>206</v>
      </c>
      <c r="D207" s="74" t="s">
        <v>28</v>
      </c>
      <c r="E207" s="74">
        <f>0.3*0.4*7</f>
        <v>0.84</v>
      </c>
      <c r="F207" s="48">
        <v>963</v>
      </c>
      <c r="G207" s="48">
        <v>543</v>
      </c>
      <c r="H207" s="48">
        <f t="shared" si="4"/>
        <v>808.92</v>
      </c>
      <c r="I207" s="39"/>
    </row>
    <row r="208" spans="1:9" ht="56.25" outlineLevel="2">
      <c r="A208" s="74"/>
      <c r="B208" s="75" t="s">
        <v>207</v>
      </c>
      <c r="C208" s="75" t="s">
        <v>208</v>
      </c>
      <c r="D208" s="74" t="s">
        <v>28</v>
      </c>
      <c r="E208" s="48">
        <f>1.33-0.3*0.2*7</f>
        <v>0.91000000000000014</v>
      </c>
      <c r="F208" s="48">
        <v>852</v>
      </c>
      <c r="G208" s="48">
        <v>532</v>
      </c>
      <c r="H208" s="48">
        <f t="shared" si="4"/>
        <v>775.32000000000016</v>
      </c>
      <c r="I208" s="39"/>
    </row>
    <row r="209" spans="1:9" ht="33.75" outlineLevel="2">
      <c r="A209" s="74"/>
      <c r="B209" s="75" t="s">
        <v>43</v>
      </c>
      <c r="C209" s="75" t="s">
        <v>195</v>
      </c>
      <c r="D209" s="74" t="s">
        <v>45</v>
      </c>
      <c r="E209" s="74">
        <f>0.076+0.042+0.037</f>
        <v>0.155</v>
      </c>
      <c r="F209" s="48">
        <v>7100</v>
      </c>
      <c r="G209" s="48">
        <f>G197</f>
        <v>5340</v>
      </c>
      <c r="H209" s="48">
        <f t="shared" si="4"/>
        <v>1100.5</v>
      </c>
      <c r="I209" s="39"/>
    </row>
    <row r="210" spans="1:9" ht="33.75" outlineLevel="2">
      <c r="A210" s="74"/>
      <c r="B210" s="75" t="s">
        <v>43</v>
      </c>
      <c r="C210" s="75" t="s">
        <v>209</v>
      </c>
      <c r="D210" s="74" t="s">
        <v>45</v>
      </c>
      <c r="E210" s="74">
        <f>0.294+0.124</f>
        <v>0.41799999999999998</v>
      </c>
      <c r="F210" s="48">
        <v>7100</v>
      </c>
      <c r="G210" s="48">
        <v>5250</v>
      </c>
      <c r="H210" s="48">
        <f t="shared" si="4"/>
        <v>2967.7999999999997</v>
      </c>
      <c r="I210" s="39"/>
    </row>
    <row r="211" spans="1:9" ht="33.75" outlineLevel="2">
      <c r="A211" s="74"/>
      <c r="B211" s="75" t="s">
        <v>210</v>
      </c>
      <c r="C211" s="75" t="s">
        <v>211</v>
      </c>
      <c r="D211" s="74" t="s">
        <v>45</v>
      </c>
      <c r="E211" s="45">
        <v>0.77900000000000003</v>
      </c>
      <c r="F211" s="48">
        <v>8709</v>
      </c>
      <c r="G211" s="48">
        <v>6500</v>
      </c>
      <c r="H211" s="48">
        <f t="shared" si="4"/>
        <v>6784.3110000000006</v>
      </c>
      <c r="I211" s="39"/>
    </row>
    <row r="212" spans="1:9" ht="33.75" outlineLevel="2">
      <c r="A212" s="74"/>
      <c r="B212" s="75" t="s">
        <v>212</v>
      </c>
      <c r="C212" s="75" t="s">
        <v>213</v>
      </c>
      <c r="D212" s="74" t="s">
        <v>45</v>
      </c>
      <c r="E212" s="74">
        <v>1.974</v>
      </c>
      <c r="F212" s="48">
        <v>8709</v>
      </c>
      <c r="G212" s="48">
        <v>6500</v>
      </c>
      <c r="H212" s="48">
        <f t="shared" si="4"/>
        <v>17191.565999999999</v>
      </c>
      <c r="I212" s="39"/>
    </row>
    <row r="213" spans="1:9" ht="22.5" outlineLevel="2">
      <c r="A213" s="74"/>
      <c r="B213" s="39" t="s">
        <v>214</v>
      </c>
      <c r="C213" s="39" t="s">
        <v>215</v>
      </c>
      <c r="D213" s="74" t="s">
        <v>45</v>
      </c>
      <c r="E213" s="74">
        <v>0.34599999999999997</v>
      </c>
      <c r="F213" s="48">
        <v>8709</v>
      </c>
      <c r="G213" s="48">
        <v>6500</v>
      </c>
      <c r="H213" s="48">
        <f t="shared" si="4"/>
        <v>3013.3139999999999</v>
      </c>
      <c r="I213" s="39"/>
    </row>
    <row r="214" spans="1:9" ht="33.75" outlineLevel="2">
      <c r="A214" s="74"/>
      <c r="B214" s="75" t="s">
        <v>216</v>
      </c>
      <c r="C214" s="39" t="s">
        <v>217</v>
      </c>
      <c r="D214" s="74" t="s">
        <v>45</v>
      </c>
      <c r="E214" s="74">
        <v>0.85199999999999998</v>
      </c>
      <c r="F214" s="48">
        <v>8709</v>
      </c>
      <c r="G214" s="48">
        <v>6500</v>
      </c>
      <c r="H214" s="48">
        <f t="shared" si="4"/>
        <v>7420.0680000000002</v>
      </c>
      <c r="I214" s="39"/>
    </row>
    <row r="215" spans="1:9" ht="33.75" outlineLevel="2">
      <c r="A215" s="74"/>
      <c r="B215" s="75" t="s">
        <v>218</v>
      </c>
      <c r="C215" s="39" t="s">
        <v>219</v>
      </c>
      <c r="D215" s="74" t="s">
        <v>45</v>
      </c>
      <c r="E215" s="74">
        <v>0.35799999999999998</v>
      </c>
      <c r="F215" s="48">
        <v>8709</v>
      </c>
      <c r="G215" s="48">
        <v>6500</v>
      </c>
      <c r="H215" s="48">
        <f t="shared" si="4"/>
        <v>3117.8219999999997</v>
      </c>
      <c r="I215" s="39"/>
    </row>
    <row r="216" spans="1:9" ht="33.75" outlineLevel="2">
      <c r="A216" s="74"/>
      <c r="B216" s="75" t="s">
        <v>220</v>
      </c>
      <c r="C216" s="75" t="s">
        <v>221</v>
      </c>
      <c r="D216" s="74" t="s">
        <v>45</v>
      </c>
      <c r="E216" s="74">
        <v>4.5999999999999999E-2</v>
      </c>
      <c r="F216" s="48">
        <v>8709</v>
      </c>
      <c r="G216" s="48">
        <v>6500</v>
      </c>
      <c r="H216" s="48">
        <f t="shared" si="4"/>
        <v>400.61399999999998</v>
      </c>
      <c r="I216" s="39"/>
    </row>
    <row r="217" spans="1:9" ht="33.75" outlineLevel="2">
      <c r="A217" s="74"/>
      <c r="B217" s="75" t="s">
        <v>222</v>
      </c>
      <c r="C217" s="75" t="s">
        <v>223</v>
      </c>
      <c r="D217" s="74" t="s">
        <v>45</v>
      </c>
      <c r="E217" s="74">
        <v>0.42599999999999999</v>
      </c>
      <c r="F217" s="48">
        <v>8709</v>
      </c>
      <c r="G217" s="48">
        <v>6500</v>
      </c>
      <c r="H217" s="48">
        <f t="shared" si="4"/>
        <v>3710.0340000000001</v>
      </c>
      <c r="I217" s="39"/>
    </row>
    <row r="218" spans="1:9" ht="33.75" outlineLevel="2">
      <c r="A218" s="74"/>
      <c r="B218" s="75" t="s">
        <v>224</v>
      </c>
      <c r="C218" s="75" t="s">
        <v>225</v>
      </c>
      <c r="D218" s="74" t="s">
        <v>31</v>
      </c>
      <c r="E218" s="74">
        <v>48.23</v>
      </c>
      <c r="F218" s="48">
        <v>450</v>
      </c>
      <c r="G218" s="48">
        <v>280</v>
      </c>
      <c r="H218" s="48">
        <f t="shared" si="4"/>
        <v>21703.5</v>
      </c>
      <c r="I218" s="39"/>
    </row>
    <row r="219" spans="1:9" ht="33.75" outlineLevel="2">
      <c r="A219" s="74"/>
      <c r="B219" s="75" t="s">
        <v>226</v>
      </c>
      <c r="C219" s="75" t="s">
        <v>227</v>
      </c>
      <c r="D219" s="74" t="s">
        <v>31</v>
      </c>
      <c r="E219" s="74">
        <v>9.16</v>
      </c>
      <c r="F219" s="48">
        <v>335</v>
      </c>
      <c r="G219" s="48">
        <v>210</v>
      </c>
      <c r="H219" s="48">
        <f t="shared" ref="H219:H282" si="5">E219*F219</f>
        <v>3068.6</v>
      </c>
      <c r="I219" s="39"/>
    </row>
    <row r="220" spans="1:9" ht="33.75" outlineLevel="2">
      <c r="A220" s="74"/>
      <c r="B220" s="75" t="s">
        <v>228</v>
      </c>
      <c r="C220" s="75" t="s">
        <v>229</v>
      </c>
      <c r="D220" s="74" t="s">
        <v>31</v>
      </c>
      <c r="E220" s="74">
        <v>0.99</v>
      </c>
      <c r="F220" s="48">
        <v>235</v>
      </c>
      <c r="G220" s="48">
        <v>155</v>
      </c>
      <c r="H220" s="48">
        <f t="shared" si="5"/>
        <v>232.65</v>
      </c>
      <c r="I220" s="39"/>
    </row>
    <row r="221" spans="1:9" ht="33.75" outlineLevel="2">
      <c r="A221" s="74"/>
      <c r="B221" s="75" t="s">
        <v>36</v>
      </c>
      <c r="C221" s="75" t="s">
        <v>230</v>
      </c>
      <c r="D221" s="74" t="s">
        <v>31</v>
      </c>
      <c r="E221" s="74">
        <v>21.08</v>
      </c>
      <c r="F221" s="48">
        <v>177</v>
      </c>
      <c r="G221" s="48">
        <v>90</v>
      </c>
      <c r="H221" s="48">
        <f t="shared" si="5"/>
        <v>3731.16</v>
      </c>
      <c r="I221" s="39"/>
    </row>
    <row r="222" spans="1:9" ht="33.75" outlineLevel="2">
      <c r="A222" s="74"/>
      <c r="B222" s="75" t="s">
        <v>36</v>
      </c>
      <c r="C222" s="75" t="s">
        <v>231</v>
      </c>
      <c r="D222" s="74" t="s">
        <v>31</v>
      </c>
      <c r="E222" s="48">
        <v>3.79</v>
      </c>
      <c r="F222" s="48">
        <v>177</v>
      </c>
      <c r="G222" s="48">
        <v>90</v>
      </c>
      <c r="H222" s="48">
        <f t="shared" si="5"/>
        <v>670.83</v>
      </c>
      <c r="I222" s="39"/>
    </row>
    <row r="223" spans="1:9" ht="22.5" outlineLevel="2">
      <c r="A223" s="74"/>
      <c r="B223" s="75" t="s">
        <v>29</v>
      </c>
      <c r="C223" s="75" t="s">
        <v>232</v>
      </c>
      <c r="D223" s="74" t="s">
        <v>31</v>
      </c>
      <c r="E223" s="74">
        <v>24.87</v>
      </c>
      <c r="F223" s="48">
        <v>3</v>
      </c>
      <c r="G223" s="48"/>
      <c r="H223" s="48">
        <f t="shared" si="5"/>
        <v>74.61</v>
      </c>
      <c r="I223" s="39"/>
    </row>
    <row r="224" spans="1:9" ht="56.25" outlineLevel="2">
      <c r="A224" s="74"/>
      <c r="B224" s="75" t="s">
        <v>34</v>
      </c>
      <c r="C224" s="75" t="s">
        <v>233</v>
      </c>
      <c r="D224" s="74" t="s">
        <v>28</v>
      </c>
      <c r="E224" s="74">
        <v>2.4870000000000001</v>
      </c>
      <c r="F224" s="48">
        <v>750</v>
      </c>
      <c r="G224" s="43">
        <v>512</v>
      </c>
      <c r="H224" s="48">
        <f t="shared" si="5"/>
        <v>1865.25</v>
      </c>
      <c r="I224" s="39"/>
    </row>
    <row r="225" spans="1:9" ht="33.75" outlineLevel="2">
      <c r="A225" s="74"/>
      <c r="B225" s="75" t="s">
        <v>32</v>
      </c>
      <c r="C225" s="75" t="s">
        <v>234</v>
      </c>
      <c r="D225" s="74" t="s">
        <v>28</v>
      </c>
      <c r="E225" s="45">
        <v>2.4870000000000001</v>
      </c>
      <c r="F225" s="48">
        <v>230</v>
      </c>
      <c r="G225" s="43">
        <v>158</v>
      </c>
      <c r="H225" s="48">
        <f t="shared" si="5"/>
        <v>572.01</v>
      </c>
      <c r="I225" s="39"/>
    </row>
    <row r="226" spans="1:9">
      <c r="A226" s="74" t="s">
        <v>235</v>
      </c>
      <c r="B226" s="75" t="s">
        <v>236</v>
      </c>
      <c r="C226" s="75"/>
      <c r="D226" s="74"/>
      <c r="E226" s="74"/>
      <c r="F226" s="48"/>
      <c r="G226" s="48"/>
      <c r="H226" s="48"/>
      <c r="I226" s="39"/>
    </row>
    <row r="227" spans="1:9" outlineLevel="1">
      <c r="A227" s="74">
        <v>1</v>
      </c>
      <c r="B227" s="75" t="s">
        <v>36</v>
      </c>
      <c r="C227" s="75"/>
      <c r="D227" s="74"/>
      <c r="E227" s="48"/>
      <c r="F227" s="48"/>
      <c r="G227" s="48"/>
      <c r="H227" s="48"/>
      <c r="I227" s="39"/>
    </row>
    <row r="228" spans="1:9" ht="22.5" outlineLevel="2">
      <c r="A228" s="74"/>
      <c r="B228" s="75" t="s">
        <v>29</v>
      </c>
      <c r="C228" s="75" t="s">
        <v>74</v>
      </c>
      <c r="D228" s="74" t="s">
        <v>31</v>
      </c>
      <c r="E228" s="48">
        <f>E231</f>
        <v>433.57999999999993</v>
      </c>
      <c r="F228" s="48">
        <v>3</v>
      </c>
      <c r="G228" s="48"/>
      <c r="H228" s="48">
        <f t="shared" si="5"/>
        <v>1300.7399999999998</v>
      </c>
      <c r="I228" s="39"/>
    </row>
    <row r="229" spans="1:9" ht="22.5" outlineLevel="2">
      <c r="A229" s="74"/>
      <c r="B229" s="75" t="s">
        <v>32</v>
      </c>
      <c r="C229" s="75" t="s">
        <v>41</v>
      </c>
      <c r="D229" s="74" t="s">
        <v>28</v>
      </c>
      <c r="E229" s="48">
        <f>E231*0.1</f>
        <v>43.357999999999997</v>
      </c>
      <c r="F229" s="48">
        <v>230</v>
      </c>
      <c r="G229" s="43">
        <v>158</v>
      </c>
      <c r="H229" s="48">
        <f t="shared" si="5"/>
        <v>9972.34</v>
      </c>
      <c r="I229" s="39"/>
    </row>
    <row r="230" spans="1:9" ht="45" outlineLevel="2">
      <c r="A230" s="74"/>
      <c r="B230" s="75" t="s">
        <v>34</v>
      </c>
      <c r="C230" s="75" t="s">
        <v>75</v>
      </c>
      <c r="D230" s="74" t="s">
        <v>28</v>
      </c>
      <c r="E230" s="48">
        <f>E231*0.1</f>
        <v>43.357999999999997</v>
      </c>
      <c r="F230" s="48">
        <v>750</v>
      </c>
      <c r="G230" s="43">
        <v>512</v>
      </c>
      <c r="H230" s="48">
        <f t="shared" si="5"/>
        <v>32518.499999999996</v>
      </c>
      <c r="I230" s="39"/>
    </row>
    <row r="231" spans="1:9" ht="22.5" outlineLevel="2">
      <c r="A231" s="74"/>
      <c r="B231" s="75" t="s">
        <v>237</v>
      </c>
      <c r="C231" s="75" t="s">
        <v>238</v>
      </c>
      <c r="D231" s="74" t="s">
        <v>31</v>
      </c>
      <c r="E231" s="48">
        <f>423.44+17.82+3.84-4.66-3.8-3.06</f>
        <v>433.57999999999993</v>
      </c>
      <c r="F231" s="48">
        <v>260</v>
      </c>
      <c r="G231" s="48">
        <v>180</v>
      </c>
      <c r="H231" s="48">
        <f t="shared" si="5"/>
        <v>112730.79999999999</v>
      </c>
      <c r="I231" s="39"/>
    </row>
    <row r="232" spans="1:9" ht="22.5" outlineLevel="2">
      <c r="A232" s="74"/>
      <c r="B232" s="75" t="s">
        <v>29</v>
      </c>
      <c r="C232" s="75" t="s">
        <v>74</v>
      </c>
      <c r="D232" s="74" t="s">
        <v>31</v>
      </c>
      <c r="E232" s="48">
        <v>9.0299999999999994</v>
      </c>
      <c r="F232" s="48">
        <v>3</v>
      </c>
      <c r="G232" s="48"/>
      <c r="H232" s="48">
        <f t="shared" si="5"/>
        <v>27.089999999999996</v>
      </c>
      <c r="I232" s="39"/>
    </row>
    <row r="233" spans="1:9" ht="22.5" outlineLevel="2">
      <c r="A233" s="74"/>
      <c r="B233" s="75" t="s">
        <v>32</v>
      </c>
      <c r="C233" s="75" t="s">
        <v>41</v>
      </c>
      <c r="D233" s="74" t="s">
        <v>28</v>
      </c>
      <c r="E233" s="48">
        <f>9.03*0.1</f>
        <v>0.90300000000000002</v>
      </c>
      <c r="F233" s="48">
        <v>230</v>
      </c>
      <c r="G233" s="43">
        <v>158</v>
      </c>
      <c r="H233" s="48">
        <f t="shared" si="5"/>
        <v>207.69</v>
      </c>
      <c r="I233" s="39"/>
    </row>
    <row r="234" spans="1:9" ht="45" outlineLevel="2">
      <c r="A234" s="74"/>
      <c r="B234" s="75" t="s">
        <v>34</v>
      </c>
      <c r="C234" s="75" t="s">
        <v>75</v>
      </c>
      <c r="D234" s="74" t="s">
        <v>28</v>
      </c>
      <c r="E234" s="48">
        <f>9.03*0.1</f>
        <v>0.90300000000000002</v>
      </c>
      <c r="F234" s="48">
        <v>750</v>
      </c>
      <c r="G234" s="43">
        <v>512</v>
      </c>
      <c r="H234" s="48">
        <f t="shared" si="5"/>
        <v>677.25</v>
      </c>
      <c r="I234" s="39"/>
    </row>
    <row r="235" spans="1:9" ht="33.75" outlineLevel="2">
      <c r="A235" s="74"/>
      <c r="B235" s="75" t="s">
        <v>76</v>
      </c>
      <c r="C235" s="75" t="s">
        <v>77</v>
      </c>
      <c r="D235" s="74" t="s">
        <v>31</v>
      </c>
      <c r="E235" s="48">
        <v>9.0299999999999994</v>
      </c>
      <c r="F235" s="48">
        <v>167</v>
      </c>
      <c r="G235" s="48">
        <v>90</v>
      </c>
      <c r="H235" s="48">
        <f t="shared" si="5"/>
        <v>1508.01</v>
      </c>
      <c r="I235" s="39"/>
    </row>
    <row r="236" spans="1:9" outlineLevel="1">
      <c r="A236" s="74">
        <v>2</v>
      </c>
      <c r="B236" s="75" t="s">
        <v>239</v>
      </c>
      <c r="C236" s="75"/>
      <c r="D236" s="74"/>
      <c r="E236" s="48"/>
      <c r="F236" s="48"/>
      <c r="G236" s="48"/>
      <c r="H236" s="48"/>
      <c r="I236" s="39"/>
    </row>
    <row r="237" spans="1:9" ht="22.5" outlineLevel="2">
      <c r="A237" s="74"/>
      <c r="B237" s="75" t="s">
        <v>29</v>
      </c>
      <c r="C237" s="75" t="s">
        <v>74</v>
      </c>
      <c r="D237" s="74" t="s">
        <v>31</v>
      </c>
      <c r="E237" s="48">
        <f>0.68*19.76</f>
        <v>13.436800000000002</v>
      </c>
      <c r="F237" s="48">
        <v>3</v>
      </c>
      <c r="G237" s="48"/>
      <c r="H237" s="48">
        <f t="shared" si="5"/>
        <v>40.310400000000001</v>
      </c>
      <c r="I237" s="39"/>
    </row>
    <row r="238" spans="1:9" ht="22.5" outlineLevel="2">
      <c r="A238" s="74"/>
      <c r="B238" s="75" t="s">
        <v>32</v>
      </c>
      <c r="C238" s="75" t="s">
        <v>41</v>
      </c>
      <c r="D238" s="74" t="s">
        <v>28</v>
      </c>
      <c r="E238" s="48">
        <f>19.76*0.1*0.68</f>
        <v>1.3436800000000002</v>
      </c>
      <c r="F238" s="48">
        <v>230</v>
      </c>
      <c r="G238" s="43">
        <v>158</v>
      </c>
      <c r="H238" s="48">
        <f t="shared" si="5"/>
        <v>309.04640000000006</v>
      </c>
      <c r="I238" s="39"/>
    </row>
    <row r="239" spans="1:9" ht="45" outlineLevel="2">
      <c r="A239" s="74"/>
      <c r="B239" s="75" t="s">
        <v>34</v>
      </c>
      <c r="C239" s="75" t="s">
        <v>75</v>
      </c>
      <c r="D239" s="74" t="s">
        <v>28</v>
      </c>
      <c r="E239" s="48">
        <f>E238</f>
        <v>1.3436800000000002</v>
      </c>
      <c r="F239" s="48">
        <v>750</v>
      </c>
      <c r="G239" s="43">
        <v>512</v>
      </c>
      <c r="H239" s="48">
        <f t="shared" si="5"/>
        <v>1007.7600000000001</v>
      </c>
      <c r="I239" s="39"/>
    </row>
    <row r="240" spans="1:9" ht="45" outlineLevel="2">
      <c r="A240" s="74"/>
      <c r="B240" s="75" t="s">
        <v>108</v>
      </c>
      <c r="C240" s="75" t="s">
        <v>122</v>
      </c>
      <c r="D240" s="74" t="s">
        <v>28</v>
      </c>
      <c r="E240" s="48">
        <f>0.89*0.24*19.76+19.76*0.12*0.36+19.76*0.12*0.48-(0.89*0.24*6.2+6.2*0.12*0.36+6.2*0.12*0.48)/2</f>
        <v>5.2379039999999994</v>
      </c>
      <c r="F240" s="48">
        <v>630</v>
      </c>
      <c r="G240" s="43">
        <v>300</v>
      </c>
      <c r="H240" s="48">
        <f t="shared" si="5"/>
        <v>3299.8795199999995</v>
      </c>
      <c r="I240" s="39"/>
    </row>
    <row r="241" spans="1:9" ht="56.25" outlineLevel="2">
      <c r="A241" s="74"/>
      <c r="B241" s="75" t="s">
        <v>117</v>
      </c>
      <c r="C241" s="75" t="s">
        <v>118</v>
      </c>
      <c r="D241" s="74" t="s">
        <v>28</v>
      </c>
      <c r="E241" s="48">
        <f>E240+E239+E238</f>
        <v>7.9252639999999994</v>
      </c>
      <c r="F241" s="48">
        <f>$F$7</f>
        <v>12</v>
      </c>
      <c r="G241" s="48"/>
      <c r="H241" s="48">
        <f t="shared" si="5"/>
        <v>95.103167999999997</v>
      </c>
      <c r="I241" s="39"/>
    </row>
    <row r="242" spans="1:9" ht="45" outlineLevel="2">
      <c r="A242" s="74"/>
      <c r="B242" s="75" t="s">
        <v>240</v>
      </c>
      <c r="C242" s="75" t="s">
        <v>241</v>
      </c>
      <c r="D242" s="74" t="s">
        <v>28</v>
      </c>
      <c r="E242" s="48">
        <f>19.76*0.24*0.2</f>
        <v>0.94847999999999999</v>
      </c>
      <c r="F242" s="48">
        <v>863</v>
      </c>
      <c r="G242" s="48">
        <v>523</v>
      </c>
      <c r="H242" s="48">
        <f t="shared" si="5"/>
        <v>818.53823999999997</v>
      </c>
      <c r="I242" s="39"/>
    </row>
    <row r="243" spans="1:9" ht="33.75" outlineLevel="2">
      <c r="A243" s="74"/>
      <c r="B243" s="75" t="s">
        <v>43</v>
      </c>
      <c r="C243" s="75" t="s">
        <v>147</v>
      </c>
      <c r="D243" s="74" t="s">
        <v>45</v>
      </c>
      <c r="E243" s="45">
        <v>7.9000000000000001E-2</v>
      </c>
      <c r="F243" s="48">
        <v>7100</v>
      </c>
      <c r="G243" s="48">
        <f>G164</f>
        <v>5500</v>
      </c>
      <c r="H243" s="48">
        <f t="shared" si="5"/>
        <v>560.9</v>
      </c>
      <c r="I243" s="39"/>
    </row>
    <row r="244" spans="1:9" ht="33.75" outlineLevel="2">
      <c r="A244" s="74"/>
      <c r="B244" s="75" t="s">
        <v>43</v>
      </c>
      <c r="C244" s="75" t="s">
        <v>242</v>
      </c>
      <c r="D244" s="74" t="s">
        <v>45</v>
      </c>
      <c r="E244" s="45">
        <v>7.4999999999999997E-2</v>
      </c>
      <c r="F244" s="48">
        <v>7100</v>
      </c>
      <c r="G244" s="43">
        <f>G19</f>
        <v>5250</v>
      </c>
      <c r="H244" s="48">
        <f t="shared" si="5"/>
        <v>532.5</v>
      </c>
      <c r="I244" s="39"/>
    </row>
    <row r="245" spans="1:9" ht="45" outlineLevel="2">
      <c r="A245" s="74"/>
      <c r="B245" s="75" t="s">
        <v>239</v>
      </c>
      <c r="C245" s="75" t="s">
        <v>243</v>
      </c>
      <c r="D245" s="74" t="s">
        <v>51</v>
      </c>
      <c r="E245" s="48">
        <v>19.760000000000002</v>
      </c>
      <c r="F245" s="48">
        <v>360</v>
      </c>
      <c r="G245" s="48">
        <v>280</v>
      </c>
      <c r="H245" s="48">
        <f t="shared" si="5"/>
        <v>7113.6</v>
      </c>
      <c r="I245" s="39"/>
    </row>
    <row r="246" spans="1:9" outlineLevel="1">
      <c r="A246" s="74">
        <v>3</v>
      </c>
      <c r="B246" s="75" t="s">
        <v>244</v>
      </c>
      <c r="C246" s="75"/>
      <c r="D246" s="74"/>
      <c r="E246" s="48"/>
      <c r="F246" s="48"/>
      <c r="G246" s="48"/>
      <c r="H246" s="48"/>
      <c r="I246" s="39"/>
    </row>
    <row r="247" spans="1:9" ht="22.5" outlineLevel="2">
      <c r="A247" s="74"/>
      <c r="B247" s="75" t="s">
        <v>244</v>
      </c>
      <c r="C247" s="75" t="s">
        <v>245</v>
      </c>
      <c r="D247" s="74" t="s">
        <v>246</v>
      </c>
      <c r="E247" s="48">
        <v>2</v>
      </c>
      <c r="F247" s="48">
        <v>9000</v>
      </c>
      <c r="G247" s="48">
        <v>7500</v>
      </c>
      <c r="H247" s="48">
        <f t="shared" si="5"/>
        <v>18000</v>
      </c>
      <c r="I247" s="39"/>
    </row>
    <row r="248" spans="1:9">
      <c r="A248" s="74" t="s">
        <v>247</v>
      </c>
      <c r="B248" s="84" t="s">
        <v>248</v>
      </c>
      <c r="C248" s="85"/>
      <c r="D248" s="74"/>
      <c r="E248" s="74"/>
      <c r="F248" s="48"/>
      <c r="G248" s="48"/>
      <c r="H248" s="48"/>
      <c r="I248" s="39"/>
    </row>
    <row r="249" spans="1:9" ht="22.5" outlineLevel="1">
      <c r="A249" s="74"/>
      <c r="B249" s="75" t="s">
        <v>29</v>
      </c>
      <c r="C249" s="75" t="s">
        <v>74</v>
      </c>
      <c r="D249" s="74" t="s">
        <v>31</v>
      </c>
      <c r="E249" s="74">
        <f>E252</f>
        <v>147.38</v>
      </c>
      <c r="F249" s="48">
        <v>3</v>
      </c>
      <c r="G249" s="48"/>
      <c r="H249" s="48">
        <f t="shared" si="5"/>
        <v>442.14</v>
      </c>
      <c r="I249" s="39"/>
    </row>
    <row r="250" spans="1:9" ht="22.5" outlineLevel="1">
      <c r="A250" s="74"/>
      <c r="B250" s="75" t="s">
        <v>32</v>
      </c>
      <c r="C250" s="75" t="s">
        <v>41</v>
      </c>
      <c r="D250" s="74" t="s">
        <v>28</v>
      </c>
      <c r="E250" s="48">
        <f>E252*0.1</f>
        <v>14.738</v>
      </c>
      <c r="F250" s="48">
        <v>230</v>
      </c>
      <c r="G250" s="43">
        <v>158</v>
      </c>
      <c r="H250" s="48">
        <f t="shared" si="5"/>
        <v>3389.74</v>
      </c>
      <c r="I250" s="39"/>
    </row>
    <row r="251" spans="1:9" ht="45" outlineLevel="1">
      <c r="A251" s="74"/>
      <c r="B251" s="75" t="s">
        <v>34</v>
      </c>
      <c r="C251" s="75" t="s">
        <v>75</v>
      </c>
      <c r="D251" s="74" t="s">
        <v>28</v>
      </c>
      <c r="E251" s="48">
        <f>E252*0.1</f>
        <v>14.738</v>
      </c>
      <c r="F251" s="48">
        <v>750</v>
      </c>
      <c r="G251" s="43">
        <v>512</v>
      </c>
      <c r="H251" s="48">
        <f t="shared" si="5"/>
        <v>11053.5</v>
      </c>
      <c r="I251" s="39"/>
    </row>
    <row r="252" spans="1:9" ht="33.75" outlineLevel="1">
      <c r="A252" s="74"/>
      <c r="B252" s="75" t="s">
        <v>249</v>
      </c>
      <c r="C252" s="75" t="s">
        <v>77</v>
      </c>
      <c r="D252" s="74" t="s">
        <v>31</v>
      </c>
      <c r="E252" s="74">
        <f>6.04+9.78+20.25+8.45+28.43+18.87+33.92+12.09+4.68+4.87</f>
        <v>147.38</v>
      </c>
      <c r="F252" s="48">
        <v>167</v>
      </c>
      <c r="G252" s="48">
        <v>90</v>
      </c>
      <c r="H252" s="48">
        <f t="shared" si="5"/>
        <v>24612.46</v>
      </c>
      <c r="I252" s="39"/>
    </row>
    <row r="253" spans="1:9" ht="22.5" outlineLevel="1">
      <c r="A253" s="74"/>
      <c r="B253" s="75" t="s">
        <v>29</v>
      </c>
      <c r="C253" s="75" t="s">
        <v>74</v>
      </c>
      <c r="D253" s="74" t="s">
        <v>31</v>
      </c>
      <c r="E253" s="74">
        <f>E256</f>
        <v>37.909999999999997</v>
      </c>
      <c r="F253" s="48">
        <v>3</v>
      </c>
      <c r="G253" s="48"/>
      <c r="H253" s="48">
        <f t="shared" si="5"/>
        <v>113.72999999999999</v>
      </c>
      <c r="I253" s="39"/>
    </row>
    <row r="254" spans="1:9" ht="22.5" outlineLevel="1">
      <c r="A254" s="74"/>
      <c r="B254" s="75" t="s">
        <v>32</v>
      </c>
      <c r="C254" s="75" t="s">
        <v>41</v>
      </c>
      <c r="D254" s="74" t="s">
        <v>28</v>
      </c>
      <c r="E254" s="74">
        <f>E256*0.1</f>
        <v>3.7909999999999999</v>
      </c>
      <c r="F254" s="48">
        <v>230</v>
      </c>
      <c r="G254" s="43">
        <v>158</v>
      </c>
      <c r="H254" s="48">
        <f t="shared" si="5"/>
        <v>871.93</v>
      </c>
      <c r="I254" s="39"/>
    </row>
    <row r="255" spans="1:9" ht="45" outlineLevel="1">
      <c r="A255" s="74"/>
      <c r="B255" s="75" t="s">
        <v>34</v>
      </c>
      <c r="C255" s="75" t="s">
        <v>75</v>
      </c>
      <c r="D255" s="74" t="s">
        <v>28</v>
      </c>
      <c r="E255" s="74">
        <f>E256*0.1</f>
        <v>3.7909999999999999</v>
      </c>
      <c r="F255" s="48">
        <v>750</v>
      </c>
      <c r="G255" s="43">
        <v>512</v>
      </c>
      <c r="H255" s="48">
        <f t="shared" si="5"/>
        <v>2843.25</v>
      </c>
      <c r="I255" s="39"/>
    </row>
    <row r="256" spans="1:9" ht="33.75" outlineLevel="1">
      <c r="A256" s="74"/>
      <c r="B256" s="75" t="s">
        <v>76</v>
      </c>
      <c r="C256" s="75" t="s">
        <v>77</v>
      </c>
      <c r="D256" s="74" t="s">
        <v>31</v>
      </c>
      <c r="E256" s="74">
        <f>30.93+6.98</f>
        <v>37.909999999999997</v>
      </c>
      <c r="F256" s="48">
        <v>167</v>
      </c>
      <c r="G256" s="48">
        <v>90</v>
      </c>
      <c r="H256" s="48">
        <f t="shared" si="5"/>
        <v>6330.9699999999993</v>
      </c>
      <c r="I256" s="39"/>
    </row>
    <row r="257" spans="1:9" ht="22.5" outlineLevel="1">
      <c r="A257" s="74"/>
      <c r="B257" s="75" t="s">
        <v>29</v>
      </c>
      <c r="C257" s="75" t="s">
        <v>74</v>
      </c>
      <c r="D257" s="74" t="s">
        <v>31</v>
      </c>
      <c r="E257" s="74">
        <v>47.99</v>
      </c>
      <c r="F257" s="48">
        <v>3</v>
      </c>
      <c r="G257" s="48"/>
      <c r="H257" s="48">
        <f t="shared" si="5"/>
        <v>143.97</v>
      </c>
      <c r="I257" s="39"/>
    </row>
    <row r="258" spans="1:9" ht="22.5" outlineLevel="1">
      <c r="A258" s="74"/>
      <c r="B258" s="75" t="s">
        <v>32</v>
      </c>
      <c r="C258" s="75" t="s">
        <v>33</v>
      </c>
      <c r="D258" s="74" t="s">
        <v>28</v>
      </c>
      <c r="E258" s="48">
        <f>47.99*0.2</f>
        <v>9.5980000000000008</v>
      </c>
      <c r="F258" s="48">
        <v>230</v>
      </c>
      <c r="G258" s="43">
        <v>158</v>
      </c>
      <c r="H258" s="48">
        <f t="shared" si="5"/>
        <v>2207.54</v>
      </c>
      <c r="I258" s="39"/>
    </row>
    <row r="259" spans="1:9" ht="45" outlineLevel="1">
      <c r="A259" s="74"/>
      <c r="B259" s="75" t="s">
        <v>34</v>
      </c>
      <c r="C259" s="75" t="s">
        <v>250</v>
      </c>
      <c r="D259" s="74" t="s">
        <v>28</v>
      </c>
      <c r="E259" s="48">
        <f>E257*0.2</f>
        <v>9.5980000000000008</v>
      </c>
      <c r="F259" s="48">
        <v>750</v>
      </c>
      <c r="G259" s="43">
        <v>512</v>
      </c>
      <c r="H259" s="48">
        <f t="shared" si="5"/>
        <v>7198.5000000000009</v>
      </c>
      <c r="I259" s="39"/>
    </row>
    <row r="260" spans="1:9" ht="67.5" outlineLevel="1">
      <c r="A260" s="74"/>
      <c r="B260" s="75" t="s">
        <v>251</v>
      </c>
      <c r="C260" s="75" t="s">
        <v>252</v>
      </c>
      <c r="D260" s="74" t="s">
        <v>31</v>
      </c>
      <c r="E260" s="74">
        <f>E257</f>
        <v>47.99</v>
      </c>
      <c r="F260" s="48">
        <v>380</v>
      </c>
      <c r="G260" s="43">
        <v>320</v>
      </c>
      <c r="H260" s="48">
        <f t="shared" si="5"/>
        <v>18236.2</v>
      </c>
      <c r="I260" s="39"/>
    </row>
    <row r="261" spans="1:9">
      <c r="A261" s="74" t="s">
        <v>253</v>
      </c>
      <c r="B261" s="75" t="s">
        <v>254</v>
      </c>
      <c r="C261" s="75"/>
      <c r="D261" s="74"/>
      <c r="E261" s="74"/>
      <c r="F261" s="48"/>
      <c r="G261" s="48"/>
      <c r="H261" s="48"/>
      <c r="I261" s="39"/>
    </row>
    <row r="262" spans="1:9" ht="22.5" outlineLevel="1">
      <c r="A262" s="74"/>
      <c r="B262" s="75" t="s">
        <v>29</v>
      </c>
      <c r="C262" s="75" t="s">
        <v>74</v>
      </c>
      <c r="D262" s="74" t="s">
        <v>31</v>
      </c>
      <c r="E262" s="74">
        <v>202.46</v>
      </c>
      <c r="F262" s="48">
        <v>3</v>
      </c>
      <c r="G262" s="48"/>
      <c r="H262" s="48">
        <f t="shared" si="5"/>
        <v>607.38</v>
      </c>
      <c r="I262" s="39"/>
    </row>
    <row r="263" spans="1:9" ht="22.5" outlineLevel="1">
      <c r="A263" s="74"/>
      <c r="B263" s="75" t="s">
        <v>32</v>
      </c>
      <c r="C263" s="75" t="s">
        <v>41</v>
      </c>
      <c r="D263" s="74" t="s">
        <v>28</v>
      </c>
      <c r="E263" s="48">
        <f>E262*0.1</f>
        <v>20.246000000000002</v>
      </c>
      <c r="F263" s="48">
        <v>230</v>
      </c>
      <c r="G263" s="43">
        <v>158</v>
      </c>
      <c r="H263" s="48">
        <f t="shared" si="5"/>
        <v>4656.5800000000008</v>
      </c>
      <c r="I263" s="39"/>
    </row>
    <row r="264" spans="1:9" ht="45" outlineLevel="1">
      <c r="A264" s="74"/>
      <c r="B264" s="75" t="s">
        <v>34</v>
      </c>
      <c r="C264" s="75" t="s">
        <v>75</v>
      </c>
      <c r="D264" s="74" t="s">
        <v>28</v>
      </c>
      <c r="E264" s="48">
        <f>E262*0.1</f>
        <v>20.246000000000002</v>
      </c>
      <c r="F264" s="48">
        <v>750</v>
      </c>
      <c r="G264" s="43">
        <v>512</v>
      </c>
      <c r="H264" s="48">
        <f t="shared" si="5"/>
        <v>15184.500000000002</v>
      </c>
      <c r="I264" s="39"/>
    </row>
    <row r="265" spans="1:9" ht="45" outlineLevel="1">
      <c r="A265" s="74"/>
      <c r="B265" s="75" t="s">
        <v>71</v>
      </c>
      <c r="C265" s="75" t="s">
        <v>72</v>
      </c>
      <c r="D265" s="74" t="s">
        <v>31</v>
      </c>
      <c r="E265" s="74">
        <v>202.46</v>
      </c>
      <c r="F265" s="48">
        <v>235</v>
      </c>
      <c r="G265" s="48">
        <v>150</v>
      </c>
      <c r="H265" s="48">
        <f t="shared" si="5"/>
        <v>47578.1</v>
      </c>
      <c r="I265" s="39"/>
    </row>
    <row r="266" spans="1:9" ht="22.5" outlineLevel="1">
      <c r="A266" s="74"/>
      <c r="B266" s="75" t="s">
        <v>29</v>
      </c>
      <c r="C266" s="75" t="s">
        <v>74</v>
      </c>
      <c r="D266" s="74" t="s">
        <v>31</v>
      </c>
      <c r="E266" s="74">
        <f>E269</f>
        <v>5.89</v>
      </c>
      <c r="F266" s="48">
        <v>3</v>
      </c>
      <c r="G266" s="48"/>
      <c r="H266" s="48">
        <f t="shared" si="5"/>
        <v>17.669999999999998</v>
      </c>
      <c r="I266" s="39"/>
    </row>
    <row r="267" spans="1:9" ht="22.5" outlineLevel="1">
      <c r="A267" s="74"/>
      <c r="B267" s="75" t="s">
        <v>32</v>
      </c>
      <c r="C267" s="75" t="s">
        <v>41</v>
      </c>
      <c r="D267" s="74" t="s">
        <v>28</v>
      </c>
      <c r="E267" s="48">
        <f>E266*0.1</f>
        <v>0.58899999999999997</v>
      </c>
      <c r="F267" s="48">
        <v>230</v>
      </c>
      <c r="G267" s="43">
        <v>158</v>
      </c>
      <c r="H267" s="48">
        <f t="shared" si="5"/>
        <v>135.47</v>
      </c>
      <c r="I267" s="39"/>
    </row>
    <row r="268" spans="1:9" ht="45" outlineLevel="1">
      <c r="A268" s="74"/>
      <c r="B268" s="75" t="s">
        <v>34</v>
      </c>
      <c r="C268" s="75" t="s">
        <v>75</v>
      </c>
      <c r="D268" s="74" t="s">
        <v>28</v>
      </c>
      <c r="E268" s="48">
        <f>E266*0.1</f>
        <v>0.58899999999999997</v>
      </c>
      <c r="F268" s="48">
        <v>750</v>
      </c>
      <c r="G268" s="43">
        <v>512</v>
      </c>
      <c r="H268" s="48">
        <f t="shared" si="5"/>
        <v>441.75</v>
      </c>
      <c r="I268" s="39"/>
    </row>
    <row r="269" spans="1:9" ht="33.75" outlineLevel="1">
      <c r="A269" s="74"/>
      <c r="B269" s="75" t="s">
        <v>76</v>
      </c>
      <c r="C269" s="75" t="s">
        <v>77</v>
      </c>
      <c r="D269" s="74" t="s">
        <v>31</v>
      </c>
      <c r="E269" s="74">
        <f>1.46+4.43</f>
        <v>5.89</v>
      </c>
      <c r="F269" s="48">
        <v>167</v>
      </c>
      <c r="G269" s="48">
        <v>90</v>
      </c>
      <c r="H269" s="48">
        <f t="shared" si="5"/>
        <v>983.63</v>
      </c>
      <c r="I269" s="39"/>
    </row>
    <row r="270" spans="1:9">
      <c r="A270" s="74" t="s">
        <v>255</v>
      </c>
      <c r="B270" s="75" t="s">
        <v>256</v>
      </c>
      <c r="C270" s="75"/>
      <c r="D270" s="74"/>
      <c r="E270" s="74"/>
      <c r="F270" s="48"/>
      <c r="G270" s="48"/>
      <c r="H270" s="48"/>
      <c r="I270" s="39"/>
    </row>
    <row r="271" spans="1:9" outlineLevel="1">
      <c r="A271" s="74">
        <v>1</v>
      </c>
      <c r="B271" s="75" t="s">
        <v>257</v>
      </c>
      <c r="C271" s="75"/>
      <c r="D271" s="74"/>
      <c r="E271" s="74"/>
      <c r="F271" s="48"/>
      <c r="G271" s="48"/>
      <c r="H271" s="48"/>
      <c r="I271" s="39"/>
    </row>
    <row r="272" spans="1:9" ht="22.5" outlineLevel="2">
      <c r="A272" s="74"/>
      <c r="B272" s="75" t="s">
        <v>29</v>
      </c>
      <c r="C272" s="75" t="s">
        <v>74</v>
      </c>
      <c r="D272" s="74" t="s">
        <v>31</v>
      </c>
      <c r="E272" s="74">
        <f>523.61-8.14</f>
        <v>515.47</v>
      </c>
      <c r="F272" s="48">
        <v>3</v>
      </c>
      <c r="G272" s="48"/>
      <c r="H272" s="48">
        <f t="shared" si="5"/>
        <v>1546.41</v>
      </c>
      <c r="I272" s="39"/>
    </row>
    <row r="273" spans="1:9" ht="22.5" outlineLevel="2">
      <c r="A273" s="74"/>
      <c r="B273" s="75" t="s">
        <v>32</v>
      </c>
      <c r="C273" s="75" t="s">
        <v>41</v>
      </c>
      <c r="D273" s="74" t="s">
        <v>28</v>
      </c>
      <c r="E273" s="48">
        <f>E272*0.1</f>
        <v>51.547000000000004</v>
      </c>
      <c r="F273" s="48">
        <v>230</v>
      </c>
      <c r="G273" s="43">
        <v>158</v>
      </c>
      <c r="H273" s="48">
        <f t="shared" si="5"/>
        <v>11855.810000000001</v>
      </c>
      <c r="I273" s="39"/>
    </row>
    <row r="274" spans="1:9" ht="45" outlineLevel="2">
      <c r="A274" s="74"/>
      <c r="B274" s="75" t="s">
        <v>34</v>
      </c>
      <c r="C274" s="75" t="s">
        <v>75</v>
      </c>
      <c r="D274" s="74" t="s">
        <v>28</v>
      </c>
      <c r="E274" s="48">
        <f>E272*0.1</f>
        <v>51.547000000000004</v>
      </c>
      <c r="F274" s="48">
        <v>750</v>
      </c>
      <c r="G274" s="43">
        <v>512</v>
      </c>
      <c r="H274" s="48">
        <f t="shared" si="5"/>
        <v>38660.25</v>
      </c>
      <c r="I274" s="39"/>
    </row>
    <row r="275" spans="1:9" ht="22.5" outlineLevel="2">
      <c r="A275" s="74"/>
      <c r="B275" s="75" t="s">
        <v>237</v>
      </c>
      <c r="C275" s="75" t="s">
        <v>238</v>
      </c>
      <c r="D275" s="74" t="s">
        <v>31</v>
      </c>
      <c r="E275" s="48">
        <f>E272</f>
        <v>515.47</v>
      </c>
      <c r="F275" s="48">
        <v>160</v>
      </c>
      <c r="G275" s="48">
        <v>110</v>
      </c>
      <c r="H275" s="48">
        <f t="shared" si="5"/>
        <v>82475.200000000012</v>
      </c>
      <c r="I275" s="39"/>
    </row>
    <row r="276" spans="1:9" outlineLevel="1">
      <c r="A276" s="74">
        <v>2</v>
      </c>
      <c r="B276" s="75" t="s">
        <v>258</v>
      </c>
      <c r="D276" s="74"/>
      <c r="E276" s="74"/>
      <c r="F276" s="48"/>
      <c r="G276" s="48"/>
      <c r="H276" s="48"/>
      <c r="I276" s="39"/>
    </row>
    <row r="277" spans="1:9" ht="56.25" outlineLevel="2">
      <c r="A277" s="74"/>
      <c r="B277" s="75" t="s">
        <v>117</v>
      </c>
      <c r="C277" s="75" t="s">
        <v>118</v>
      </c>
      <c r="D277" s="74" t="s">
        <v>28</v>
      </c>
      <c r="E277" s="48">
        <f>6*1.1*1.04</f>
        <v>6.8640000000000008</v>
      </c>
      <c r="F277" s="48">
        <f>$F$7</f>
        <v>12</v>
      </c>
      <c r="G277" s="43"/>
      <c r="H277" s="48">
        <f t="shared" si="5"/>
        <v>82.368000000000009</v>
      </c>
      <c r="I277" s="39"/>
    </row>
    <row r="278" spans="1:9" ht="56.25" outlineLevel="2">
      <c r="A278" s="74"/>
      <c r="B278" s="75" t="s">
        <v>119</v>
      </c>
      <c r="C278" s="75" t="s">
        <v>120</v>
      </c>
      <c r="D278" s="74" t="s">
        <v>28</v>
      </c>
      <c r="E278" s="48">
        <f>E277-E280-E281-E282-E283</f>
        <v>3.2784</v>
      </c>
      <c r="F278" s="48">
        <f>$F$143</f>
        <v>20</v>
      </c>
      <c r="G278" s="48"/>
      <c r="H278" s="48">
        <f t="shared" si="5"/>
        <v>65.567999999999998</v>
      </c>
      <c r="I278" s="39"/>
    </row>
    <row r="279" spans="1:9" ht="22.5" outlineLevel="2">
      <c r="A279" s="74"/>
      <c r="B279" s="75" t="s">
        <v>29</v>
      </c>
      <c r="C279" s="75" t="s">
        <v>74</v>
      </c>
      <c r="D279" s="74" t="s">
        <v>31</v>
      </c>
      <c r="E279" s="48">
        <f>6*1.04</f>
        <v>6.24</v>
      </c>
      <c r="F279" s="48">
        <v>3</v>
      </c>
      <c r="G279" s="48"/>
      <c r="H279" s="48">
        <f t="shared" si="5"/>
        <v>18.72</v>
      </c>
      <c r="I279" s="39"/>
    </row>
    <row r="280" spans="1:9" ht="22.5" outlineLevel="2">
      <c r="A280" s="74"/>
      <c r="B280" s="75" t="s">
        <v>32</v>
      </c>
      <c r="C280" s="75" t="s">
        <v>41</v>
      </c>
      <c r="D280" s="74" t="s">
        <v>28</v>
      </c>
      <c r="E280" s="48">
        <f>E279*0.1</f>
        <v>0.62400000000000011</v>
      </c>
      <c r="F280" s="48">
        <v>230</v>
      </c>
      <c r="G280" s="43">
        <v>158</v>
      </c>
      <c r="H280" s="48">
        <f t="shared" si="5"/>
        <v>143.52000000000004</v>
      </c>
      <c r="I280" s="39"/>
    </row>
    <row r="281" spans="1:9" ht="45" outlineLevel="2">
      <c r="A281" s="74"/>
      <c r="B281" s="75" t="s">
        <v>34</v>
      </c>
      <c r="C281" s="75" t="s">
        <v>75</v>
      </c>
      <c r="D281" s="74" t="s">
        <v>28</v>
      </c>
      <c r="E281" s="48">
        <f>E280</f>
        <v>0.62400000000000011</v>
      </c>
      <c r="F281" s="48">
        <v>750</v>
      </c>
      <c r="G281" s="43">
        <v>512</v>
      </c>
      <c r="H281" s="48">
        <f t="shared" si="5"/>
        <v>468.00000000000006</v>
      </c>
      <c r="I281" s="39"/>
    </row>
    <row r="282" spans="1:9" ht="45" outlineLevel="2">
      <c r="A282" s="74"/>
      <c r="B282" s="75" t="s">
        <v>187</v>
      </c>
      <c r="C282" s="75" t="s">
        <v>259</v>
      </c>
      <c r="D282" s="74" t="s">
        <v>28</v>
      </c>
      <c r="E282" s="48">
        <f>0.3*0.8*6</f>
        <v>1.44</v>
      </c>
      <c r="F282" s="48">
        <v>803</v>
      </c>
      <c r="G282" s="49">
        <f>G205</f>
        <v>532</v>
      </c>
      <c r="H282" s="48">
        <f t="shared" si="5"/>
        <v>1156.32</v>
      </c>
      <c r="I282" s="39"/>
    </row>
    <row r="283" spans="1:9" ht="45" outlineLevel="2">
      <c r="A283" s="74"/>
      <c r="B283" s="75" t="s">
        <v>108</v>
      </c>
      <c r="C283" s="75" t="s">
        <v>122</v>
      </c>
      <c r="D283" s="74" t="s">
        <v>28</v>
      </c>
      <c r="E283" s="48">
        <f>0.17*(6-0.24*3)</f>
        <v>0.89760000000000006</v>
      </c>
      <c r="F283" s="48">
        <v>630</v>
      </c>
      <c r="G283" s="43">
        <v>300</v>
      </c>
      <c r="H283" s="48">
        <f t="shared" ref="H283:H345" si="6">E283*F283</f>
        <v>565.48800000000006</v>
      </c>
      <c r="I283" s="39"/>
    </row>
    <row r="284" spans="1:9" ht="45" outlineLevel="2">
      <c r="A284" s="74"/>
      <c r="B284" s="75" t="s">
        <v>125</v>
      </c>
      <c r="C284" s="75" t="s">
        <v>126</v>
      </c>
      <c r="D284" s="74" t="s">
        <v>28</v>
      </c>
      <c r="E284" s="48">
        <f>2.61*2*0.24*2.85</f>
        <v>3.5704799999999999</v>
      </c>
      <c r="F284" s="48">
        <v>650</v>
      </c>
      <c r="G284" s="48">
        <v>300</v>
      </c>
      <c r="H284" s="48">
        <f t="shared" si="6"/>
        <v>2320.8119999999999</v>
      </c>
      <c r="I284" s="39"/>
    </row>
    <row r="285" spans="1:9" ht="45" outlineLevel="2">
      <c r="A285" s="74"/>
      <c r="B285" s="75" t="s">
        <v>260</v>
      </c>
      <c r="C285" s="75" t="s">
        <v>261</v>
      </c>
      <c r="D285" s="74" t="s">
        <v>28</v>
      </c>
      <c r="E285" s="48">
        <f>0.24*0.24*(2.8+0.6)*3</f>
        <v>0.58751999999999993</v>
      </c>
      <c r="F285" s="48">
        <v>813</v>
      </c>
      <c r="G285" s="48">
        <v>523</v>
      </c>
      <c r="H285" s="48">
        <f t="shared" si="6"/>
        <v>477.65375999999992</v>
      </c>
      <c r="I285" s="39"/>
    </row>
    <row r="286" spans="1:9" ht="45" outlineLevel="2">
      <c r="A286" s="74"/>
      <c r="B286" s="75" t="s">
        <v>240</v>
      </c>
      <c r="C286" s="75" t="s">
        <v>262</v>
      </c>
      <c r="D286" s="74" t="s">
        <v>28</v>
      </c>
      <c r="E286" s="48">
        <f>0.24*0.2*(2.61*2)</f>
        <v>0.25056</v>
      </c>
      <c r="F286" s="48">
        <v>852</v>
      </c>
      <c r="G286" s="48">
        <v>532</v>
      </c>
      <c r="H286" s="48">
        <f t="shared" si="6"/>
        <v>213.47712000000001</v>
      </c>
      <c r="I286" s="39"/>
    </row>
    <row r="287" spans="1:9" ht="45" outlineLevel="2">
      <c r="A287" s="74"/>
      <c r="B287" s="75" t="s">
        <v>127</v>
      </c>
      <c r="C287" s="75" t="s">
        <v>263</v>
      </c>
      <c r="D287" s="74" t="s">
        <v>28</v>
      </c>
      <c r="E287" s="48">
        <f>E286</f>
        <v>0.25056</v>
      </c>
      <c r="F287" s="48">
        <v>860</v>
      </c>
      <c r="G287" s="48">
        <v>532</v>
      </c>
      <c r="H287" s="48">
        <f t="shared" si="6"/>
        <v>215.48160000000001</v>
      </c>
      <c r="I287" s="39"/>
    </row>
    <row r="288" spans="1:9" ht="33.75" outlineLevel="2">
      <c r="A288" s="74"/>
      <c r="B288" s="75" t="s">
        <v>43</v>
      </c>
      <c r="C288" s="75" t="s">
        <v>147</v>
      </c>
      <c r="D288" s="74" t="s">
        <v>45</v>
      </c>
      <c r="E288" s="45">
        <f>69.3/1000</f>
        <v>6.93E-2</v>
      </c>
      <c r="F288" s="48">
        <v>7100</v>
      </c>
      <c r="G288" s="48">
        <f>G164</f>
        <v>5500</v>
      </c>
      <c r="H288" s="48">
        <f t="shared" si="6"/>
        <v>492.03000000000003</v>
      </c>
      <c r="I288" s="39"/>
    </row>
    <row r="289" spans="1:9" ht="33.75" outlineLevel="2">
      <c r="A289" s="74"/>
      <c r="B289" s="75" t="s">
        <v>43</v>
      </c>
      <c r="C289" s="75" t="s">
        <v>242</v>
      </c>
      <c r="D289" s="74" t="s">
        <v>45</v>
      </c>
      <c r="E289" s="45">
        <f>94.76/1000</f>
        <v>9.4760000000000011E-2</v>
      </c>
      <c r="F289" s="48">
        <v>7100</v>
      </c>
      <c r="G289" s="43">
        <f>G19</f>
        <v>5250</v>
      </c>
      <c r="H289" s="48">
        <f t="shared" si="6"/>
        <v>672.79600000000005</v>
      </c>
      <c r="I289" s="39"/>
    </row>
    <row r="290" spans="1:9" ht="33.75" outlineLevel="2">
      <c r="A290" s="74"/>
      <c r="B290" s="75" t="s">
        <v>264</v>
      </c>
      <c r="C290" s="75" t="s">
        <v>265</v>
      </c>
      <c r="D290" s="74" t="s">
        <v>31</v>
      </c>
      <c r="E290" s="48">
        <f>6*2.8*2+0.24*(2.8*2+6)</f>
        <v>36.383999999999993</v>
      </c>
      <c r="F290" s="48">
        <v>115</v>
      </c>
      <c r="G290" s="48">
        <v>65</v>
      </c>
      <c r="H290" s="48">
        <f t="shared" si="6"/>
        <v>4184.1599999999989</v>
      </c>
      <c r="I290" s="39"/>
    </row>
    <row r="291" spans="1:9" ht="78.75" outlineLevel="2">
      <c r="A291" s="74"/>
      <c r="B291" s="75" t="s">
        <v>266</v>
      </c>
      <c r="C291" s="75" t="s">
        <v>267</v>
      </c>
      <c r="D291" s="74" t="s">
        <v>31</v>
      </c>
      <c r="E291" s="48">
        <v>14.01</v>
      </c>
      <c r="F291" s="48">
        <v>1650</v>
      </c>
      <c r="G291" s="48">
        <v>800</v>
      </c>
      <c r="H291" s="48">
        <f t="shared" si="6"/>
        <v>23116.5</v>
      </c>
      <c r="I291" s="39"/>
    </row>
    <row r="292" spans="1:9" ht="22.5" outlineLevel="2">
      <c r="A292" s="74"/>
      <c r="B292" s="75" t="s">
        <v>268</v>
      </c>
      <c r="C292" s="75" t="s">
        <v>269</v>
      </c>
      <c r="D292" s="74" t="s">
        <v>198</v>
      </c>
      <c r="E292" s="48">
        <v>1</v>
      </c>
      <c r="F292" s="48">
        <v>3500</v>
      </c>
      <c r="G292" s="48">
        <v>2800</v>
      </c>
      <c r="H292" s="48">
        <f t="shared" si="6"/>
        <v>3500</v>
      </c>
      <c r="I292" s="39"/>
    </row>
    <row r="293" spans="1:9" outlineLevel="1">
      <c r="A293" s="74">
        <v>3</v>
      </c>
      <c r="B293" s="75" t="s">
        <v>270</v>
      </c>
      <c r="D293" s="74"/>
      <c r="E293" s="74"/>
      <c r="F293" s="48"/>
      <c r="G293" s="48"/>
      <c r="H293" s="48"/>
      <c r="I293" s="39"/>
    </row>
    <row r="294" spans="1:9" ht="45" outlineLevel="2">
      <c r="A294" s="74"/>
      <c r="B294" s="75" t="s">
        <v>201</v>
      </c>
      <c r="C294" s="75" t="s">
        <v>271</v>
      </c>
      <c r="D294" s="74" t="s">
        <v>28</v>
      </c>
      <c r="E294" s="48">
        <f>1*1*0.3*2+1.2*1.2*0.3*2</f>
        <v>1.464</v>
      </c>
      <c r="F294" s="48">
        <v>762</v>
      </c>
      <c r="G294" s="48">
        <v>532</v>
      </c>
      <c r="H294" s="48">
        <f t="shared" si="6"/>
        <v>1115.568</v>
      </c>
      <c r="I294" s="39"/>
    </row>
    <row r="295" spans="1:9" ht="45" outlineLevel="2">
      <c r="A295" s="74"/>
      <c r="B295" s="75" t="s">
        <v>34</v>
      </c>
      <c r="C295" s="75" t="s">
        <v>75</v>
      </c>
      <c r="D295" s="74" t="s">
        <v>28</v>
      </c>
      <c r="E295" s="48">
        <f>1*1*0.1*2+1.2*1.2*0.1*2</f>
        <v>0.48799999999999999</v>
      </c>
      <c r="F295" s="48">
        <v>750</v>
      </c>
      <c r="G295" s="43">
        <v>512</v>
      </c>
      <c r="H295" s="48">
        <f t="shared" si="6"/>
        <v>366</v>
      </c>
      <c r="I295" s="39"/>
    </row>
    <row r="296" spans="1:9" ht="45" outlineLevel="2">
      <c r="A296" s="74"/>
      <c r="B296" s="75" t="s">
        <v>272</v>
      </c>
      <c r="C296" s="8" t="s">
        <v>273</v>
      </c>
      <c r="D296" s="74" t="s">
        <v>28</v>
      </c>
      <c r="E296" s="48">
        <f>0.4*0.4*1.3*4*0+1.19</f>
        <v>1.19</v>
      </c>
      <c r="F296" s="48">
        <v>855</v>
      </c>
      <c r="G296" s="48">
        <v>532</v>
      </c>
      <c r="H296" s="48">
        <f t="shared" si="6"/>
        <v>1017.4499999999999</v>
      </c>
      <c r="I296" s="39"/>
    </row>
    <row r="297" spans="1:9" ht="45" outlineLevel="2">
      <c r="A297" s="74"/>
      <c r="B297" s="75" t="s">
        <v>274</v>
      </c>
      <c r="C297" s="75" t="s">
        <v>275</v>
      </c>
      <c r="D297" s="74" t="s">
        <v>28</v>
      </c>
      <c r="E297" s="48">
        <f>0.2*0.4*(1.06*2+1*2+0.55*2)*0+0.75</f>
        <v>0.75</v>
      </c>
      <c r="F297" s="48">
        <v>852</v>
      </c>
      <c r="G297" s="48">
        <v>532</v>
      </c>
      <c r="H297" s="48">
        <f t="shared" si="6"/>
        <v>639</v>
      </c>
      <c r="I297" s="39"/>
    </row>
    <row r="298" spans="1:9" ht="45" outlineLevel="2">
      <c r="A298" s="74"/>
      <c r="B298" s="75" t="s">
        <v>276</v>
      </c>
      <c r="C298" s="75" t="s">
        <v>277</v>
      </c>
      <c r="D298" s="74" t="s">
        <v>28</v>
      </c>
      <c r="E298" s="48">
        <v>1.04</v>
      </c>
      <c r="F298" s="48">
        <v>852</v>
      </c>
      <c r="G298" s="48">
        <v>532</v>
      </c>
      <c r="H298" s="48">
        <f t="shared" si="6"/>
        <v>886.08</v>
      </c>
      <c r="I298" s="39"/>
    </row>
    <row r="299" spans="1:9" ht="45" outlineLevel="2">
      <c r="A299" s="74"/>
      <c r="B299" s="75" t="s">
        <v>278</v>
      </c>
      <c r="C299" s="75" t="s">
        <v>279</v>
      </c>
      <c r="D299" s="74" t="s">
        <v>28</v>
      </c>
      <c r="E299" s="48">
        <v>0.15</v>
      </c>
      <c r="F299" s="48">
        <v>852</v>
      </c>
      <c r="G299" s="48">
        <v>532</v>
      </c>
      <c r="H299" s="48">
        <f t="shared" si="6"/>
        <v>127.8</v>
      </c>
      <c r="I299" s="39"/>
    </row>
    <row r="300" spans="1:9" ht="45" outlineLevel="2">
      <c r="A300" s="74"/>
      <c r="B300" s="75" t="s">
        <v>280</v>
      </c>
      <c r="C300" s="8" t="s">
        <v>262</v>
      </c>
      <c r="D300" s="74" t="s">
        <v>28</v>
      </c>
      <c r="E300" s="48">
        <v>0.13</v>
      </c>
      <c r="F300" s="48">
        <v>852</v>
      </c>
      <c r="G300" s="48">
        <v>532</v>
      </c>
      <c r="H300" s="48">
        <f t="shared" si="6"/>
        <v>110.76</v>
      </c>
      <c r="I300" s="39"/>
    </row>
    <row r="301" spans="1:9" ht="45" outlineLevel="2">
      <c r="A301" s="74"/>
      <c r="B301" s="75" t="s">
        <v>125</v>
      </c>
      <c r="C301" s="8" t="s">
        <v>281</v>
      </c>
      <c r="D301" s="74" t="s">
        <v>28</v>
      </c>
      <c r="E301" s="48">
        <v>2.09</v>
      </c>
      <c r="F301" s="48">
        <v>650</v>
      </c>
      <c r="G301" s="48">
        <v>300</v>
      </c>
      <c r="H301" s="48">
        <f t="shared" si="6"/>
        <v>1358.5</v>
      </c>
      <c r="I301" s="39"/>
    </row>
    <row r="302" spans="1:9" ht="45" outlineLevel="2">
      <c r="A302" s="74"/>
      <c r="B302" s="75" t="s">
        <v>282</v>
      </c>
      <c r="C302" s="75" t="s">
        <v>283</v>
      </c>
      <c r="D302" s="74" t="s">
        <v>45</v>
      </c>
      <c r="E302" s="48">
        <v>0.08</v>
      </c>
      <c r="F302" s="48">
        <v>8600</v>
      </c>
      <c r="G302" s="41">
        <v>6000</v>
      </c>
      <c r="H302" s="48">
        <f t="shared" si="6"/>
        <v>688</v>
      </c>
      <c r="I302" s="39"/>
    </row>
    <row r="303" spans="1:9" ht="22.5" outlineLevel="2">
      <c r="A303" s="74"/>
      <c r="B303" s="75" t="s">
        <v>284</v>
      </c>
      <c r="C303" s="75" t="s">
        <v>285</v>
      </c>
      <c r="D303" s="74" t="s">
        <v>31</v>
      </c>
      <c r="E303" s="48">
        <f>8.85*2.4*2-1.13*2+8.85*0.2*2+2.4*0.2*2+1.2*3.14*0.2+1.295*0.63*3+2*2+2*0.67*4</f>
        <v>57.281149999999997</v>
      </c>
      <c r="F303" s="48">
        <v>450</v>
      </c>
      <c r="G303" s="48">
        <v>280</v>
      </c>
      <c r="H303" s="48">
        <f t="shared" si="6"/>
        <v>25776.517499999998</v>
      </c>
      <c r="I303" s="39"/>
    </row>
    <row r="304" spans="1:9" ht="22.5" outlineLevel="2">
      <c r="A304" s="74"/>
      <c r="B304" s="75" t="s">
        <v>286</v>
      </c>
      <c r="C304" s="75" t="s">
        <v>287</v>
      </c>
      <c r="D304" s="74" t="s">
        <v>31</v>
      </c>
      <c r="E304" s="48">
        <v>24.42</v>
      </c>
      <c r="F304" s="48">
        <v>35</v>
      </c>
      <c r="G304" s="48">
        <v>18</v>
      </c>
      <c r="H304" s="48">
        <f t="shared" si="6"/>
        <v>854.7</v>
      </c>
      <c r="I304" s="39"/>
    </row>
    <row r="305" spans="1:9" ht="22.5" outlineLevel="2">
      <c r="A305" s="74"/>
      <c r="B305" s="75" t="s">
        <v>288</v>
      </c>
      <c r="C305" s="75" t="s">
        <v>289</v>
      </c>
      <c r="D305" s="74" t="s">
        <v>31</v>
      </c>
      <c r="E305" s="48">
        <v>24.42</v>
      </c>
      <c r="F305" s="48">
        <v>70</v>
      </c>
      <c r="G305" s="48">
        <v>40</v>
      </c>
      <c r="H305" s="48">
        <f t="shared" si="6"/>
        <v>1709.4</v>
      </c>
      <c r="I305" s="39"/>
    </row>
    <row r="306" spans="1:9" ht="22.5" outlineLevel="2">
      <c r="A306" s="74"/>
      <c r="B306" s="75" t="s">
        <v>290</v>
      </c>
      <c r="C306" s="75" t="s">
        <v>291</v>
      </c>
      <c r="D306" s="74" t="s">
        <v>45</v>
      </c>
      <c r="E306" s="45">
        <v>3.5999999999999997E-2</v>
      </c>
      <c r="F306" s="48">
        <f>$F$77</f>
        <v>7100</v>
      </c>
      <c r="G306" s="48">
        <f>$G$54</f>
        <v>5370</v>
      </c>
      <c r="H306" s="48">
        <f t="shared" si="6"/>
        <v>255.6</v>
      </c>
      <c r="I306" s="39"/>
    </row>
    <row r="307" spans="1:9" ht="56.25" outlineLevel="2">
      <c r="A307" s="74"/>
      <c r="B307" s="75" t="s">
        <v>292</v>
      </c>
      <c r="C307" s="75" t="s">
        <v>293</v>
      </c>
      <c r="D307" s="74" t="s">
        <v>45</v>
      </c>
      <c r="E307" s="45">
        <v>0.126</v>
      </c>
      <c r="F307" s="48">
        <v>8709</v>
      </c>
      <c r="G307" s="48">
        <v>6500</v>
      </c>
      <c r="H307" s="48">
        <f t="shared" si="6"/>
        <v>1097.3340000000001</v>
      </c>
      <c r="I307" s="39"/>
    </row>
    <row r="308" spans="1:9" ht="56.25" outlineLevel="2">
      <c r="A308" s="74"/>
      <c r="B308" s="75" t="s">
        <v>292</v>
      </c>
      <c r="C308" s="75" t="s">
        <v>294</v>
      </c>
      <c r="D308" s="74" t="s">
        <v>45</v>
      </c>
      <c r="E308" s="45">
        <v>0.255</v>
      </c>
      <c r="F308" s="48">
        <v>8709</v>
      </c>
      <c r="G308" s="48">
        <f>G307</f>
        <v>6500</v>
      </c>
      <c r="H308" s="48">
        <f t="shared" si="6"/>
        <v>2220.7950000000001</v>
      </c>
      <c r="I308" s="39"/>
    </row>
    <row r="309" spans="1:9" ht="56.25" outlineLevel="2">
      <c r="A309" s="74"/>
      <c r="B309" s="75" t="s">
        <v>295</v>
      </c>
      <c r="C309" s="75" t="s">
        <v>296</v>
      </c>
      <c r="D309" s="74" t="s">
        <v>45</v>
      </c>
      <c r="E309" s="45">
        <v>1.234</v>
      </c>
      <c r="F309" s="48">
        <v>8709</v>
      </c>
      <c r="G309" s="48">
        <f>G307</f>
        <v>6500</v>
      </c>
      <c r="H309" s="48">
        <f t="shared" si="6"/>
        <v>10746.905999999999</v>
      </c>
      <c r="I309" s="39"/>
    </row>
    <row r="310" spans="1:9" ht="56.25" outlineLevel="2">
      <c r="A310" s="74"/>
      <c r="B310" s="75" t="s">
        <v>295</v>
      </c>
      <c r="C310" s="75" t="s">
        <v>297</v>
      </c>
      <c r="D310" s="74" t="s">
        <v>45</v>
      </c>
      <c r="E310" s="45">
        <v>0.191</v>
      </c>
      <c r="F310" s="48">
        <v>8709</v>
      </c>
      <c r="G310" s="48">
        <f>G307</f>
        <v>6500</v>
      </c>
      <c r="H310" s="48">
        <f t="shared" si="6"/>
        <v>1663.4190000000001</v>
      </c>
      <c r="I310" s="39"/>
    </row>
    <row r="311" spans="1:9" ht="56.25" outlineLevel="2">
      <c r="A311" s="74"/>
      <c r="B311" s="75" t="s">
        <v>295</v>
      </c>
      <c r="C311" s="75" t="s">
        <v>298</v>
      </c>
      <c r="D311" s="74" t="s">
        <v>45</v>
      </c>
      <c r="E311" s="45">
        <v>0.51500000000000001</v>
      </c>
      <c r="F311" s="48">
        <v>8709</v>
      </c>
      <c r="G311" s="48">
        <f>G307</f>
        <v>6500</v>
      </c>
      <c r="H311" s="48">
        <f t="shared" si="6"/>
        <v>4485.1350000000002</v>
      </c>
      <c r="I311" s="39"/>
    </row>
    <row r="312" spans="1:9" ht="56.25" outlineLevel="2">
      <c r="A312" s="74"/>
      <c r="B312" s="75" t="s">
        <v>295</v>
      </c>
      <c r="C312" s="75" t="s">
        <v>299</v>
      </c>
      <c r="D312" s="74" t="s">
        <v>45</v>
      </c>
      <c r="E312" s="45">
        <v>1.6E-2</v>
      </c>
      <c r="F312" s="48">
        <v>8709</v>
      </c>
      <c r="G312" s="48">
        <f>G307</f>
        <v>6500</v>
      </c>
      <c r="H312" s="48">
        <f t="shared" si="6"/>
        <v>139.34399999999999</v>
      </c>
      <c r="I312" s="39"/>
    </row>
    <row r="313" spans="1:9" ht="56.25" outlineLevel="2">
      <c r="A313" s="74"/>
      <c r="B313" s="75" t="s">
        <v>295</v>
      </c>
      <c r="C313" s="75" t="s">
        <v>300</v>
      </c>
      <c r="D313" s="74" t="s">
        <v>45</v>
      </c>
      <c r="E313" s="45">
        <v>9.8000000000000004E-2</v>
      </c>
      <c r="F313" s="48">
        <v>8709</v>
      </c>
      <c r="G313" s="48">
        <f>G307</f>
        <v>6500</v>
      </c>
      <c r="H313" s="48">
        <f t="shared" si="6"/>
        <v>853.48200000000008</v>
      </c>
      <c r="I313" s="39"/>
    </row>
    <row r="314" spans="1:9">
      <c r="A314" s="74" t="s">
        <v>301</v>
      </c>
      <c r="B314" s="75" t="s">
        <v>302</v>
      </c>
      <c r="C314" s="75"/>
      <c r="D314" s="74"/>
      <c r="E314" s="74"/>
      <c r="F314" s="48"/>
      <c r="G314" s="48"/>
      <c r="H314" s="48"/>
      <c r="I314" s="39"/>
    </row>
    <row r="315" spans="1:9" ht="56.25" outlineLevel="1">
      <c r="A315" s="74"/>
      <c r="B315" s="75" t="s">
        <v>117</v>
      </c>
      <c r="C315" s="75" t="s">
        <v>118</v>
      </c>
      <c r="D315" s="74" t="s">
        <v>28</v>
      </c>
      <c r="E315" s="48">
        <v>254.06</v>
      </c>
      <c r="F315" s="48">
        <f>$F$7</f>
        <v>12</v>
      </c>
      <c r="G315" s="43"/>
      <c r="H315" s="48">
        <f t="shared" si="6"/>
        <v>3048.7200000000003</v>
      </c>
      <c r="I315" s="39"/>
    </row>
    <row r="316" spans="1:9" ht="56.25" outlineLevel="1">
      <c r="A316" s="74"/>
      <c r="B316" s="75" t="s">
        <v>119</v>
      </c>
      <c r="C316" s="75" t="s">
        <v>120</v>
      </c>
      <c r="D316" s="74" t="s">
        <v>28</v>
      </c>
      <c r="E316" s="48">
        <v>118.91</v>
      </c>
      <c r="F316" s="48">
        <f>$F$143</f>
        <v>20</v>
      </c>
      <c r="G316" s="48"/>
      <c r="H316" s="48">
        <f t="shared" si="6"/>
        <v>2378.1999999999998</v>
      </c>
      <c r="I316" s="39"/>
    </row>
    <row r="317" spans="1:9" ht="22.5" outlineLevel="1">
      <c r="A317" s="74"/>
      <c r="B317" s="75" t="s">
        <v>29</v>
      </c>
      <c r="C317" s="75" t="s">
        <v>74</v>
      </c>
      <c r="D317" s="74" t="s">
        <v>31</v>
      </c>
      <c r="E317" s="48">
        <v>206.99</v>
      </c>
      <c r="F317" s="48">
        <v>3</v>
      </c>
      <c r="G317" s="48"/>
      <c r="H317" s="48">
        <f t="shared" si="6"/>
        <v>620.97</v>
      </c>
      <c r="I317" s="39"/>
    </row>
    <row r="318" spans="1:9" ht="22.5" outlineLevel="1">
      <c r="A318" s="74"/>
      <c r="B318" s="75" t="s">
        <v>32</v>
      </c>
      <c r="C318" s="75" t="s">
        <v>41</v>
      </c>
      <c r="D318" s="74" t="s">
        <v>28</v>
      </c>
      <c r="E318" s="48">
        <v>20.7</v>
      </c>
      <c r="F318" s="48">
        <v>230</v>
      </c>
      <c r="G318" s="43">
        <v>158</v>
      </c>
      <c r="H318" s="48">
        <f t="shared" si="6"/>
        <v>4761</v>
      </c>
      <c r="I318" s="39"/>
    </row>
    <row r="319" spans="1:9" ht="45" outlineLevel="1">
      <c r="A319" s="74"/>
      <c r="B319" s="75" t="s">
        <v>34</v>
      </c>
      <c r="C319" s="75" t="s">
        <v>75</v>
      </c>
      <c r="D319" s="74" t="s">
        <v>28</v>
      </c>
      <c r="E319" s="48">
        <v>20.7</v>
      </c>
      <c r="F319" s="48">
        <v>750</v>
      </c>
      <c r="G319" s="43">
        <v>512</v>
      </c>
      <c r="H319" s="48">
        <f t="shared" si="6"/>
        <v>15525</v>
      </c>
      <c r="I319" s="39"/>
    </row>
    <row r="320" spans="1:9" ht="45" outlineLevel="1">
      <c r="A320" s="74"/>
      <c r="B320" s="75" t="s">
        <v>108</v>
      </c>
      <c r="C320" s="75" t="s">
        <v>122</v>
      </c>
      <c r="D320" s="74" t="s">
        <v>28</v>
      </c>
      <c r="E320" s="48">
        <v>52.73</v>
      </c>
      <c r="F320" s="48">
        <v>630</v>
      </c>
      <c r="G320" s="43">
        <v>300</v>
      </c>
      <c r="H320" s="48">
        <f t="shared" si="6"/>
        <v>33219.9</v>
      </c>
      <c r="I320" s="39"/>
    </row>
    <row r="321" spans="1:9" ht="45" outlineLevel="1">
      <c r="A321" s="74"/>
      <c r="B321" s="75" t="s">
        <v>125</v>
      </c>
      <c r="C321" s="75" t="s">
        <v>126</v>
      </c>
      <c r="D321" s="74" t="s">
        <v>28</v>
      </c>
      <c r="E321" s="48">
        <v>19.690000000000001</v>
      </c>
      <c r="F321" s="48">
        <v>650</v>
      </c>
      <c r="G321" s="48">
        <v>300</v>
      </c>
      <c r="H321" s="48">
        <f t="shared" si="6"/>
        <v>12798.5</v>
      </c>
      <c r="I321" s="39"/>
    </row>
    <row r="322" spans="1:9" ht="45" outlineLevel="1">
      <c r="A322" s="74"/>
      <c r="B322" s="75" t="s">
        <v>187</v>
      </c>
      <c r="C322" s="75" t="s">
        <v>303</v>
      </c>
      <c r="D322" s="74" t="s">
        <v>28</v>
      </c>
      <c r="E322" s="48">
        <v>36.369999999999997</v>
      </c>
      <c r="F322" s="48">
        <v>793</v>
      </c>
      <c r="G322" s="48">
        <v>523</v>
      </c>
      <c r="H322" s="48">
        <f t="shared" si="6"/>
        <v>28841.409999999996</v>
      </c>
      <c r="I322" s="39"/>
    </row>
    <row r="323" spans="1:9" ht="45" outlineLevel="1">
      <c r="A323" s="74"/>
      <c r="B323" s="75" t="s">
        <v>260</v>
      </c>
      <c r="C323" s="75" t="s">
        <v>261</v>
      </c>
      <c r="D323" s="74" t="s">
        <v>28</v>
      </c>
      <c r="E323" s="48">
        <v>16.809999999999999</v>
      </c>
      <c r="F323" s="48">
        <v>813</v>
      </c>
      <c r="G323" s="48">
        <v>523</v>
      </c>
      <c r="H323" s="48">
        <f t="shared" si="6"/>
        <v>13666.529999999999</v>
      </c>
      <c r="I323" s="39"/>
    </row>
    <row r="324" spans="1:9" ht="45" outlineLevel="1">
      <c r="A324" s="74"/>
      <c r="B324" s="75" t="s">
        <v>240</v>
      </c>
      <c r="C324" s="75" t="s">
        <v>241</v>
      </c>
      <c r="D324" s="74" t="s">
        <v>28</v>
      </c>
      <c r="E324" s="48">
        <f>0.65/2</f>
        <v>0.32500000000000001</v>
      </c>
      <c r="F324" s="48">
        <v>863</v>
      </c>
      <c r="G324" s="48">
        <v>523</v>
      </c>
      <c r="H324" s="48">
        <f t="shared" si="6"/>
        <v>280.47500000000002</v>
      </c>
      <c r="I324" s="39"/>
    </row>
    <row r="325" spans="1:9" ht="45" outlineLevel="1">
      <c r="A325" s="74"/>
      <c r="B325" s="75" t="s">
        <v>127</v>
      </c>
      <c r="C325" s="75" t="s">
        <v>304</v>
      </c>
      <c r="D325" s="74" t="s">
        <v>28</v>
      </c>
      <c r="E325" s="48">
        <f>10.46+0.325</f>
        <v>10.785</v>
      </c>
      <c r="F325" s="48">
        <v>860</v>
      </c>
      <c r="G325" s="48">
        <v>523</v>
      </c>
      <c r="H325" s="48">
        <f t="shared" si="6"/>
        <v>9275.1</v>
      </c>
      <c r="I325" s="39"/>
    </row>
    <row r="326" spans="1:9" ht="33.75" outlineLevel="1">
      <c r="A326" s="74"/>
      <c r="B326" s="75" t="s">
        <v>43</v>
      </c>
      <c r="C326" s="75" t="s">
        <v>147</v>
      </c>
      <c r="D326" s="74" t="s">
        <v>45</v>
      </c>
      <c r="E326" s="45">
        <v>0.91</v>
      </c>
      <c r="F326" s="48">
        <v>7100</v>
      </c>
      <c r="G326" s="48">
        <f>G164</f>
        <v>5500</v>
      </c>
      <c r="H326" s="48">
        <f t="shared" si="6"/>
        <v>6461</v>
      </c>
      <c r="I326" s="39"/>
    </row>
    <row r="327" spans="1:9" ht="33.75" outlineLevel="1">
      <c r="A327" s="74"/>
      <c r="B327" s="75" t="s">
        <v>43</v>
      </c>
      <c r="C327" s="75" t="s">
        <v>242</v>
      </c>
      <c r="D327" s="74" t="s">
        <v>45</v>
      </c>
      <c r="E327" s="45">
        <v>3.04</v>
      </c>
      <c r="F327" s="48">
        <f>$F$19</f>
        <v>7100</v>
      </c>
      <c r="G327" s="43">
        <f>G19</f>
        <v>5250</v>
      </c>
      <c r="H327" s="48">
        <f t="shared" si="6"/>
        <v>21584</v>
      </c>
      <c r="I327" s="39"/>
    </row>
    <row r="328" spans="1:9" ht="33.75" outlineLevel="1">
      <c r="A328" s="74"/>
      <c r="B328" s="75" t="s">
        <v>264</v>
      </c>
      <c r="C328" s="75" t="s">
        <v>305</v>
      </c>
      <c r="D328" s="74" t="s">
        <v>31</v>
      </c>
      <c r="E328" s="48">
        <v>291.83</v>
      </c>
      <c r="F328" s="48">
        <v>95</v>
      </c>
      <c r="G328" s="48">
        <v>45</v>
      </c>
      <c r="H328" s="48">
        <f t="shared" si="6"/>
        <v>27723.85</v>
      </c>
      <c r="I328" s="39"/>
    </row>
    <row r="329" spans="1:9" ht="33.75" outlineLevel="1">
      <c r="A329" s="74"/>
      <c r="B329" s="75" t="s">
        <v>264</v>
      </c>
      <c r="C329" s="75" t="s">
        <v>306</v>
      </c>
      <c r="D329" s="74" t="s">
        <v>31</v>
      </c>
      <c r="E329" s="48">
        <v>270.2</v>
      </c>
      <c r="F329" s="48">
        <v>95</v>
      </c>
      <c r="G329" s="48">
        <v>45</v>
      </c>
      <c r="H329" s="48">
        <f t="shared" si="6"/>
        <v>25669</v>
      </c>
      <c r="I329" s="39"/>
    </row>
    <row r="330" spans="1:9" ht="67.5" outlineLevel="1">
      <c r="A330" s="74"/>
      <c r="B330" s="75" t="s">
        <v>222</v>
      </c>
      <c r="C330" s="75" t="s">
        <v>307</v>
      </c>
      <c r="D330" s="74" t="s">
        <v>31</v>
      </c>
      <c r="E330" s="48">
        <v>377.57</v>
      </c>
      <c r="F330" s="48">
        <v>710</v>
      </c>
      <c r="G330" s="48">
        <v>365</v>
      </c>
      <c r="H330" s="48">
        <f t="shared" si="6"/>
        <v>268074.7</v>
      </c>
      <c r="I330" s="39"/>
    </row>
    <row r="331" spans="1:9" ht="67.5" outlineLevel="1">
      <c r="A331" s="74"/>
      <c r="B331" s="75" t="s">
        <v>222</v>
      </c>
      <c r="C331" s="75" t="s">
        <v>308</v>
      </c>
      <c r="D331" s="74" t="s">
        <v>31</v>
      </c>
      <c r="E331" s="48">
        <v>123.6</v>
      </c>
      <c r="F331" s="48">
        <v>710</v>
      </c>
      <c r="G331" s="48">
        <v>365</v>
      </c>
      <c r="H331" s="48">
        <f t="shared" si="6"/>
        <v>87756</v>
      </c>
      <c r="I331" s="39"/>
    </row>
    <row r="332" spans="1:9">
      <c r="A332" s="74" t="s">
        <v>309</v>
      </c>
      <c r="B332" s="75" t="s">
        <v>310</v>
      </c>
      <c r="C332" s="75"/>
      <c r="D332" s="74"/>
      <c r="E332" s="74"/>
      <c r="F332" s="48"/>
      <c r="G332" s="48"/>
      <c r="H332" s="48"/>
      <c r="I332" s="39"/>
    </row>
    <row r="333" spans="1:9" ht="78.75" outlineLevel="1">
      <c r="A333" s="74"/>
      <c r="B333" s="75" t="s">
        <v>311</v>
      </c>
      <c r="C333" s="75" t="s">
        <v>312</v>
      </c>
      <c r="D333" s="74" t="s">
        <v>31</v>
      </c>
      <c r="E333" s="48">
        <f>2.8*3*2</f>
        <v>16.799999999999997</v>
      </c>
      <c r="F333" s="48">
        <v>700</v>
      </c>
      <c r="G333" s="48">
        <v>500</v>
      </c>
      <c r="H333" s="48">
        <f t="shared" si="6"/>
        <v>11759.999999999998</v>
      </c>
      <c r="I333" s="39"/>
    </row>
    <row r="334" spans="1:9" ht="78.75" outlineLevel="1">
      <c r="A334" s="74"/>
      <c r="B334" s="75" t="s">
        <v>313</v>
      </c>
      <c r="C334" s="75" t="s">
        <v>314</v>
      </c>
      <c r="D334" s="74" t="s">
        <v>31</v>
      </c>
      <c r="E334" s="74">
        <f>2.8*6.2</f>
        <v>17.36</v>
      </c>
      <c r="F334" s="48">
        <v>1600</v>
      </c>
      <c r="G334" s="48">
        <v>1100</v>
      </c>
      <c r="H334" s="48">
        <f t="shared" si="6"/>
        <v>27776</v>
      </c>
      <c r="I334" s="39"/>
    </row>
    <row r="335" spans="1:9" ht="78.75" outlineLevel="1">
      <c r="A335" s="74"/>
      <c r="B335" s="75" t="s">
        <v>315</v>
      </c>
      <c r="C335" s="75" t="s">
        <v>314</v>
      </c>
      <c r="D335" s="74" t="s">
        <v>31</v>
      </c>
      <c r="E335" s="48">
        <f>2.8*4.105</f>
        <v>11.494</v>
      </c>
      <c r="F335" s="48">
        <v>1600</v>
      </c>
      <c r="G335" s="48">
        <v>1100</v>
      </c>
      <c r="H335" s="48">
        <f t="shared" si="6"/>
        <v>18390.400000000001</v>
      </c>
      <c r="I335" s="39"/>
    </row>
    <row r="336" spans="1:9" ht="22.5">
      <c r="A336" s="38" t="s">
        <v>316</v>
      </c>
      <c r="B336" s="39" t="s">
        <v>317</v>
      </c>
      <c r="C336" s="42"/>
      <c r="D336" s="38"/>
      <c r="E336" s="42"/>
      <c r="F336" s="41"/>
      <c r="G336" s="41"/>
      <c r="H336" s="48"/>
      <c r="I336" s="42"/>
    </row>
    <row r="337" spans="1:9" ht="22.5" outlineLevel="1">
      <c r="A337" s="38">
        <v>1</v>
      </c>
      <c r="B337" s="39" t="s">
        <v>318</v>
      </c>
      <c r="C337" s="42"/>
      <c r="D337" s="38"/>
      <c r="E337" s="40"/>
      <c r="F337" s="41"/>
      <c r="G337" s="41"/>
      <c r="H337" s="48"/>
      <c r="I337" s="42"/>
    </row>
    <row r="338" spans="1:9" ht="45" outlineLevel="2">
      <c r="A338" s="74"/>
      <c r="B338" s="75" t="s">
        <v>319</v>
      </c>
      <c r="C338" s="75" t="s">
        <v>320</v>
      </c>
      <c r="D338" s="74" t="s">
        <v>31</v>
      </c>
      <c r="E338" s="48">
        <f>49.9</f>
        <v>49.9</v>
      </c>
      <c r="F338" s="48">
        <v>220</v>
      </c>
      <c r="G338" s="48">
        <v>180</v>
      </c>
      <c r="H338" s="48">
        <f t="shared" si="6"/>
        <v>10978</v>
      </c>
      <c r="I338" s="39"/>
    </row>
    <row r="339" spans="1:9" ht="24" outlineLevel="2">
      <c r="A339" s="74"/>
      <c r="B339" s="50" t="s">
        <v>239</v>
      </c>
      <c r="C339" s="50" t="s">
        <v>321</v>
      </c>
      <c r="D339" s="51" t="s">
        <v>51</v>
      </c>
      <c r="E339" s="48">
        <v>23.62</v>
      </c>
      <c r="F339" s="48">
        <v>360</v>
      </c>
      <c r="G339" s="48">
        <v>280</v>
      </c>
      <c r="H339" s="48">
        <f t="shared" si="6"/>
        <v>8503.2000000000007</v>
      </c>
      <c r="I339" s="39"/>
    </row>
    <row r="340" spans="1:9" ht="45" outlineLevel="2">
      <c r="A340" s="74"/>
      <c r="B340" s="75" t="s">
        <v>322</v>
      </c>
      <c r="C340" s="75" t="s">
        <v>323</v>
      </c>
      <c r="D340" s="74" t="s">
        <v>45</v>
      </c>
      <c r="E340" s="45">
        <f>(8.82*3+4.5*4)*22.77/1000</f>
        <v>1.0123542000000001</v>
      </c>
      <c r="F340" s="48">
        <v>8709</v>
      </c>
      <c r="G340" s="43">
        <v>6500</v>
      </c>
      <c r="H340" s="48">
        <f t="shared" si="6"/>
        <v>8816.5927277999999</v>
      </c>
      <c r="I340" s="39"/>
    </row>
    <row r="341" spans="1:9" ht="45" outlineLevel="2">
      <c r="A341" s="74"/>
      <c r="B341" s="75" t="s">
        <v>324</v>
      </c>
      <c r="C341" s="75" t="s">
        <v>325</v>
      </c>
      <c r="D341" s="74" t="s">
        <v>45</v>
      </c>
      <c r="E341" s="45">
        <f>4.5*3*14.92/1000</f>
        <v>0.20141999999999999</v>
      </c>
      <c r="F341" s="48">
        <v>8709</v>
      </c>
      <c r="G341" s="43">
        <v>6500</v>
      </c>
      <c r="H341" s="48">
        <f t="shared" si="6"/>
        <v>1754.1667799999998</v>
      </c>
      <c r="I341" s="39"/>
    </row>
    <row r="342" spans="1:9" ht="45" outlineLevel="2">
      <c r="A342" s="74"/>
      <c r="B342" s="75" t="s">
        <v>324</v>
      </c>
      <c r="C342" s="75" t="s">
        <v>326</v>
      </c>
      <c r="D342" s="74" t="s">
        <v>45</v>
      </c>
      <c r="E342" s="45">
        <f>(8.82-0.15*4-0.1*3)*2*4.43/1000</f>
        <v>7.0171200000000003E-2</v>
      </c>
      <c r="F342" s="48">
        <v>8709</v>
      </c>
      <c r="G342" s="43">
        <v>6500</v>
      </c>
      <c r="H342" s="48">
        <f t="shared" si="6"/>
        <v>611.12098079999998</v>
      </c>
      <c r="I342" s="39"/>
    </row>
    <row r="343" spans="1:9" ht="45" outlineLevel="2">
      <c r="A343" s="74"/>
      <c r="B343" s="75" t="s">
        <v>327</v>
      </c>
      <c r="C343" s="75" t="s">
        <v>328</v>
      </c>
      <c r="D343" s="74" t="s">
        <v>45</v>
      </c>
      <c r="E343" s="45">
        <f>1.86*10*22.77/1000</f>
        <v>0.42352200000000007</v>
      </c>
      <c r="F343" s="48">
        <v>8709</v>
      </c>
      <c r="G343" s="43">
        <v>6500</v>
      </c>
      <c r="H343" s="48">
        <f t="shared" si="6"/>
        <v>3688.4530980000004</v>
      </c>
      <c r="I343" s="39"/>
    </row>
    <row r="344" spans="1:9" ht="45" outlineLevel="2">
      <c r="A344" s="74"/>
      <c r="B344" s="75" t="s">
        <v>327</v>
      </c>
      <c r="C344" s="75" t="s">
        <v>329</v>
      </c>
      <c r="D344" s="74" t="s">
        <v>45</v>
      </c>
      <c r="E344" s="45">
        <f>2.01*6*18.84/1000</f>
        <v>0.22721039999999995</v>
      </c>
      <c r="F344" s="48">
        <v>8709</v>
      </c>
      <c r="G344" s="43">
        <v>6500</v>
      </c>
      <c r="H344" s="48">
        <f t="shared" si="6"/>
        <v>1978.7753735999995</v>
      </c>
      <c r="I344" s="39"/>
    </row>
    <row r="345" spans="1:9" ht="22.5" outlineLevel="2">
      <c r="A345" s="74"/>
      <c r="B345" s="75" t="s">
        <v>330</v>
      </c>
      <c r="C345" s="75" t="s">
        <v>331</v>
      </c>
      <c r="D345" s="74" t="s">
        <v>31</v>
      </c>
      <c r="E345" s="48">
        <v>12.66</v>
      </c>
      <c r="F345" s="48">
        <v>75</v>
      </c>
      <c r="G345" s="48">
        <v>40</v>
      </c>
      <c r="H345" s="48">
        <f t="shared" si="6"/>
        <v>949.5</v>
      </c>
      <c r="I345" s="39"/>
    </row>
    <row r="346" spans="1:9" ht="22.5" outlineLevel="1">
      <c r="A346" s="74">
        <v>2</v>
      </c>
      <c r="B346" s="52" t="s">
        <v>332</v>
      </c>
      <c r="C346" s="42"/>
      <c r="D346" s="38"/>
      <c r="E346" s="40"/>
      <c r="F346" s="41"/>
      <c r="G346" s="41"/>
      <c r="H346" s="48"/>
      <c r="I346" s="42"/>
    </row>
    <row r="347" spans="1:9" ht="45" outlineLevel="2">
      <c r="A347" s="74"/>
      <c r="B347" s="75" t="s">
        <v>319</v>
      </c>
      <c r="C347" s="75" t="s">
        <v>320</v>
      </c>
      <c r="D347" s="74" t="s">
        <v>31</v>
      </c>
      <c r="E347" s="48">
        <v>48.8</v>
      </c>
      <c r="F347" s="48">
        <v>220</v>
      </c>
      <c r="G347" s="48">
        <v>180</v>
      </c>
      <c r="H347" s="48">
        <f t="shared" ref="H347:H409" si="7">E347*F347</f>
        <v>10736</v>
      </c>
      <c r="I347" s="39"/>
    </row>
    <row r="348" spans="1:9" ht="24" outlineLevel="2">
      <c r="A348" s="74"/>
      <c r="B348" s="50" t="s">
        <v>239</v>
      </c>
      <c r="C348" s="50" t="s">
        <v>321</v>
      </c>
      <c r="D348" s="51" t="s">
        <v>51</v>
      </c>
      <c r="E348" s="48">
        <v>15.75</v>
      </c>
      <c r="F348" s="48">
        <v>360</v>
      </c>
      <c r="G348" s="48">
        <v>280</v>
      </c>
      <c r="H348" s="48">
        <f t="shared" si="7"/>
        <v>5670</v>
      </c>
      <c r="I348" s="39"/>
    </row>
    <row r="349" spans="1:9" ht="45" outlineLevel="2">
      <c r="A349" s="74"/>
      <c r="B349" s="75" t="s">
        <v>322</v>
      </c>
      <c r="C349" s="75" t="s">
        <v>323</v>
      </c>
      <c r="D349" s="74" t="s">
        <v>45</v>
      </c>
      <c r="E349" s="45">
        <f>(8.85*3+4.5*4)*22.77/1000</f>
        <v>1.0144034999999998</v>
      </c>
      <c r="F349" s="48">
        <v>8709</v>
      </c>
      <c r="G349" s="43">
        <v>6500</v>
      </c>
      <c r="H349" s="48">
        <f t="shared" si="7"/>
        <v>8834.440081499999</v>
      </c>
      <c r="I349" s="39"/>
    </row>
    <row r="350" spans="1:9" ht="45" outlineLevel="2">
      <c r="A350" s="74"/>
      <c r="B350" s="75" t="s">
        <v>324</v>
      </c>
      <c r="C350" s="75" t="s">
        <v>325</v>
      </c>
      <c r="D350" s="74" t="s">
        <v>45</v>
      </c>
      <c r="E350" s="45">
        <f>4.5*3*14.92/1000</f>
        <v>0.20141999999999999</v>
      </c>
      <c r="F350" s="48">
        <v>8709</v>
      </c>
      <c r="G350" s="43">
        <v>6500</v>
      </c>
      <c r="H350" s="48">
        <f t="shared" si="7"/>
        <v>1754.1667799999998</v>
      </c>
      <c r="I350" s="39"/>
    </row>
    <row r="351" spans="1:9" ht="45" outlineLevel="2">
      <c r="A351" s="74"/>
      <c r="B351" s="75" t="s">
        <v>324</v>
      </c>
      <c r="C351" s="75" t="s">
        <v>326</v>
      </c>
      <c r="D351" s="74" t="s">
        <v>45</v>
      </c>
      <c r="E351" s="45">
        <f>(8.85-0.15*4-0.1*3)*2*4.43/1000</f>
        <v>7.0437E-2</v>
      </c>
      <c r="F351" s="48">
        <v>8709</v>
      </c>
      <c r="G351" s="43">
        <v>6500</v>
      </c>
      <c r="H351" s="48">
        <f t="shared" si="7"/>
        <v>613.435833</v>
      </c>
      <c r="I351" s="39"/>
    </row>
    <row r="352" spans="1:9" ht="45" outlineLevel="2">
      <c r="A352" s="74"/>
      <c r="B352" s="75" t="s">
        <v>327</v>
      </c>
      <c r="C352" s="75" t="s">
        <v>328</v>
      </c>
      <c r="D352" s="74" t="s">
        <v>45</v>
      </c>
      <c r="E352" s="45">
        <f>1.86*10*22.77/1000</f>
        <v>0.42352200000000007</v>
      </c>
      <c r="F352" s="48">
        <v>8709</v>
      </c>
      <c r="G352" s="43">
        <v>6500</v>
      </c>
      <c r="H352" s="48">
        <f t="shared" si="7"/>
        <v>3688.4530980000004</v>
      </c>
      <c r="I352" s="39"/>
    </row>
    <row r="353" spans="1:9" ht="45" outlineLevel="2">
      <c r="A353" s="74"/>
      <c r="B353" s="75" t="s">
        <v>327</v>
      </c>
      <c r="C353" s="75" t="s">
        <v>329</v>
      </c>
      <c r="D353" s="74" t="s">
        <v>45</v>
      </c>
      <c r="E353" s="45">
        <f>2.01*9*18.84/1000</f>
        <v>0.34081559999999989</v>
      </c>
      <c r="F353" s="48">
        <v>8709</v>
      </c>
      <c r="G353" s="43">
        <v>6500</v>
      </c>
      <c r="H353" s="48">
        <f t="shared" si="7"/>
        <v>2968.1630603999988</v>
      </c>
      <c r="I353" s="39"/>
    </row>
    <row r="354" spans="1:9" ht="22.5" outlineLevel="2">
      <c r="A354" s="74"/>
      <c r="B354" s="75" t="s">
        <v>330</v>
      </c>
      <c r="C354" s="75" t="s">
        <v>331</v>
      </c>
      <c r="D354" s="74" t="s">
        <v>31</v>
      </c>
      <c r="E354" s="48">
        <v>12.47</v>
      </c>
      <c r="F354" s="48">
        <v>75</v>
      </c>
      <c r="G354" s="48">
        <v>40</v>
      </c>
      <c r="H354" s="48">
        <f t="shared" si="7"/>
        <v>935.25</v>
      </c>
      <c r="I354" s="39"/>
    </row>
    <row r="355" spans="1:9" ht="22.5" outlineLevel="1">
      <c r="A355" s="74">
        <v>3</v>
      </c>
      <c r="B355" s="52" t="s">
        <v>333</v>
      </c>
      <c r="C355" s="42"/>
      <c r="D355" s="38"/>
      <c r="E355" s="40"/>
      <c r="F355" s="41"/>
      <c r="G355" s="41"/>
      <c r="H355" s="48"/>
      <c r="I355" s="42"/>
    </row>
    <row r="356" spans="1:9" ht="45" outlineLevel="2">
      <c r="A356" s="74"/>
      <c r="B356" s="75" t="s">
        <v>319</v>
      </c>
      <c r="C356" s="75" t="s">
        <v>320</v>
      </c>
      <c r="D356" s="74" t="s">
        <v>31</v>
      </c>
      <c r="E356" s="48">
        <v>48.38</v>
      </c>
      <c r="F356" s="48">
        <v>220</v>
      </c>
      <c r="G356" s="48">
        <v>180</v>
      </c>
      <c r="H356" s="48">
        <f t="shared" si="7"/>
        <v>10643.6</v>
      </c>
      <c r="I356" s="39"/>
    </row>
    <row r="357" spans="1:9" ht="24" outlineLevel="2">
      <c r="A357" s="74"/>
      <c r="B357" s="50" t="s">
        <v>239</v>
      </c>
      <c r="C357" s="50" t="s">
        <v>321</v>
      </c>
      <c r="D357" s="51" t="s">
        <v>51</v>
      </c>
      <c r="E357" s="53">
        <v>22.58</v>
      </c>
      <c r="F357" s="48">
        <v>360</v>
      </c>
      <c r="G357" s="48">
        <v>280</v>
      </c>
      <c r="H357" s="48">
        <f t="shared" si="7"/>
        <v>8128.7999999999993</v>
      </c>
      <c r="I357" s="39"/>
    </row>
    <row r="358" spans="1:9" ht="45" outlineLevel="2">
      <c r="A358" s="74"/>
      <c r="B358" s="75" t="s">
        <v>322</v>
      </c>
      <c r="C358" s="75" t="s">
        <v>323</v>
      </c>
      <c r="D358" s="74" t="s">
        <v>45</v>
      </c>
      <c r="E358" s="45">
        <f>(9.3*2+4.5*5)*22.77/1000</f>
        <v>0.93584699999999998</v>
      </c>
      <c r="F358" s="48">
        <v>8709</v>
      </c>
      <c r="G358" s="43">
        <v>6500</v>
      </c>
      <c r="H358" s="48">
        <f t="shared" si="7"/>
        <v>8150.2915229999999</v>
      </c>
      <c r="I358" s="39"/>
    </row>
    <row r="359" spans="1:9" ht="45" outlineLevel="2">
      <c r="A359" s="74"/>
      <c r="B359" s="75" t="s">
        <v>324</v>
      </c>
      <c r="C359" s="75" t="s">
        <v>325</v>
      </c>
      <c r="D359" s="74" t="s">
        <v>45</v>
      </c>
      <c r="E359" s="45">
        <f>(4.5*3+2.25)*14.92/1000</f>
        <v>0.23499</v>
      </c>
      <c r="F359" s="48">
        <v>8709</v>
      </c>
      <c r="G359" s="43">
        <v>6500</v>
      </c>
      <c r="H359" s="48">
        <f t="shared" si="7"/>
        <v>2046.52791</v>
      </c>
      <c r="I359" s="39"/>
    </row>
    <row r="360" spans="1:9" ht="45" outlineLevel="2">
      <c r="A360" s="74"/>
      <c r="B360" s="75" t="s">
        <v>324</v>
      </c>
      <c r="C360" s="75" t="s">
        <v>326</v>
      </c>
      <c r="D360" s="74" t="s">
        <v>45</v>
      </c>
      <c r="E360" s="45">
        <f>(8.05-0.15*4-0.1*3+9.3-0.15*5-0.1*4)*4.43/1000</f>
        <v>6.7779000000000006E-2</v>
      </c>
      <c r="F360" s="48">
        <v>8709</v>
      </c>
      <c r="G360" s="43">
        <v>6500</v>
      </c>
      <c r="H360" s="48">
        <f t="shared" si="7"/>
        <v>590.28731100000005</v>
      </c>
      <c r="I360" s="39"/>
    </row>
    <row r="361" spans="1:9" ht="45" outlineLevel="2">
      <c r="A361" s="74"/>
      <c r="B361" s="75" t="s">
        <v>327</v>
      </c>
      <c r="C361" s="75" t="s">
        <v>328</v>
      </c>
      <c r="D361" s="74" t="s">
        <v>45</v>
      </c>
      <c r="E361" s="45">
        <f>1.86*8*22.77/1000</f>
        <v>0.33881760000000005</v>
      </c>
      <c r="F361" s="48">
        <v>8709</v>
      </c>
      <c r="G361" s="43">
        <v>6500</v>
      </c>
      <c r="H361" s="48">
        <f t="shared" si="7"/>
        <v>2950.7624784000004</v>
      </c>
      <c r="I361" s="39"/>
    </row>
    <row r="362" spans="1:9" ht="45" outlineLevel="2">
      <c r="A362" s="74"/>
      <c r="B362" s="75" t="s">
        <v>327</v>
      </c>
      <c r="C362" s="75" t="s">
        <v>329</v>
      </c>
      <c r="D362" s="74" t="s">
        <v>45</v>
      </c>
      <c r="E362" s="45">
        <f>(2.01*6+0.36*2)*18.84/1000</f>
        <v>0.24077519999999999</v>
      </c>
      <c r="F362" s="48">
        <v>8709</v>
      </c>
      <c r="G362" s="43">
        <v>6500</v>
      </c>
      <c r="H362" s="48">
        <f t="shared" si="7"/>
        <v>2096.9112168000001</v>
      </c>
      <c r="I362" s="39"/>
    </row>
    <row r="363" spans="1:9" ht="22.5" outlineLevel="2">
      <c r="A363" s="74"/>
      <c r="B363" s="75" t="s">
        <v>330</v>
      </c>
      <c r="C363" s="75" t="s">
        <v>331</v>
      </c>
      <c r="D363" s="74" t="s">
        <v>31</v>
      </c>
      <c r="E363" s="48">
        <v>10.06</v>
      </c>
      <c r="F363" s="48">
        <v>75</v>
      </c>
      <c r="G363" s="48">
        <v>40</v>
      </c>
      <c r="H363" s="48">
        <f t="shared" si="7"/>
        <v>754.5</v>
      </c>
      <c r="I363" s="39"/>
    </row>
    <row r="364" spans="1:9" ht="22.5" outlineLevel="1">
      <c r="A364" s="74">
        <v>4</v>
      </c>
      <c r="B364" s="52" t="s">
        <v>334</v>
      </c>
      <c r="C364" s="42"/>
      <c r="D364" s="38"/>
      <c r="E364" s="40"/>
      <c r="F364" s="41"/>
      <c r="G364" s="41"/>
      <c r="H364" s="48"/>
      <c r="I364" s="42"/>
    </row>
    <row r="365" spans="1:9" ht="45" outlineLevel="2">
      <c r="A365" s="74"/>
      <c r="B365" s="75" t="s">
        <v>319</v>
      </c>
      <c r="C365" s="75" t="s">
        <v>320</v>
      </c>
      <c r="D365" s="74" t="s">
        <v>31</v>
      </c>
      <c r="E365" s="48">
        <v>45.63</v>
      </c>
      <c r="F365" s="48">
        <v>220</v>
      </c>
      <c r="G365" s="48">
        <v>180</v>
      </c>
      <c r="H365" s="48">
        <f t="shared" si="7"/>
        <v>10038.6</v>
      </c>
      <c r="I365" s="39"/>
    </row>
    <row r="366" spans="1:9" ht="24" outlineLevel="2">
      <c r="A366" s="74"/>
      <c r="B366" s="50" t="s">
        <v>239</v>
      </c>
      <c r="C366" s="50" t="s">
        <v>321</v>
      </c>
      <c r="D366" s="51" t="s">
        <v>51</v>
      </c>
      <c r="E366" s="48">
        <v>19.13</v>
      </c>
      <c r="F366" s="48">
        <v>360</v>
      </c>
      <c r="G366" s="48">
        <v>280</v>
      </c>
      <c r="H366" s="48">
        <f t="shared" si="7"/>
        <v>6886.7999999999993</v>
      </c>
      <c r="I366" s="39"/>
    </row>
    <row r="367" spans="1:9" ht="45" outlineLevel="2">
      <c r="A367" s="74"/>
      <c r="B367" s="75" t="s">
        <v>322</v>
      </c>
      <c r="C367" s="75" t="s">
        <v>323</v>
      </c>
      <c r="D367" s="74" t="s">
        <v>45</v>
      </c>
      <c r="E367" s="45">
        <f>(21.375+2.225*7)*22.77/1000</f>
        <v>0.84135150000000014</v>
      </c>
      <c r="F367" s="48">
        <v>8709</v>
      </c>
      <c r="G367" s="43">
        <v>6500</v>
      </c>
      <c r="H367" s="48">
        <f t="shared" si="7"/>
        <v>7327.3302135000013</v>
      </c>
      <c r="I367" s="39"/>
    </row>
    <row r="368" spans="1:9" ht="45" outlineLevel="2">
      <c r="A368" s="74"/>
      <c r="B368" s="75" t="s">
        <v>324</v>
      </c>
      <c r="C368" s="75" t="s">
        <v>325</v>
      </c>
      <c r="D368" s="74" t="s">
        <v>45</v>
      </c>
      <c r="E368" s="45">
        <f>(2.25*7)*14.92/1000</f>
        <v>0.23499</v>
      </c>
      <c r="F368" s="48">
        <v>8709</v>
      </c>
      <c r="G368" s="43">
        <v>6500</v>
      </c>
      <c r="H368" s="48">
        <f t="shared" si="7"/>
        <v>2046.52791</v>
      </c>
      <c r="I368" s="39"/>
    </row>
    <row r="369" spans="1:9" ht="45" outlineLevel="2">
      <c r="A369" s="74"/>
      <c r="B369" s="75" t="s">
        <v>324</v>
      </c>
      <c r="C369" s="75" t="s">
        <v>326</v>
      </c>
      <c r="D369" s="74" t="s">
        <v>45</v>
      </c>
      <c r="E369" s="45">
        <f>1.075*14*4.43/1000</f>
        <v>6.6671499999999995E-2</v>
      </c>
      <c r="F369" s="48">
        <v>8709</v>
      </c>
      <c r="G369" s="43">
        <v>6500</v>
      </c>
      <c r="H369" s="48">
        <f t="shared" si="7"/>
        <v>580.64209349999999</v>
      </c>
      <c r="I369" s="39"/>
    </row>
    <row r="370" spans="1:9" ht="45" outlineLevel="2">
      <c r="A370" s="74"/>
      <c r="B370" s="75" t="s">
        <v>327</v>
      </c>
      <c r="C370" s="75" t="s">
        <v>328</v>
      </c>
      <c r="D370" s="74" t="s">
        <v>45</v>
      </c>
      <c r="E370" s="45">
        <f>2.16*9*22.77/1000</f>
        <v>0.44264880000000001</v>
      </c>
      <c r="F370" s="48">
        <v>8709</v>
      </c>
      <c r="G370" s="43">
        <v>6500</v>
      </c>
      <c r="H370" s="48">
        <f t="shared" si="7"/>
        <v>3855.0283992</v>
      </c>
      <c r="I370" s="39"/>
    </row>
    <row r="371" spans="1:9" ht="45" outlineLevel="2">
      <c r="A371" s="74"/>
      <c r="B371" s="75" t="s">
        <v>327</v>
      </c>
      <c r="C371" s="75" t="s">
        <v>329</v>
      </c>
      <c r="D371" s="74" t="s">
        <v>45</v>
      </c>
      <c r="E371" s="45">
        <f>2.16*9*18.84/1000</f>
        <v>0.36624960000000006</v>
      </c>
      <c r="F371" s="48">
        <v>8709</v>
      </c>
      <c r="G371" s="43">
        <v>6500</v>
      </c>
      <c r="H371" s="48">
        <f t="shared" si="7"/>
        <v>3189.6677664000003</v>
      </c>
      <c r="I371" s="39"/>
    </row>
    <row r="372" spans="1:9" ht="22.5" outlineLevel="2">
      <c r="A372" s="74"/>
      <c r="B372" s="75" t="s">
        <v>330</v>
      </c>
      <c r="C372" s="75" t="s">
        <v>331</v>
      </c>
      <c r="D372" s="74" t="s">
        <v>31</v>
      </c>
      <c r="E372" s="48">
        <v>8.98</v>
      </c>
      <c r="F372" s="48">
        <v>75</v>
      </c>
      <c r="G372" s="48">
        <v>40</v>
      </c>
      <c r="H372" s="48">
        <f t="shared" si="7"/>
        <v>673.5</v>
      </c>
      <c r="I372" s="39"/>
    </row>
    <row r="373" spans="1:9" ht="22.5" outlineLevel="1" collapsed="1">
      <c r="A373" s="74">
        <v>5</v>
      </c>
      <c r="B373" s="52" t="s">
        <v>335</v>
      </c>
      <c r="C373" s="42"/>
      <c r="D373" s="38"/>
      <c r="E373" s="40"/>
      <c r="F373" s="41"/>
      <c r="G373" s="41"/>
      <c r="H373" s="48"/>
      <c r="I373" s="42"/>
    </row>
    <row r="374" spans="1:9" ht="45" outlineLevel="1">
      <c r="A374" s="74"/>
      <c r="B374" s="75" t="s">
        <v>319</v>
      </c>
      <c r="C374" s="75" t="s">
        <v>320</v>
      </c>
      <c r="D374" s="74" t="s">
        <v>31</v>
      </c>
      <c r="E374" s="48">
        <v>50.35</v>
      </c>
      <c r="F374" s="48">
        <v>220</v>
      </c>
      <c r="G374" s="48">
        <v>180</v>
      </c>
      <c r="H374" s="48">
        <f t="shared" si="7"/>
        <v>11077</v>
      </c>
      <c r="I374" s="39"/>
    </row>
    <row r="375" spans="1:9" ht="24" outlineLevel="1">
      <c r="A375" s="74"/>
      <c r="B375" s="50" t="s">
        <v>239</v>
      </c>
      <c r="C375" s="50" t="s">
        <v>321</v>
      </c>
      <c r="D375" s="51" t="s">
        <v>51</v>
      </c>
      <c r="E375" s="48">
        <v>23.15</v>
      </c>
      <c r="F375" s="48">
        <v>360</v>
      </c>
      <c r="G375" s="48">
        <v>280</v>
      </c>
      <c r="H375" s="48">
        <f t="shared" si="7"/>
        <v>8334</v>
      </c>
      <c r="I375" s="39"/>
    </row>
    <row r="376" spans="1:9" ht="45" outlineLevel="1">
      <c r="A376" s="74"/>
      <c r="B376" s="75" t="s">
        <v>322</v>
      </c>
      <c r="C376" s="75" t="s">
        <v>323</v>
      </c>
      <c r="D376" s="74" t="s">
        <v>45</v>
      </c>
      <c r="E376" s="45">
        <f>(9.25*2+8.05+2.25+4.5*4)*22.77/1000</f>
        <v>1.065636</v>
      </c>
      <c r="F376" s="48">
        <v>8709</v>
      </c>
      <c r="G376" s="43">
        <v>6500</v>
      </c>
      <c r="H376" s="48">
        <f t="shared" si="7"/>
        <v>9280.6239239999995</v>
      </c>
      <c r="I376" s="39"/>
    </row>
    <row r="377" spans="1:9" ht="45" outlineLevel="1">
      <c r="A377" s="74"/>
      <c r="B377" s="75" t="s">
        <v>324</v>
      </c>
      <c r="C377" s="75" t="s">
        <v>325</v>
      </c>
      <c r="D377" s="74" t="s">
        <v>45</v>
      </c>
      <c r="E377" s="45">
        <f>4.5*3*14.92/1000</f>
        <v>0.20141999999999999</v>
      </c>
      <c r="F377" s="48">
        <v>8709</v>
      </c>
      <c r="G377" s="43">
        <v>6500</v>
      </c>
      <c r="H377" s="48">
        <f t="shared" si="7"/>
        <v>1754.1667799999998</v>
      </c>
      <c r="I377" s="39"/>
    </row>
    <row r="378" spans="1:9" ht="45" outlineLevel="1">
      <c r="A378" s="74"/>
      <c r="B378" s="75" t="s">
        <v>324</v>
      </c>
      <c r="C378" s="75" t="s">
        <v>326</v>
      </c>
      <c r="D378" s="74" t="s">
        <v>45</v>
      </c>
      <c r="E378" s="45">
        <f>(9.25+8.05-0.15*9-0.1*6)*4.43/1000</f>
        <v>6.8000500000000005E-2</v>
      </c>
      <c r="F378" s="48">
        <v>8709</v>
      </c>
      <c r="G378" s="43">
        <v>6500</v>
      </c>
      <c r="H378" s="48">
        <f t="shared" si="7"/>
        <v>592.21635450000008</v>
      </c>
      <c r="I378" s="39"/>
    </row>
    <row r="379" spans="1:9" ht="45" outlineLevel="1">
      <c r="A379" s="74"/>
      <c r="B379" s="75" t="s">
        <v>327</v>
      </c>
      <c r="C379" s="75" t="s">
        <v>328</v>
      </c>
      <c r="D379" s="74" t="s">
        <v>45</v>
      </c>
      <c r="E379" s="45">
        <f>1.3*14*22.77/1000</f>
        <v>0.414414</v>
      </c>
      <c r="F379" s="48">
        <v>8709</v>
      </c>
      <c r="G379" s="43">
        <v>6500</v>
      </c>
      <c r="H379" s="48">
        <f t="shared" si="7"/>
        <v>3609.1315260000001</v>
      </c>
      <c r="I379" s="39"/>
    </row>
    <row r="380" spans="1:9" ht="45" outlineLevel="1">
      <c r="A380" s="74"/>
      <c r="B380" s="75" t="s">
        <v>327</v>
      </c>
      <c r="C380" s="75" t="s">
        <v>329</v>
      </c>
      <c r="D380" s="74" t="s">
        <v>45</v>
      </c>
      <c r="E380" s="45">
        <f>1.3*7*18.84/1000</f>
        <v>0.17144399999999999</v>
      </c>
      <c r="F380" s="48">
        <v>8709</v>
      </c>
      <c r="G380" s="43">
        <v>6500</v>
      </c>
      <c r="H380" s="48">
        <f t="shared" si="7"/>
        <v>1493.1057959999998</v>
      </c>
      <c r="I380" s="39"/>
    </row>
    <row r="381" spans="1:9" ht="22.5" outlineLevel="1">
      <c r="A381" s="74"/>
      <c r="B381" s="75" t="s">
        <v>330</v>
      </c>
      <c r="C381" s="75" t="s">
        <v>331</v>
      </c>
      <c r="D381" s="74" t="s">
        <v>31</v>
      </c>
      <c r="E381" s="48">
        <v>33.32</v>
      </c>
      <c r="F381" s="48">
        <v>75</v>
      </c>
      <c r="G381" s="48">
        <v>40</v>
      </c>
      <c r="H381" s="48">
        <f t="shared" si="7"/>
        <v>2499</v>
      </c>
      <c r="I381" s="39"/>
    </row>
    <row r="382" spans="1:9">
      <c r="A382" s="38" t="s">
        <v>336</v>
      </c>
      <c r="B382" s="52" t="s">
        <v>337</v>
      </c>
      <c r="C382" s="42"/>
      <c r="D382" s="38"/>
      <c r="E382" s="42"/>
      <c r="F382" s="41"/>
      <c r="G382" s="41"/>
      <c r="H382" s="48"/>
      <c r="I382" s="42"/>
    </row>
    <row r="383" spans="1:9" outlineLevel="1">
      <c r="A383" s="74">
        <v>1</v>
      </c>
      <c r="B383" s="52" t="s">
        <v>338</v>
      </c>
      <c r="C383" s="42"/>
      <c r="D383" s="38"/>
      <c r="E383" s="40"/>
      <c r="F383" s="41"/>
      <c r="G383" s="41"/>
      <c r="H383" s="48"/>
      <c r="I383" s="42"/>
    </row>
    <row r="384" spans="1:9" ht="45" outlineLevel="2">
      <c r="A384" s="74"/>
      <c r="B384" s="75" t="s">
        <v>319</v>
      </c>
      <c r="C384" s="75" t="s">
        <v>320</v>
      </c>
      <c r="D384" s="74" t="s">
        <v>31</v>
      </c>
      <c r="E384" s="48">
        <v>12.69</v>
      </c>
      <c r="F384" s="48">
        <v>220</v>
      </c>
      <c r="G384" s="48">
        <v>180</v>
      </c>
      <c r="H384" s="48">
        <f t="shared" si="7"/>
        <v>2791.7999999999997</v>
      </c>
      <c r="I384" s="39"/>
    </row>
    <row r="385" spans="1:9" ht="24" outlineLevel="2">
      <c r="A385" s="74"/>
      <c r="B385" s="50" t="s">
        <v>239</v>
      </c>
      <c r="C385" s="50" t="s">
        <v>321</v>
      </c>
      <c r="D385" s="51" t="s">
        <v>51</v>
      </c>
      <c r="E385" s="48">
        <v>6.12</v>
      </c>
      <c r="F385" s="48">
        <v>360</v>
      </c>
      <c r="G385" s="48">
        <v>280</v>
      </c>
      <c r="H385" s="48">
        <f t="shared" si="7"/>
        <v>2203.1999999999998</v>
      </c>
      <c r="I385" s="39"/>
    </row>
    <row r="386" spans="1:9" ht="45" outlineLevel="2">
      <c r="A386" s="74"/>
      <c r="B386" s="75" t="s">
        <v>322</v>
      </c>
      <c r="C386" s="75" t="s">
        <v>323</v>
      </c>
      <c r="D386" s="74" t="s">
        <v>45</v>
      </c>
      <c r="E386" s="45">
        <f>(2.7*2+3.8)*22.77/1000</f>
        <v>0.20948399999999998</v>
      </c>
      <c r="F386" s="48">
        <v>8709</v>
      </c>
      <c r="G386" s="43">
        <v>6500</v>
      </c>
      <c r="H386" s="48">
        <f t="shared" si="7"/>
        <v>1824.3961559999998</v>
      </c>
      <c r="I386" s="39"/>
    </row>
    <row r="387" spans="1:9" ht="45" outlineLevel="2">
      <c r="A387" s="74"/>
      <c r="B387" s="75" t="s">
        <v>324</v>
      </c>
      <c r="C387" s="75" t="s">
        <v>325</v>
      </c>
      <c r="D387" s="74" t="s">
        <v>45</v>
      </c>
      <c r="E387" s="45">
        <f>2.7*2*14.92/1000</f>
        <v>8.0568000000000001E-2</v>
      </c>
      <c r="F387" s="48">
        <v>8709</v>
      </c>
      <c r="G387" s="43">
        <v>6500</v>
      </c>
      <c r="H387" s="48">
        <f t="shared" si="7"/>
        <v>701.66671199999996</v>
      </c>
      <c r="I387" s="39"/>
    </row>
    <row r="388" spans="1:9" ht="45" outlineLevel="2">
      <c r="A388" s="74"/>
      <c r="B388" s="75" t="s">
        <v>324</v>
      </c>
      <c r="C388" s="75" t="s">
        <v>326</v>
      </c>
      <c r="D388" s="74" t="s">
        <v>45</v>
      </c>
      <c r="E388" s="45">
        <f>(1.075+1.4+0.975)*4.43/1000</f>
        <v>1.5283499999999998E-2</v>
      </c>
      <c r="F388" s="48">
        <v>8709</v>
      </c>
      <c r="G388" s="43">
        <v>6500</v>
      </c>
      <c r="H388" s="48">
        <f t="shared" si="7"/>
        <v>133.10400149999998</v>
      </c>
      <c r="I388" s="39"/>
    </row>
    <row r="389" spans="1:9" ht="45" outlineLevel="2">
      <c r="A389" s="74"/>
      <c r="B389" s="75" t="s">
        <v>327</v>
      </c>
      <c r="C389" s="75" t="s">
        <v>328</v>
      </c>
      <c r="D389" s="74" t="s">
        <v>45</v>
      </c>
      <c r="E389" s="45">
        <f>1.96*2*22.77/1000</f>
        <v>8.9258399999999988E-2</v>
      </c>
      <c r="F389" s="48">
        <v>8709</v>
      </c>
      <c r="G389" s="43">
        <v>6500</v>
      </c>
      <c r="H389" s="48">
        <f t="shared" si="7"/>
        <v>777.35140559999991</v>
      </c>
      <c r="I389" s="39"/>
    </row>
    <row r="390" spans="1:9" ht="45" outlineLevel="2">
      <c r="A390" s="74"/>
      <c r="B390" s="75" t="s">
        <v>327</v>
      </c>
      <c r="C390" s="75" t="s">
        <v>329</v>
      </c>
      <c r="D390" s="74" t="s">
        <v>45</v>
      </c>
      <c r="E390" s="45">
        <f>1.96*3*18.84/1000</f>
        <v>0.11077920000000001</v>
      </c>
      <c r="F390" s="48">
        <v>8709</v>
      </c>
      <c r="G390" s="43">
        <v>6500</v>
      </c>
      <c r="H390" s="48">
        <f t="shared" si="7"/>
        <v>964.77605280000012</v>
      </c>
      <c r="I390" s="39"/>
    </row>
    <row r="391" spans="1:9" ht="22.5" outlineLevel="2">
      <c r="A391" s="74"/>
      <c r="B391" s="75" t="s">
        <v>330</v>
      </c>
      <c r="C391" s="75" t="s">
        <v>331</v>
      </c>
      <c r="D391" s="74" t="s">
        <v>31</v>
      </c>
      <c r="E391" s="48">
        <v>4.84</v>
      </c>
      <c r="F391" s="48">
        <v>75</v>
      </c>
      <c r="G391" s="48">
        <v>40</v>
      </c>
      <c r="H391" s="48">
        <f t="shared" si="7"/>
        <v>363</v>
      </c>
      <c r="I391" s="39"/>
    </row>
    <row r="392" spans="1:9" outlineLevel="1">
      <c r="A392" s="74">
        <v>2</v>
      </c>
      <c r="B392" s="52" t="s">
        <v>339</v>
      </c>
      <c r="C392" s="42"/>
      <c r="D392" s="38"/>
      <c r="E392" s="40"/>
      <c r="F392" s="41"/>
      <c r="G392" s="41"/>
      <c r="H392" s="48"/>
      <c r="I392" s="42"/>
    </row>
    <row r="393" spans="1:9" ht="45" outlineLevel="2">
      <c r="A393" s="74"/>
      <c r="B393" s="75" t="s">
        <v>319</v>
      </c>
      <c r="C393" s="75" t="s">
        <v>320</v>
      </c>
      <c r="D393" s="74" t="s">
        <v>31</v>
      </c>
      <c r="E393" s="48">
        <v>16.25</v>
      </c>
      <c r="F393" s="48">
        <v>220</v>
      </c>
      <c r="G393" s="48">
        <v>180</v>
      </c>
      <c r="H393" s="48">
        <f t="shared" si="7"/>
        <v>3575</v>
      </c>
      <c r="I393" s="39"/>
    </row>
    <row r="394" spans="1:9" ht="24" outlineLevel="2">
      <c r="A394" s="74"/>
      <c r="B394" s="50" t="s">
        <v>239</v>
      </c>
      <c r="C394" s="50" t="s">
        <v>321</v>
      </c>
      <c r="D394" s="51" t="s">
        <v>51</v>
      </c>
      <c r="E394" s="48">
        <v>5.17</v>
      </c>
      <c r="F394" s="48">
        <v>360</v>
      </c>
      <c r="G394" s="48">
        <v>280</v>
      </c>
      <c r="H394" s="48">
        <f t="shared" si="7"/>
        <v>1861.2</v>
      </c>
      <c r="I394" s="39"/>
    </row>
    <row r="395" spans="1:9" ht="45" outlineLevel="2">
      <c r="A395" s="74"/>
      <c r="B395" s="75" t="s">
        <v>322</v>
      </c>
      <c r="C395" s="75" t="s">
        <v>323</v>
      </c>
      <c r="D395" s="74" t="s">
        <v>45</v>
      </c>
      <c r="E395" s="45">
        <f>(5.39+3.5+1.89+2.36+2.54*2)*22.77/1000</f>
        <v>0.4148694</v>
      </c>
      <c r="F395" s="48">
        <v>8709</v>
      </c>
      <c r="G395" s="43">
        <v>6500</v>
      </c>
      <c r="H395" s="48">
        <f t="shared" si="7"/>
        <v>3613.0976046000001</v>
      </c>
      <c r="I395" s="39"/>
    </row>
    <row r="396" spans="1:9" ht="45" outlineLevel="2">
      <c r="A396" s="74"/>
      <c r="B396" s="75" t="s">
        <v>324</v>
      </c>
      <c r="C396" s="75" t="s">
        <v>325</v>
      </c>
      <c r="D396" s="74" t="s">
        <v>45</v>
      </c>
      <c r="E396" s="45">
        <f>(2.36*2+2.54)*14.92/1000</f>
        <v>0.10831919999999999</v>
      </c>
      <c r="F396" s="48">
        <v>8709</v>
      </c>
      <c r="G396" s="43">
        <v>6500</v>
      </c>
      <c r="H396" s="48">
        <f t="shared" si="7"/>
        <v>943.35191279999992</v>
      </c>
      <c r="I396" s="39"/>
    </row>
    <row r="397" spans="1:9" ht="45" outlineLevel="2">
      <c r="A397" s="74"/>
      <c r="B397" s="75" t="s">
        <v>324</v>
      </c>
      <c r="C397" s="75" t="s">
        <v>326</v>
      </c>
      <c r="D397" s="74" t="s">
        <v>45</v>
      </c>
      <c r="E397" s="45">
        <f>(0.975+1.1+1.075+0.715+0.775)*4.43/1000</f>
        <v>2.0555200000000003E-2</v>
      </c>
      <c r="F397" s="48">
        <v>8709</v>
      </c>
      <c r="G397" s="43">
        <v>6500</v>
      </c>
      <c r="H397" s="48">
        <f t="shared" si="7"/>
        <v>179.01523680000003</v>
      </c>
      <c r="I397" s="39"/>
    </row>
    <row r="398" spans="1:9" ht="45" outlineLevel="2">
      <c r="A398" s="74"/>
      <c r="B398" s="75" t="s">
        <v>327</v>
      </c>
      <c r="C398" s="75" t="s">
        <v>328</v>
      </c>
      <c r="D398" s="74" t="s">
        <v>45</v>
      </c>
      <c r="E398" s="45">
        <f>1.71*5*22.77/1000</f>
        <v>0.19468350000000001</v>
      </c>
      <c r="F398" s="48">
        <v>8709</v>
      </c>
      <c r="G398" s="43">
        <v>6500</v>
      </c>
      <c r="H398" s="48">
        <f t="shared" si="7"/>
        <v>1695.4986015000002</v>
      </c>
      <c r="I398" s="39"/>
    </row>
    <row r="399" spans="1:9" ht="45" outlineLevel="2">
      <c r="A399" s="74"/>
      <c r="B399" s="75" t="s">
        <v>327</v>
      </c>
      <c r="C399" s="75" t="s">
        <v>329</v>
      </c>
      <c r="D399" s="74" t="s">
        <v>45</v>
      </c>
      <c r="E399" s="45">
        <f>1.71*2*18.84/1000</f>
        <v>6.4432799999999998E-2</v>
      </c>
      <c r="F399" s="48">
        <v>8709</v>
      </c>
      <c r="G399" s="43">
        <v>6500</v>
      </c>
      <c r="H399" s="48">
        <f t="shared" si="7"/>
        <v>561.14525519999995</v>
      </c>
      <c r="I399" s="39"/>
    </row>
    <row r="400" spans="1:9" ht="22.5" outlineLevel="2">
      <c r="A400" s="74"/>
      <c r="B400" s="75" t="s">
        <v>330</v>
      </c>
      <c r="C400" s="75" t="s">
        <v>331</v>
      </c>
      <c r="D400" s="74" t="s">
        <v>31</v>
      </c>
      <c r="E400" s="48">
        <v>4.8099999999999996</v>
      </c>
      <c r="F400" s="48">
        <v>75</v>
      </c>
      <c r="G400" s="48">
        <v>40</v>
      </c>
      <c r="H400" s="48">
        <f t="shared" si="7"/>
        <v>360.74999999999994</v>
      </c>
      <c r="I400" s="39"/>
    </row>
    <row r="401" spans="1:9" outlineLevel="1" collapsed="1">
      <c r="A401" s="74">
        <v>3</v>
      </c>
      <c r="B401" s="52" t="s">
        <v>340</v>
      </c>
      <c r="C401" s="42"/>
      <c r="D401" s="38"/>
      <c r="E401" s="40"/>
      <c r="F401" s="41"/>
      <c r="G401" s="41"/>
      <c r="H401" s="48"/>
      <c r="I401" s="42"/>
    </row>
    <row r="402" spans="1:9" ht="45" outlineLevel="1">
      <c r="A402" s="74"/>
      <c r="B402" s="75" t="s">
        <v>319</v>
      </c>
      <c r="C402" s="75" t="s">
        <v>320</v>
      </c>
      <c r="D402" s="74" t="s">
        <v>31</v>
      </c>
      <c r="E402" s="48">
        <v>64.260000000000005</v>
      </c>
      <c r="F402" s="48">
        <v>220</v>
      </c>
      <c r="G402" s="48">
        <v>180</v>
      </c>
      <c r="H402" s="48">
        <f t="shared" si="7"/>
        <v>14137.2</v>
      </c>
      <c r="I402" s="39"/>
    </row>
    <row r="403" spans="1:9" ht="24" outlineLevel="1">
      <c r="A403" s="74"/>
      <c r="B403" s="50" t="s">
        <v>239</v>
      </c>
      <c r="C403" s="50" t="s">
        <v>321</v>
      </c>
      <c r="D403" s="51" t="s">
        <v>51</v>
      </c>
      <c r="E403" s="48">
        <v>25.68</v>
      </c>
      <c r="F403" s="48">
        <v>360</v>
      </c>
      <c r="G403" s="48">
        <v>280</v>
      </c>
      <c r="H403" s="48">
        <f t="shared" si="7"/>
        <v>9244.7999999999993</v>
      </c>
      <c r="I403" s="39"/>
    </row>
    <row r="404" spans="1:9" ht="45" outlineLevel="1">
      <c r="A404" s="74"/>
      <c r="B404" s="75" t="s">
        <v>322</v>
      </c>
      <c r="C404" s="75" t="s">
        <v>323</v>
      </c>
      <c r="D404" s="74" t="s">
        <v>45</v>
      </c>
      <c r="E404" s="45">
        <f>(9.175*2+4.65*4+3.865*2+2.65*2)*22.77/1000</f>
        <v>1.1380446000000002</v>
      </c>
      <c r="F404" s="48">
        <v>8709</v>
      </c>
      <c r="G404" s="43">
        <v>6500</v>
      </c>
      <c r="H404" s="48">
        <f t="shared" si="7"/>
        <v>9911.2304214000014</v>
      </c>
      <c r="I404" s="39"/>
    </row>
    <row r="405" spans="1:9" ht="45" outlineLevel="1">
      <c r="A405" s="74"/>
      <c r="B405" s="75" t="s">
        <v>324</v>
      </c>
      <c r="C405" s="75" t="s">
        <v>325</v>
      </c>
      <c r="D405" s="74" t="s">
        <v>45</v>
      </c>
      <c r="E405" s="45">
        <f>(4.65*3+2.65)*14.92/1000</f>
        <v>0.24767200000000003</v>
      </c>
      <c r="F405" s="48">
        <v>8709</v>
      </c>
      <c r="G405" s="43">
        <v>6500</v>
      </c>
      <c r="H405" s="48">
        <f t="shared" si="7"/>
        <v>2156.9754480000001</v>
      </c>
      <c r="I405" s="39"/>
    </row>
    <row r="406" spans="1:9" ht="45" outlineLevel="1">
      <c r="A406" s="74"/>
      <c r="B406" s="75" t="s">
        <v>324</v>
      </c>
      <c r="C406" s="75" t="s">
        <v>326</v>
      </c>
      <c r="D406" s="74" t="s">
        <v>45</v>
      </c>
      <c r="E406" s="45">
        <f>(8.575-0.1*3-0.15*2)*2*4.43/1000</f>
        <v>7.0658499999999985E-2</v>
      </c>
      <c r="F406" s="48">
        <v>8709</v>
      </c>
      <c r="G406" s="43">
        <v>6500</v>
      </c>
      <c r="H406" s="48">
        <f t="shared" si="7"/>
        <v>615.36487649999992</v>
      </c>
      <c r="I406" s="39"/>
    </row>
    <row r="407" spans="1:9" ht="45" outlineLevel="1">
      <c r="A407" s="74"/>
      <c r="B407" s="75" t="s">
        <v>327</v>
      </c>
      <c r="C407" s="75" t="s">
        <v>328</v>
      </c>
      <c r="D407" s="74" t="s">
        <v>45</v>
      </c>
      <c r="E407" s="45">
        <f>2.08*12*22.77/1000</f>
        <v>0.56833920000000004</v>
      </c>
      <c r="F407" s="48">
        <v>8709</v>
      </c>
      <c r="G407" s="43">
        <v>6500</v>
      </c>
      <c r="H407" s="48">
        <f t="shared" si="7"/>
        <v>4949.6660928000001</v>
      </c>
      <c r="I407" s="39"/>
    </row>
    <row r="408" spans="1:9" ht="45" outlineLevel="1">
      <c r="A408" s="74"/>
      <c r="B408" s="75" t="s">
        <v>327</v>
      </c>
      <c r="C408" s="75" t="s">
        <v>329</v>
      </c>
      <c r="D408" s="74" t="s">
        <v>45</v>
      </c>
      <c r="E408" s="45">
        <f>2.08*8*18.84/1000</f>
        <v>0.31349760000000004</v>
      </c>
      <c r="F408" s="48">
        <v>8709</v>
      </c>
      <c r="G408" s="43">
        <v>6500</v>
      </c>
      <c r="H408" s="48">
        <f t="shared" si="7"/>
        <v>2730.2505984000004</v>
      </c>
      <c r="I408" s="39"/>
    </row>
    <row r="409" spans="1:9" ht="22.5" outlineLevel="1">
      <c r="A409" s="74"/>
      <c r="B409" s="75" t="s">
        <v>330</v>
      </c>
      <c r="C409" s="75" t="s">
        <v>331</v>
      </c>
      <c r="D409" s="74" t="s">
        <v>31</v>
      </c>
      <c r="E409" s="48">
        <f>11.49+0.72</f>
        <v>12.21</v>
      </c>
      <c r="F409" s="48">
        <v>75</v>
      </c>
      <c r="G409" s="48">
        <v>40</v>
      </c>
      <c r="H409" s="48">
        <f t="shared" si="7"/>
        <v>915.75000000000011</v>
      </c>
      <c r="I409" s="39"/>
    </row>
    <row r="410" spans="1:9">
      <c r="A410" s="54" t="s">
        <v>341</v>
      </c>
      <c r="B410" s="52" t="s">
        <v>342</v>
      </c>
      <c r="C410" s="42"/>
      <c r="D410" s="38"/>
      <c r="E410" s="40"/>
      <c r="F410" s="41"/>
      <c r="G410" s="41"/>
      <c r="H410" s="48"/>
      <c r="I410" s="42"/>
    </row>
    <row r="411" spans="1:9" outlineLevel="1">
      <c r="A411" s="74">
        <v>1</v>
      </c>
      <c r="B411" s="52" t="s">
        <v>343</v>
      </c>
      <c r="C411" s="42"/>
      <c r="D411" s="38"/>
      <c r="E411" s="40"/>
      <c r="F411" s="41"/>
      <c r="G411" s="41"/>
      <c r="H411" s="48"/>
      <c r="I411" s="42"/>
    </row>
    <row r="412" spans="1:9" ht="22.5" outlineLevel="2">
      <c r="A412" s="38"/>
      <c r="B412" s="75" t="s">
        <v>29</v>
      </c>
      <c r="C412" s="39" t="s">
        <v>30</v>
      </c>
      <c r="D412" s="74" t="s">
        <v>31</v>
      </c>
      <c r="E412" s="74">
        <v>62.5</v>
      </c>
      <c r="F412" s="48">
        <v>3</v>
      </c>
      <c r="G412" s="41"/>
      <c r="H412" s="48">
        <f t="shared" ref="H412:H459" si="8">E412*F412</f>
        <v>187.5</v>
      </c>
      <c r="I412" s="42"/>
    </row>
    <row r="413" spans="1:9" ht="22.5" outlineLevel="2">
      <c r="A413" s="38"/>
      <c r="B413" s="75" t="s">
        <v>32</v>
      </c>
      <c r="C413" s="75" t="s">
        <v>344</v>
      </c>
      <c r="D413" s="74" t="s">
        <v>28</v>
      </c>
      <c r="E413" s="74">
        <f>E412*0.1</f>
        <v>6.25</v>
      </c>
      <c r="F413" s="48">
        <v>230</v>
      </c>
      <c r="G413" s="43">
        <v>158</v>
      </c>
      <c r="H413" s="48">
        <f t="shared" si="8"/>
        <v>1437.5</v>
      </c>
      <c r="I413" s="42"/>
    </row>
    <row r="414" spans="1:9" ht="45" outlineLevel="2">
      <c r="A414" s="38"/>
      <c r="B414" s="75" t="s">
        <v>34</v>
      </c>
      <c r="C414" s="75" t="s">
        <v>75</v>
      </c>
      <c r="D414" s="74" t="s">
        <v>28</v>
      </c>
      <c r="E414" s="74">
        <f>E412*0.1</f>
        <v>6.25</v>
      </c>
      <c r="F414" s="48">
        <v>750</v>
      </c>
      <c r="G414" s="43">
        <v>512</v>
      </c>
      <c r="H414" s="48">
        <f t="shared" si="8"/>
        <v>4687.5</v>
      </c>
      <c r="I414" s="42"/>
    </row>
    <row r="415" spans="1:9" ht="45" outlineLevel="2">
      <c r="A415" s="38"/>
      <c r="B415" s="75" t="s">
        <v>345</v>
      </c>
      <c r="C415" s="75" t="s">
        <v>346</v>
      </c>
      <c r="D415" s="74" t="s">
        <v>31</v>
      </c>
      <c r="E415" s="74">
        <v>62.5</v>
      </c>
      <c r="F415" s="48">
        <v>167</v>
      </c>
      <c r="G415" s="48">
        <v>90</v>
      </c>
      <c r="H415" s="48">
        <f t="shared" si="8"/>
        <v>10437.5</v>
      </c>
      <c r="I415" s="42"/>
    </row>
    <row r="416" spans="1:9" outlineLevel="1">
      <c r="A416" s="54" t="s">
        <v>347</v>
      </c>
      <c r="B416" s="52" t="s">
        <v>348</v>
      </c>
      <c r="C416" s="42"/>
      <c r="D416" s="38"/>
      <c r="E416" s="40"/>
      <c r="F416" s="41"/>
      <c r="G416" s="41"/>
      <c r="H416" s="48"/>
      <c r="I416" s="42"/>
    </row>
    <row r="417" spans="1:9" ht="45" outlineLevel="2">
      <c r="A417" s="74"/>
      <c r="B417" s="75" t="s">
        <v>319</v>
      </c>
      <c r="C417" s="75" t="s">
        <v>320</v>
      </c>
      <c r="D417" s="74" t="s">
        <v>31</v>
      </c>
      <c r="E417" s="48">
        <v>39.9</v>
      </c>
      <c r="F417" s="48">
        <v>220</v>
      </c>
      <c r="G417" s="48">
        <v>180</v>
      </c>
      <c r="H417" s="48">
        <f t="shared" si="8"/>
        <v>8778</v>
      </c>
      <c r="I417" s="42"/>
    </row>
    <row r="418" spans="1:9" ht="33.75" outlineLevel="2">
      <c r="A418" s="74"/>
      <c r="B418" s="75" t="s">
        <v>284</v>
      </c>
      <c r="C418" s="75" t="s">
        <v>349</v>
      </c>
      <c r="D418" s="74" t="s">
        <v>31</v>
      </c>
      <c r="E418" s="48">
        <f>34.38*(1.1+0.3+0.35+0.15+0.85+0.05*3+0.1+0.025)</f>
        <v>103.9995</v>
      </c>
      <c r="F418" s="48">
        <v>450</v>
      </c>
      <c r="G418" s="48">
        <v>280</v>
      </c>
      <c r="H418" s="48">
        <f t="shared" si="8"/>
        <v>46799.775000000001</v>
      </c>
      <c r="I418" s="42"/>
    </row>
    <row r="419" spans="1:9" ht="22.5" outlineLevel="2">
      <c r="A419" s="55"/>
      <c r="B419" s="56" t="s">
        <v>350</v>
      </c>
      <c r="C419" s="75" t="s">
        <v>351</v>
      </c>
      <c r="D419" s="74" t="s">
        <v>31</v>
      </c>
      <c r="E419" s="48">
        <f>38.45*0.05</f>
        <v>1.9225000000000003</v>
      </c>
      <c r="F419" s="57">
        <v>155</v>
      </c>
      <c r="G419" s="57">
        <v>85</v>
      </c>
      <c r="H419" s="48">
        <f t="shared" si="8"/>
        <v>297.98750000000007</v>
      </c>
      <c r="I419" s="61"/>
    </row>
    <row r="420" spans="1:9" outlineLevel="1">
      <c r="A420" s="74">
        <v>3</v>
      </c>
      <c r="B420" s="52" t="s">
        <v>352</v>
      </c>
      <c r="C420" s="75"/>
      <c r="D420" s="74"/>
      <c r="E420" s="74"/>
      <c r="F420" s="41"/>
      <c r="G420" s="41"/>
      <c r="H420" s="48"/>
      <c r="I420" s="42"/>
    </row>
    <row r="421" spans="1:9" ht="22.5" outlineLevel="2">
      <c r="A421" s="58"/>
      <c r="B421" s="75" t="s">
        <v>353</v>
      </c>
      <c r="C421" s="75" t="s">
        <v>354</v>
      </c>
      <c r="D421" s="74" t="s">
        <v>31</v>
      </c>
      <c r="E421" s="74">
        <f>(1.35+3.395+0.9+1.53+1.38+1.37+2.15+4.08+4.285)*3</f>
        <v>61.320000000000007</v>
      </c>
      <c r="F421" s="41">
        <v>750</v>
      </c>
      <c r="G421" s="41">
        <v>380</v>
      </c>
      <c r="H421" s="48">
        <f t="shared" si="8"/>
        <v>45990.000000000007</v>
      </c>
      <c r="I421" s="42"/>
    </row>
    <row r="422" spans="1:9" ht="22.5" outlineLevel="2">
      <c r="A422" s="58"/>
      <c r="B422" s="75" t="s">
        <v>355</v>
      </c>
      <c r="C422" s="75" t="s">
        <v>356</v>
      </c>
      <c r="D422" s="74" t="s">
        <v>31</v>
      </c>
      <c r="E422" s="48">
        <f>(3.395+3.18+2.7)*3</f>
        <v>27.825000000000003</v>
      </c>
      <c r="F422" s="41">
        <v>335</v>
      </c>
      <c r="G422" s="41">
        <v>135</v>
      </c>
      <c r="H422" s="48">
        <f t="shared" si="8"/>
        <v>9321.3750000000018</v>
      </c>
      <c r="I422" s="42"/>
    </row>
    <row r="423" spans="1:9" ht="45" outlineLevel="2">
      <c r="A423" s="58"/>
      <c r="B423" s="75" t="s">
        <v>226</v>
      </c>
      <c r="C423" s="75" t="s">
        <v>357</v>
      </c>
      <c r="D423" s="74" t="s">
        <v>31</v>
      </c>
      <c r="E423" s="48">
        <f>(2.15+0.755)*3</f>
        <v>8.7149999999999999</v>
      </c>
      <c r="F423" s="48">
        <v>335</v>
      </c>
      <c r="G423" s="48">
        <v>210</v>
      </c>
      <c r="H423" s="48">
        <f t="shared" si="8"/>
        <v>2919.5250000000001</v>
      </c>
      <c r="I423" s="42"/>
    </row>
    <row r="424" spans="1:9" ht="33.75" outlineLevel="2">
      <c r="A424" s="58"/>
      <c r="B424" s="75" t="s">
        <v>358</v>
      </c>
      <c r="C424" s="75" t="s">
        <v>359</v>
      </c>
      <c r="D424" s="74" t="s">
        <v>51</v>
      </c>
      <c r="E424" s="74">
        <f>3.65*13</f>
        <v>47.449999999999996</v>
      </c>
      <c r="F424" s="41">
        <v>1500</v>
      </c>
      <c r="G424" s="41">
        <v>800</v>
      </c>
      <c r="H424" s="48">
        <f t="shared" si="8"/>
        <v>71175</v>
      </c>
      <c r="I424" s="42"/>
    </row>
    <row r="425" spans="1:9" ht="45" outlineLevel="2">
      <c r="A425" s="58"/>
      <c r="B425" s="75" t="s">
        <v>360</v>
      </c>
      <c r="C425" s="75" t="s">
        <v>75</v>
      </c>
      <c r="D425" s="74" t="s">
        <v>28</v>
      </c>
      <c r="E425" s="48">
        <f>1.2*1.2*0.1*13</f>
        <v>1.8719999999999999</v>
      </c>
      <c r="F425" s="48">
        <v>750</v>
      </c>
      <c r="G425" s="43">
        <v>512</v>
      </c>
      <c r="H425" s="48">
        <f t="shared" si="8"/>
        <v>1404</v>
      </c>
      <c r="I425" s="42"/>
    </row>
    <row r="426" spans="1:9" ht="45" outlineLevel="2">
      <c r="A426" s="58"/>
      <c r="B426" s="75" t="s">
        <v>361</v>
      </c>
      <c r="C426" s="75" t="s">
        <v>362</v>
      </c>
      <c r="D426" s="74" t="s">
        <v>28</v>
      </c>
      <c r="E426" s="48">
        <f>1*1*0.3*13</f>
        <v>3.9</v>
      </c>
      <c r="F426" s="48">
        <v>773</v>
      </c>
      <c r="G426" s="48">
        <v>523</v>
      </c>
      <c r="H426" s="48">
        <f t="shared" si="8"/>
        <v>3014.7</v>
      </c>
      <c r="I426" s="42"/>
    </row>
    <row r="427" spans="1:9" ht="45" outlineLevel="2">
      <c r="A427" s="58"/>
      <c r="B427" s="75" t="s">
        <v>363</v>
      </c>
      <c r="C427" s="75" t="s">
        <v>364</v>
      </c>
      <c r="D427" s="74" t="s">
        <v>28</v>
      </c>
      <c r="E427" s="48">
        <f>0.5*0.5*0.9*13</f>
        <v>2.9250000000000003</v>
      </c>
      <c r="F427" s="48">
        <v>763</v>
      </c>
      <c r="G427" s="48">
        <v>523</v>
      </c>
      <c r="H427" s="48">
        <f t="shared" si="8"/>
        <v>2231.7750000000001</v>
      </c>
      <c r="I427" s="42"/>
    </row>
    <row r="428" spans="1:9" ht="56.25" outlineLevel="2">
      <c r="A428" s="58"/>
      <c r="B428" s="75" t="s">
        <v>365</v>
      </c>
      <c r="C428" s="75" t="s">
        <v>366</v>
      </c>
      <c r="D428" s="74" t="s">
        <v>45</v>
      </c>
      <c r="E428" s="45">
        <f>(0.3*0.3*0.8*78.5+0.65*2*0.888)*13/1000</f>
        <v>8.8483199999999984E-2</v>
      </c>
      <c r="F428" s="48">
        <v>8600</v>
      </c>
      <c r="G428" s="41">
        <v>6000</v>
      </c>
      <c r="H428" s="48">
        <f t="shared" si="8"/>
        <v>760.95551999999986</v>
      </c>
      <c r="I428" s="42"/>
    </row>
    <row r="429" spans="1:9" ht="45" outlineLevel="2">
      <c r="A429" s="58"/>
      <c r="B429" s="75" t="s">
        <v>367</v>
      </c>
      <c r="C429" s="75" t="s">
        <v>75</v>
      </c>
      <c r="D429" s="74" t="s">
        <v>28</v>
      </c>
      <c r="E429" s="48">
        <f>(1.35+3.395+0.9+1.53+1.38+1.37+2.15+4.08+4.285)*0.74*0.1</f>
        <v>1.5125600000000001</v>
      </c>
      <c r="F429" s="48">
        <v>750</v>
      </c>
      <c r="G429" s="43">
        <v>512</v>
      </c>
      <c r="H429" s="48">
        <f t="shared" si="8"/>
        <v>1134.42</v>
      </c>
      <c r="I429" s="42"/>
    </row>
    <row r="430" spans="1:9" ht="45" outlineLevel="2">
      <c r="A430" s="58"/>
      <c r="B430" s="75" t="s">
        <v>368</v>
      </c>
      <c r="C430" s="75" t="s">
        <v>122</v>
      </c>
      <c r="D430" s="74" t="s">
        <v>28</v>
      </c>
      <c r="E430" s="48">
        <f>(1.35+3.395+0.9+1.53+1.38+1.37+2.15+4.08+4.285)*(0.54*0.12+0.42*0.12+0.3*0.56)</f>
        <v>5.7886080000000009</v>
      </c>
      <c r="F430" s="48">
        <v>630</v>
      </c>
      <c r="G430" s="43">
        <v>300</v>
      </c>
      <c r="H430" s="48">
        <f t="shared" si="8"/>
        <v>3646.8230400000007</v>
      </c>
      <c r="I430" s="42"/>
    </row>
    <row r="431" spans="1:9" ht="45" outlineLevel="2">
      <c r="A431" s="58"/>
      <c r="B431" s="75" t="s">
        <v>369</v>
      </c>
      <c r="C431" s="75" t="s">
        <v>364</v>
      </c>
      <c r="D431" s="74" t="s">
        <v>28</v>
      </c>
      <c r="E431" s="48">
        <f>(1.35+3.395+0.9+1.53+1.38+1.37+2.15+4.08+4.285)*0.25*0.4</f>
        <v>2.044</v>
      </c>
      <c r="F431" s="48">
        <v>763</v>
      </c>
      <c r="G431" s="48">
        <v>523</v>
      </c>
      <c r="H431" s="48">
        <f t="shared" si="8"/>
        <v>1559.5720000000001</v>
      </c>
      <c r="I431" s="42"/>
    </row>
    <row r="432" spans="1:9" ht="56.25" outlineLevel="2">
      <c r="A432" s="58"/>
      <c r="B432" s="75" t="s">
        <v>370</v>
      </c>
      <c r="C432" s="75" t="s">
        <v>366</v>
      </c>
      <c r="D432" s="74" t="s">
        <v>45</v>
      </c>
      <c r="E432" s="45">
        <f>((1.35+3.395+0.9+1.53+1.38+1.37+2.15+4.08+4.285)*0.2*0.2*0.8*78.5+(1.35+3.395+0.9+1.53+1.38+1.37+2.15+4.08+4.285)/0.2*0.888*0.5*4)/1000</f>
        <v>0.23285248</v>
      </c>
      <c r="F432" s="48">
        <v>8600</v>
      </c>
      <c r="G432" s="41">
        <v>6000</v>
      </c>
      <c r="H432" s="48">
        <f t="shared" si="8"/>
        <v>2002.531328</v>
      </c>
      <c r="I432" s="42"/>
    </row>
    <row r="433" spans="1:9" ht="45" outlineLevel="2">
      <c r="A433" s="58"/>
      <c r="B433" s="75" t="s">
        <v>371</v>
      </c>
      <c r="C433" s="75" t="s">
        <v>372</v>
      </c>
      <c r="D433" s="74" t="s">
        <v>45</v>
      </c>
      <c r="E433" s="45">
        <f>((1.35+3.395+0.9+1.53+1.38+1.37+2.15+4.08+4.285)/0.5*18.84*0.2)/1000</f>
        <v>0.15403584000000001</v>
      </c>
      <c r="F433" s="48">
        <v>8709</v>
      </c>
      <c r="G433" s="43">
        <v>6500</v>
      </c>
      <c r="H433" s="48">
        <f t="shared" si="8"/>
        <v>1341.4981305600002</v>
      </c>
      <c r="I433" s="42"/>
    </row>
    <row r="434" spans="1:9" ht="56.25" outlineLevel="2">
      <c r="A434" s="58"/>
      <c r="B434" s="75" t="s">
        <v>373</v>
      </c>
      <c r="C434" s="75" t="s">
        <v>374</v>
      </c>
      <c r="D434" s="74" t="s">
        <v>45</v>
      </c>
      <c r="E434" s="45">
        <f>((1.35+3.395+0.9+1.53+1.38+1.37+2.15+4.08+4.285)*30.62)/1000</f>
        <v>0.62587280000000012</v>
      </c>
      <c r="F434" s="48">
        <v>8709</v>
      </c>
      <c r="G434" s="43">
        <v>6500</v>
      </c>
      <c r="H434" s="48">
        <f t="shared" si="8"/>
        <v>5450.7262152000012</v>
      </c>
      <c r="I434" s="42"/>
    </row>
    <row r="435" spans="1:9" ht="45" outlineLevel="2">
      <c r="A435" s="58"/>
      <c r="B435" s="75" t="s">
        <v>375</v>
      </c>
      <c r="C435" s="75" t="s">
        <v>75</v>
      </c>
      <c r="D435" s="74" t="s">
        <v>28</v>
      </c>
      <c r="E435" s="48">
        <f>(2.15+0.755)*0.74*0.1</f>
        <v>0.21496999999999999</v>
      </c>
      <c r="F435" s="48">
        <v>750</v>
      </c>
      <c r="G435" s="43">
        <v>512</v>
      </c>
      <c r="H435" s="48">
        <f t="shared" si="8"/>
        <v>161.22749999999999</v>
      </c>
      <c r="I435" s="42"/>
    </row>
    <row r="436" spans="1:9" ht="45" outlineLevel="2">
      <c r="A436" s="58"/>
      <c r="B436" s="75" t="s">
        <v>376</v>
      </c>
      <c r="C436" s="75" t="s">
        <v>122</v>
      </c>
      <c r="D436" s="74" t="s">
        <v>28</v>
      </c>
      <c r="E436" s="48">
        <f>(2.15+0.755)*(0.54*0.12+0.42*0.12+0.3*0.56)</f>
        <v>0.82269599999999998</v>
      </c>
      <c r="F436" s="48">
        <v>630</v>
      </c>
      <c r="G436" s="43">
        <v>300</v>
      </c>
      <c r="H436" s="48">
        <f t="shared" si="8"/>
        <v>518.29848000000004</v>
      </c>
      <c r="I436" s="42"/>
    </row>
    <row r="437" spans="1:9" ht="45" outlineLevel="2">
      <c r="A437" s="58"/>
      <c r="B437" s="75" t="s">
        <v>377</v>
      </c>
      <c r="C437" s="75" t="s">
        <v>364</v>
      </c>
      <c r="D437" s="74" t="s">
        <v>28</v>
      </c>
      <c r="E437" s="48">
        <f>(2.15+0.755)*0.25*0.4</f>
        <v>0.29049999999999998</v>
      </c>
      <c r="F437" s="48">
        <v>763</v>
      </c>
      <c r="G437" s="48">
        <v>523</v>
      </c>
      <c r="H437" s="48">
        <f t="shared" si="8"/>
        <v>221.6515</v>
      </c>
      <c r="I437" s="42"/>
    </row>
    <row r="438" spans="1:9" ht="56.25" outlineLevel="2">
      <c r="A438" s="58"/>
      <c r="B438" s="75" t="s">
        <v>378</v>
      </c>
      <c r="C438" s="75" t="s">
        <v>366</v>
      </c>
      <c r="D438" s="74" t="s">
        <v>45</v>
      </c>
      <c r="E438" s="45">
        <f>((2.15+0.755)*0.2*0.2*0.8*78.5+(2.15+0.755)/0.2*0.888*0.5*4)/1000</f>
        <v>3.3093759999999993E-2</v>
      </c>
      <c r="F438" s="48">
        <v>8600</v>
      </c>
      <c r="G438" s="41">
        <v>6000</v>
      </c>
      <c r="H438" s="48">
        <f t="shared" si="8"/>
        <v>284.60633599999994</v>
      </c>
      <c r="I438" s="42"/>
    </row>
    <row r="439" spans="1:9" ht="45" outlineLevel="2">
      <c r="A439" s="58"/>
      <c r="B439" s="75" t="s">
        <v>379</v>
      </c>
      <c r="C439" s="75" t="s">
        <v>380</v>
      </c>
      <c r="D439" s="74" t="s">
        <v>45</v>
      </c>
      <c r="E439" s="45">
        <f>((2.15+0.755)/0.5*14.92*0.2)/1000</f>
        <v>1.7337039999999998E-2</v>
      </c>
      <c r="F439" s="48">
        <v>8709</v>
      </c>
      <c r="G439" s="43">
        <v>6500</v>
      </c>
      <c r="H439" s="48">
        <f t="shared" si="8"/>
        <v>150.98828135999997</v>
      </c>
      <c r="I439" s="42"/>
    </row>
    <row r="440" spans="1:9" ht="45" outlineLevel="2">
      <c r="A440" s="58"/>
      <c r="B440" s="39" t="s">
        <v>381</v>
      </c>
      <c r="C440" s="39" t="s">
        <v>382</v>
      </c>
      <c r="D440" s="74" t="s">
        <v>45</v>
      </c>
      <c r="E440" s="45">
        <f>((2.15+0.755)*22.77)/1000</f>
        <v>6.6146850000000007E-2</v>
      </c>
      <c r="F440" s="48">
        <v>8709</v>
      </c>
      <c r="G440" s="43">
        <v>6500</v>
      </c>
      <c r="H440" s="48">
        <f t="shared" si="8"/>
        <v>576.07291665000002</v>
      </c>
      <c r="I440" s="42"/>
    </row>
    <row r="441" spans="1:9" outlineLevel="1">
      <c r="A441" s="74">
        <v>4</v>
      </c>
      <c r="B441" s="52" t="s">
        <v>383</v>
      </c>
      <c r="C441" s="42"/>
      <c r="D441" s="38"/>
      <c r="E441" s="40"/>
      <c r="F441" s="41"/>
      <c r="G441" s="41"/>
      <c r="H441" s="48"/>
      <c r="I441" s="42"/>
    </row>
    <row r="442" spans="1:9" ht="22.5" outlineLevel="2">
      <c r="A442" s="38"/>
      <c r="B442" s="75" t="s">
        <v>29</v>
      </c>
      <c r="C442" s="39" t="s">
        <v>30</v>
      </c>
      <c r="D442" s="74" t="s">
        <v>31</v>
      </c>
      <c r="E442" s="74">
        <f>0.58+0.46+0.3+0.58+0.46+0.43</f>
        <v>2.81</v>
      </c>
      <c r="F442" s="48">
        <v>3</v>
      </c>
      <c r="G442" s="41"/>
      <c r="H442" s="48">
        <f t="shared" si="8"/>
        <v>8.43</v>
      </c>
      <c r="I442" s="42"/>
    </row>
    <row r="443" spans="1:9" ht="22.5" outlineLevel="2">
      <c r="A443" s="38"/>
      <c r="B443" s="75" t="s">
        <v>32</v>
      </c>
      <c r="C443" s="75" t="s">
        <v>344</v>
      </c>
      <c r="D443" s="74" t="s">
        <v>28</v>
      </c>
      <c r="E443" s="48">
        <f>E442*0.1</f>
        <v>0.28100000000000003</v>
      </c>
      <c r="F443" s="48">
        <v>230</v>
      </c>
      <c r="G443" s="43">
        <v>158</v>
      </c>
      <c r="H443" s="48">
        <f t="shared" si="8"/>
        <v>64.63000000000001</v>
      </c>
      <c r="I443" s="42"/>
    </row>
    <row r="444" spans="1:9" ht="45" outlineLevel="2">
      <c r="A444" s="38"/>
      <c r="B444" s="75" t="s">
        <v>34</v>
      </c>
      <c r="C444" s="75" t="s">
        <v>75</v>
      </c>
      <c r="D444" s="74" t="s">
        <v>28</v>
      </c>
      <c r="E444" s="48">
        <f>E442*0.1</f>
        <v>0.28100000000000003</v>
      </c>
      <c r="F444" s="48">
        <v>750</v>
      </c>
      <c r="G444" s="43">
        <v>512</v>
      </c>
      <c r="H444" s="48">
        <f t="shared" si="8"/>
        <v>210.75000000000003</v>
      </c>
      <c r="I444" s="42"/>
    </row>
    <row r="445" spans="1:9" ht="33.75" outlineLevel="2">
      <c r="A445" s="38"/>
      <c r="B445" s="75" t="s">
        <v>345</v>
      </c>
      <c r="C445" s="75" t="s">
        <v>384</v>
      </c>
      <c r="D445" s="74" t="s">
        <v>31</v>
      </c>
      <c r="E445" s="74">
        <f>E442</f>
        <v>2.81</v>
      </c>
      <c r="F445" s="48">
        <v>275</v>
      </c>
      <c r="G445" s="48">
        <v>165</v>
      </c>
      <c r="H445" s="48">
        <f t="shared" si="8"/>
        <v>772.75</v>
      </c>
      <c r="I445" s="42"/>
    </row>
    <row r="446" spans="1:9" outlineLevel="1">
      <c r="A446" s="38">
        <v>5</v>
      </c>
      <c r="B446" s="42" t="s">
        <v>385</v>
      </c>
      <c r="C446" s="42"/>
      <c r="D446" s="38"/>
      <c r="E446" s="40"/>
      <c r="F446" s="41"/>
      <c r="G446" s="41"/>
      <c r="H446" s="48"/>
      <c r="I446" s="42"/>
    </row>
    <row r="447" spans="1:9" s="33" customFormat="1" ht="33.75" outlineLevel="2">
      <c r="A447" s="59"/>
      <c r="B447" s="75" t="s">
        <v>26</v>
      </c>
      <c r="C447" s="75" t="s">
        <v>27</v>
      </c>
      <c r="D447" s="74" t="s">
        <v>28</v>
      </c>
      <c r="E447" s="48">
        <v>37.58</v>
      </c>
      <c r="F447" s="48">
        <f>$F$7</f>
        <v>12</v>
      </c>
      <c r="G447" s="60"/>
      <c r="H447" s="48">
        <f t="shared" si="8"/>
        <v>450.96</v>
      </c>
      <c r="I447" s="62"/>
    </row>
    <row r="448" spans="1:9" s="33" customFormat="1" ht="45" outlineLevel="2">
      <c r="A448" s="59"/>
      <c r="B448" s="75" t="s">
        <v>386</v>
      </c>
      <c r="C448" s="75" t="s">
        <v>387</v>
      </c>
      <c r="D448" s="74" t="s">
        <v>28</v>
      </c>
      <c r="E448" s="48">
        <v>31.75</v>
      </c>
      <c r="F448" s="60">
        <v>25</v>
      </c>
      <c r="G448" s="60"/>
      <c r="H448" s="48">
        <f t="shared" si="8"/>
        <v>793.75</v>
      </c>
      <c r="I448" s="62"/>
    </row>
    <row r="449" spans="1:9" s="33" customFormat="1" ht="48" outlineLevel="2">
      <c r="A449" s="59"/>
      <c r="B449" s="62" t="s">
        <v>34</v>
      </c>
      <c r="C449" s="50" t="s">
        <v>75</v>
      </c>
      <c r="D449" s="74" t="s">
        <v>28</v>
      </c>
      <c r="E449" s="48">
        <v>1.04</v>
      </c>
      <c r="F449" s="48">
        <v>750</v>
      </c>
      <c r="G449" s="43">
        <v>512</v>
      </c>
      <c r="H449" s="48">
        <f t="shared" si="8"/>
        <v>780</v>
      </c>
      <c r="I449" s="62"/>
    </row>
    <row r="450" spans="1:9" s="33" customFormat="1" ht="48" outlineLevel="2">
      <c r="A450" s="59"/>
      <c r="B450" s="62" t="s">
        <v>388</v>
      </c>
      <c r="C450" s="50" t="s">
        <v>389</v>
      </c>
      <c r="D450" s="74" t="s">
        <v>28</v>
      </c>
      <c r="E450" s="48">
        <v>1.88</v>
      </c>
      <c r="F450" s="48">
        <v>762</v>
      </c>
      <c r="G450" s="48">
        <v>532</v>
      </c>
      <c r="H450" s="48">
        <f t="shared" si="8"/>
        <v>1432.56</v>
      </c>
      <c r="I450" s="62"/>
    </row>
    <row r="451" spans="1:9" s="33" customFormat="1" ht="48" outlineLevel="2">
      <c r="A451" s="59"/>
      <c r="B451" s="62" t="s">
        <v>390</v>
      </c>
      <c r="C451" s="50" t="s">
        <v>389</v>
      </c>
      <c r="D451" s="74" t="s">
        <v>28</v>
      </c>
      <c r="E451" s="48">
        <v>1.91</v>
      </c>
      <c r="F451" s="48">
        <v>855</v>
      </c>
      <c r="G451" s="48">
        <v>532</v>
      </c>
      <c r="H451" s="48">
        <f t="shared" si="8"/>
        <v>1633.05</v>
      </c>
      <c r="I451" s="62"/>
    </row>
    <row r="452" spans="1:9" s="33" customFormat="1" ht="48" outlineLevel="2">
      <c r="A452" s="59"/>
      <c r="B452" s="62" t="s">
        <v>391</v>
      </c>
      <c r="C452" s="50" t="s">
        <v>389</v>
      </c>
      <c r="D452" s="74" t="s">
        <v>28</v>
      </c>
      <c r="E452" s="48">
        <v>4.2699999999999996</v>
      </c>
      <c r="F452" s="48">
        <v>852</v>
      </c>
      <c r="G452" s="48">
        <v>532</v>
      </c>
      <c r="H452" s="48">
        <f t="shared" si="8"/>
        <v>3638.0399999999995</v>
      </c>
      <c r="I452" s="62"/>
    </row>
    <row r="453" spans="1:9" s="33" customFormat="1" ht="48" outlineLevel="2">
      <c r="A453" s="59"/>
      <c r="B453" s="50" t="s">
        <v>392</v>
      </c>
      <c r="C453" s="50" t="s">
        <v>393</v>
      </c>
      <c r="D453" s="51" t="s">
        <v>45</v>
      </c>
      <c r="E453" s="63">
        <f>(0.4*0.4*78.5*2+((0.02+0.08)*0.2/2-0.02*0.02)*78.5+8*0.53*1.579)*9/1000</f>
        <v>0.29311704000000005</v>
      </c>
      <c r="F453" s="48">
        <v>8600</v>
      </c>
      <c r="G453" s="41">
        <v>6000</v>
      </c>
      <c r="H453" s="48">
        <f t="shared" si="8"/>
        <v>2520.8065440000005</v>
      </c>
      <c r="I453" s="62"/>
    </row>
    <row r="454" spans="1:9" s="33" customFormat="1" ht="48" outlineLevel="2">
      <c r="A454" s="59"/>
      <c r="B454" s="50" t="s">
        <v>394</v>
      </c>
      <c r="C454" s="50" t="s">
        <v>395</v>
      </c>
      <c r="D454" s="51" t="s">
        <v>31</v>
      </c>
      <c r="E454" s="53">
        <f>0.18*0.5*4*9</f>
        <v>3.2399999999999998</v>
      </c>
      <c r="F454" s="48">
        <v>1500</v>
      </c>
      <c r="G454" s="48">
        <v>1200</v>
      </c>
      <c r="H454" s="48">
        <f t="shared" si="8"/>
        <v>4860</v>
      </c>
      <c r="I454" s="62"/>
    </row>
    <row r="455" spans="1:9" s="33" customFormat="1" ht="48" outlineLevel="2">
      <c r="A455" s="59"/>
      <c r="B455" s="50" t="s">
        <v>396</v>
      </c>
      <c r="C455" s="50" t="s">
        <v>389</v>
      </c>
      <c r="D455" s="74" t="s">
        <v>28</v>
      </c>
      <c r="E455" s="48">
        <f>0.5*0.5*0.05*9</f>
        <v>0.1125</v>
      </c>
      <c r="F455" s="48">
        <v>862</v>
      </c>
      <c r="G455" s="48">
        <v>542</v>
      </c>
      <c r="H455" s="48">
        <f t="shared" si="8"/>
        <v>96.975000000000009</v>
      </c>
      <c r="I455" s="62"/>
    </row>
    <row r="456" spans="1:9" s="33" customFormat="1" ht="48" outlineLevel="2">
      <c r="A456" s="51"/>
      <c r="B456" s="50" t="s">
        <v>397</v>
      </c>
      <c r="C456" s="50" t="s">
        <v>398</v>
      </c>
      <c r="D456" s="51" t="s">
        <v>45</v>
      </c>
      <c r="E456" s="64">
        <f>35.33*31.84/1000</f>
        <v>1.1249071999999998</v>
      </c>
      <c r="F456" s="48">
        <v>8709</v>
      </c>
      <c r="G456" s="43">
        <v>6500</v>
      </c>
      <c r="H456" s="48">
        <f t="shared" si="8"/>
        <v>9796.8168047999989</v>
      </c>
      <c r="I456" s="62"/>
    </row>
    <row r="457" spans="1:9" s="33" customFormat="1" ht="48" outlineLevel="2">
      <c r="A457" s="51"/>
      <c r="B457" s="50" t="s">
        <v>399</v>
      </c>
      <c r="C457" s="50" t="s">
        <v>400</v>
      </c>
      <c r="D457" s="51" t="s">
        <v>45</v>
      </c>
      <c r="E457" s="64">
        <f>(1.884+4.253+4.54+4.924+5.151+4.281+3.495)*27.13/1000</f>
        <v>0.77396463999999987</v>
      </c>
      <c r="F457" s="48">
        <v>8709</v>
      </c>
      <c r="G457" s="43">
        <v>6500</v>
      </c>
      <c r="H457" s="48">
        <f t="shared" si="8"/>
        <v>6740.4580497599991</v>
      </c>
      <c r="I457" s="62"/>
    </row>
    <row r="458" spans="1:9" s="33" customFormat="1" ht="48" outlineLevel="2">
      <c r="A458" s="51"/>
      <c r="B458" s="50" t="s">
        <v>401</v>
      </c>
      <c r="C458" s="50" t="s">
        <v>402</v>
      </c>
      <c r="D458" s="51" t="s">
        <v>45</v>
      </c>
      <c r="E458" s="64">
        <f>(3.713+5.718+8.217+2.238+14.389+10.737+4.732+7.51+3.061+2.504+2.421+2.375+4.363)*8.92/1000</f>
        <v>0.64204376000000007</v>
      </c>
      <c r="F458" s="48">
        <v>8709</v>
      </c>
      <c r="G458" s="43">
        <v>6500</v>
      </c>
      <c r="H458" s="48">
        <f t="shared" si="8"/>
        <v>5591.5591058400005</v>
      </c>
      <c r="I458" s="62"/>
    </row>
    <row r="459" spans="1:9" s="34" customFormat="1" ht="33.75" outlineLevel="2">
      <c r="A459" s="51"/>
      <c r="B459" s="75" t="s">
        <v>43</v>
      </c>
      <c r="C459" s="75" t="s">
        <v>403</v>
      </c>
      <c r="D459" s="74" t="s">
        <v>45</v>
      </c>
      <c r="E459" s="45">
        <v>0.42599999999999999</v>
      </c>
      <c r="F459" s="48">
        <v>7100</v>
      </c>
      <c r="G459" s="48">
        <f>G164</f>
        <v>5500</v>
      </c>
      <c r="H459" s="48">
        <f t="shared" si="8"/>
        <v>3024.6</v>
      </c>
      <c r="I459" s="62"/>
    </row>
    <row r="460" spans="1:9" s="35" customFormat="1" ht="14.25">
      <c r="A460" s="86" t="s">
        <v>404</v>
      </c>
      <c r="B460" s="86"/>
      <c r="C460" s="74"/>
      <c r="D460" s="74"/>
      <c r="E460" s="65"/>
      <c r="F460" s="66"/>
      <c r="G460" s="66"/>
      <c r="H460" s="104">
        <f>SUM(H5:H458)</f>
        <v>4592700.9391594697</v>
      </c>
      <c r="I460" s="67"/>
    </row>
  </sheetData>
  <autoFilter ref="A4:I460"/>
  <mergeCells count="14">
    <mergeCell ref="A1:I1"/>
    <mergeCell ref="F2:I2"/>
    <mergeCell ref="F3:G3"/>
    <mergeCell ref="B185:C185"/>
    <mergeCell ref="B199:C199"/>
    <mergeCell ref="D2:D4"/>
    <mergeCell ref="E2:E4"/>
    <mergeCell ref="H3:H4"/>
    <mergeCell ref="I3:I4"/>
    <mergeCell ref="B248:C248"/>
    <mergeCell ref="A460:B460"/>
    <mergeCell ref="A2:A4"/>
    <mergeCell ref="B2:B4"/>
    <mergeCell ref="C2:C4"/>
  </mergeCells>
  <phoneticPr fontId="22" type="noConversion"/>
  <pageMargins left="0.78680555555555598" right="0.196527777777778" top="0.78680555555555598" bottom="0.39305555555555599" header="0" footer="0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"/>
  <sheetViews>
    <sheetView zoomScale="85" zoomScaleNormal="85" workbookViewId="0">
      <selection sqref="A1:J1"/>
    </sheetView>
  </sheetViews>
  <sheetFormatPr defaultColWidth="10.28515625" defaultRowHeight="12.75" outlineLevelRow="1"/>
  <cols>
    <col min="1" max="1" width="6.7109375" style="120" customWidth="1"/>
    <col min="2" max="2" width="20" style="120" customWidth="1"/>
    <col min="3" max="3" width="10.140625" style="123" customWidth="1"/>
    <col min="4" max="4" width="10.5703125" style="120" customWidth="1"/>
    <col min="5" max="6" width="11.85546875" style="120" customWidth="1"/>
    <col min="7" max="7" width="15" style="120" customWidth="1"/>
    <col min="8" max="8" width="14.7109375" style="120" customWidth="1"/>
    <col min="9" max="9" width="16.7109375" style="120" customWidth="1"/>
    <col min="10" max="10" width="52.7109375" style="124" customWidth="1"/>
    <col min="11" max="16384" width="10.28515625" style="120"/>
  </cols>
  <sheetData>
    <row r="1" spans="1:10" ht="48" customHeight="1">
      <c r="A1" s="112" t="s">
        <v>405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40.9" customHeight="1">
      <c r="A2" s="115" t="s">
        <v>1</v>
      </c>
      <c r="B2" s="115" t="s">
        <v>406</v>
      </c>
      <c r="C2" s="115" t="s">
        <v>407</v>
      </c>
      <c r="D2" s="115" t="s">
        <v>408</v>
      </c>
      <c r="E2" s="115" t="s">
        <v>409</v>
      </c>
      <c r="F2" s="115" t="s">
        <v>20</v>
      </c>
      <c r="G2" s="115" t="s">
        <v>410</v>
      </c>
      <c r="H2" s="115"/>
      <c r="I2" s="115"/>
      <c r="J2" s="116" t="s">
        <v>411</v>
      </c>
    </row>
    <row r="3" spans="1:10" ht="40.9" customHeight="1">
      <c r="A3" s="115"/>
      <c r="B3" s="115"/>
      <c r="C3" s="115"/>
      <c r="D3" s="115"/>
      <c r="E3" s="115"/>
      <c r="F3" s="115"/>
      <c r="G3" s="25" t="s">
        <v>412</v>
      </c>
      <c r="H3" s="25" t="s">
        <v>413</v>
      </c>
      <c r="I3" s="25" t="s">
        <v>414</v>
      </c>
      <c r="J3" s="116"/>
    </row>
    <row r="4" spans="1:10" ht="40.9" customHeight="1">
      <c r="A4" s="117" t="s">
        <v>415</v>
      </c>
      <c r="B4" s="117"/>
      <c r="C4" s="25"/>
      <c r="D4" s="25"/>
      <c r="E4" s="25"/>
      <c r="F4" s="25"/>
      <c r="G4" s="25"/>
      <c r="H4" s="25"/>
      <c r="I4" s="25"/>
      <c r="J4" s="29"/>
    </row>
    <row r="5" spans="1:10" ht="43.15" customHeight="1" outlineLevel="1">
      <c r="A5" s="25">
        <v>1</v>
      </c>
      <c r="B5" s="24" t="s">
        <v>416</v>
      </c>
      <c r="C5" s="24">
        <v>1</v>
      </c>
      <c r="D5" s="24" t="s">
        <v>417</v>
      </c>
      <c r="E5" s="118">
        <v>36000</v>
      </c>
      <c r="F5" s="25">
        <f t="shared" ref="F5:F10" si="0">C5*E5</f>
        <v>36000</v>
      </c>
      <c r="G5" s="24"/>
      <c r="H5" s="24" t="s">
        <v>418</v>
      </c>
      <c r="I5" s="24" t="s">
        <v>419</v>
      </c>
      <c r="J5" s="25" t="s">
        <v>420</v>
      </c>
    </row>
    <row r="6" spans="1:10" ht="43.15" customHeight="1" outlineLevel="1">
      <c r="A6" s="25">
        <v>2</v>
      </c>
      <c r="B6" s="24" t="s">
        <v>421</v>
      </c>
      <c r="C6" s="24">
        <v>6</v>
      </c>
      <c r="D6" s="24" t="s">
        <v>417</v>
      </c>
      <c r="E6" s="118">
        <v>30000</v>
      </c>
      <c r="F6" s="25">
        <f t="shared" si="0"/>
        <v>180000</v>
      </c>
      <c r="G6" s="24"/>
      <c r="H6" s="24" t="s">
        <v>418</v>
      </c>
      <c r="I6" s="24" t="s">
        <v>419</v>
      </c>
      <c r="J6" s="25" t="s">
        <v>420</v>
      </c>
    </row>
    <row r="7" spans="1:10" ht="43.15" customHeight="1" outlineLevel="1">
      <c r="A7" s="25">
        <v>3</v>
      </c>
      <c r="B7" s="24" t="s">
        <v>422</v>
      </c>
      <c r="C7" s="24">
        <v>4</v>
      </c>
      <c r="D7" s="24" t="s">
        <v>417</v>
      </c>
      <c r="E7" s="118">
        <v>22000</v>
      </c>
      <c r="F7" s="25">
        <f t="shared" si="0"/>
        <v>88000</v>
      </c>
      <c r="G7" s="24"/>
      <c r="H7" s="24" t="s">
        <v>423</v>
      </c>
      <c r="I7" s="24" t="s">
        <v>419</v>
      </c>
      <c r="J7" s="25" t="s">
        <v>424</v>
      </c>
    </row>
    <row r="8" spans="1:10" ht="40.9" customHeight="1">
      <c r="A8" s="117" t="s">
        <v>425</v>
      </c>
      <c r="B8" s="117"/>
      <c r="C8" s="119">
        <f>SUM(C5:C7)</f>
        <v>11</v>
      </c>
      <c r="D8" s="25"/>
      <c r="E8" s="25"/>
      <c r="F8" s="119">
        <f>SUM(F5:F7)</f>
        <v>304000</v>
      </c>
      <c r="G8" s="25"/>
      <c r="H8" s="25"/>
      <c r="I8" s="25"/>
      <c r="J8" s="29"/>
    </row>
    <row r="9" spans="1:10" ht="58.9" customHeight="1">
      <c r="A9" s="117" t="s">
        <v>426</v>
      </c>
      <c r="B9" s="117"/>
      <c r="C9" s="25"/>
      <c r="D9" s="25"/>
      <c r="E9" s="25"/>
      <c r="F9" s="25"/>
      <c r="G9" s="25"/>
      <c r="H9" s="25"/>
      <c r="I9" s="25"/>
      <c r="J9" s="29"/>
    </row>
    <row r="10" spans="1:10" ht="37.9" customHeight="1" outlineLevel="1">
      <c r="A10" s="25">
        <v>1</v>
      </c>
      <c r="B10" s="24" t="s">
        <v>427</v>
      </c>
      <c r="C10" s="24">
        <v>1</v>
      </c>
      <c r="D10" s="24" t="s">
        <v>417</v>
      </c>
      <c r="E10" s="118">
        <v>23000</v>
      </c>
      <c r="F10" s="25">
        <f t="shared" si="0"/>
        <v>23000</v>
      </c>
      <c r="G10" s="24">
        <v>23</v>
      </c>
      <c r="H10" s="24" t="s">
        <v>428</v>
      </c>
      <c r="I10" s="24" t="s">
        <v>428</v>
      </c>
      <c r="J10" s="25" t="s">
        <v>429</v>
      </c>
    </row>
    <row r="11" spans="1:10" ht="37.9" customHeight="1" outlineLevel="1">
      <c r="A11" s="25">
        <v>2</v>
      </c>
      <c r="B11" s="24" t="s">
        <v>430</v>
      </c>
      <c r="C11" s="24">
        <v>23</v>
      </c>
      <c r="D11" s="24" t="s">
        <v>417</v>
      </c>
      <c r="E11" s="118">
        <v>5500</v>
      </c>
      <c r="F11" s="25">
        <f t="shared" ref="F11:F17" si="1">C11*E11</f>
        <v>126500</v>
      </c>
      <c r="G11" s="24">
        <v>23</v>
      </c>
      <c r="H11" s="24" t="s">
        <v>431</v>
      </c>
      <c r="I11" s="24" t="s">
        <v>432</v>
      </c>
      <c r="J11" s="25" t="s">
        <v>433</v>
      </c>
    </row>
    <row r="12" spans="1:10" ht="37.9" customHeight="1" outlineLevel="1">
      <c r="A12" s="25">
        <v>3</v>
      </c>
      <c r="B12" s="24" t="s">
        <v>434</v>
      </c>
      <c r="C12" s="24">
        <v>15</v>
      </c>
      <c r="D12" s="24" t="s">
        <v>417</v>
      </c>
      <c r="E12" s="118">
        <v>4300</v>
      </c>
      <c r="F12" s="25">
        <f t="shared" si="1"/>
        <v>64500</v>
      </c>
      <c r="G12" s="24">
        <v>18</v>
      </c>
      <c r="H12" s="24" t="s">
        <v>435</v>
      </c>
      <c r="I12" s="24" t="s">
        <v>428</v>
      </c>
      <c r="J12" s="25" t="s">
        <v>433</v>
      </c>
    </row>
    <row r="13" spans="1:10" ht="37.9" customHeight="1" outlineLevel="1">
      <c r="A13" s="25">
        <v>4</v>
      </c>
      <c r="B13" s="24" t="s">
        <v>436</v>
      </c>
      <c r="C13" s="24">
        <v>9</v>
      </c>
      <c r="D13" s="24" t="s">
        <v>417</v>
      </c>
      <c r="E13" s="118">
        <v>15000</v>
      </c>
      <c r="F13" s="25">
        <f t="shared" si="1"/>
        <v>135000</v>
      </c>
      <c r="G13" s="24">
        <v>28</v>
      </c>
      <c r="H13" s="24" t="s">
        <v>431</v>
      </c>
      <c r="I13" s="24" t="s">
        <v>432</v>
      </c>
      <c r="J13" s="25" t="s">
        <v>433</v>
      </c>
    </row>
    <row r="14" spans="1:10" ht="37.9" customHeight="1" outlineLevel="1">
      <c r="A14" s="25">
        <v>5</v>
      </c>
      <c r="B14" s="24" t="s">
        <v>437</v>
      </c>
      <c r="C14" s="24">
        <v>7</v>
      </c>
      <c r="D14" s="24" t="s">
        <v>417</v>
      </c>
      <c r="E14" s="118">
        <v>4500</v>
      </c>
      <c r="F14" s="25">
        <f t="shared" si="1"/>
        <v>31500</v>
      </c>
      <c r="G14" s="24">
        <v>20</v>
      </c>
      <c r="H14" s="24" t="s">
        <v>435</v>
      </c>
      <c r="I14" s="24" t="s">
        <v>428</v>
      </c>
      <c r="J14" s="25" t="s">
        <v>433</v>
      </c>
    </row>
    <row r="15" spans="1:10" ht="37.9" customHeight="1" outlineLevel="1">
      <c r="A15" s="25">
        <v>6</v>
      </c>
      <c r="B15" s="24" t="s">
        <v>438</v>
      </c>
      <c r="C15" s="24">
        <v>10</v>
      </c>
      <c r="D15" s="24" t="s">
        <v>417</v>
      </c>
      <c r="E15" s="118">
        <v>3800</v>
      </c>
      <c r="F15" s="25">
        <f t="shared" si="1"/>
        <v>38000</v>
      </c>
      <c r="G15" s="24">
        <v>22</v>
      </c>
      <c r="H15" s="24" t="s">
        <v>435</v>
      </c>
      <c r="I15" s="24" t="s">
        <v>439</v>
      </c>
      <c r="J15" s="25" t="s">
        <v>433</v>
      </c>
    </row>
    <row r="16" spans="1:10" ht="37.9" customHeight="1" outlineLevel="1">
      <c r="A16" s="25">
        <v>7</v>
      </c>
      <c r="B16" s="24" t="s">
        <v>440</v>
      </c>
      <c r="C16" s="24"/>
      <c r="D16" s="24" t="s">
        <v>417</v>
      </c>
      <c r="E16" s="118"/>
      <c r="F16" s="25">
        <f t="shared" si="1"/>
        <v>0</v>
      </c>
      <c r="G16" s="24"/>
      <c r="H16" s="24" t="s">
        <v>428</v>
      </c>
      <c r="I16" s="24" t="s">
        <v>439</v>
      </c>
      <c r="J16" s="25" t="s">
        <v>441</v>
      </c>
    </row>
    <row r="17" spans="1:10" ht="37.9" customHeight="1" outlineLevel="1">
      <c r="A17" s="25">
        <v>8</v>
      </c>
      <c r="B17" s="24" t="s">
        <v>442</v>
      </c>
      <c r="C17" s="24">
        <v>39</v>
      </c>
      <c r="D17" s="24" t="s">
        <v>417</v>
      </c>
      <c r="E17" s="118">
        <v>3500</v>
      </c>
      <c r="F17" s="25">
        <f t="shared" si="1"/>
        <v>136500</v>
      </c>
      <c r="G17" s="24">
        <v>18</v>
      </c>
      <c r="H17" s="24" t="s">
        <v>435</v>
      </c>
      <c r="I17" s="24" t="s">
        <v>428</v>
      </c>
      <c r="J17" s="25" t="s">
        <v>433</v>
      </c>
    </row>
    <row r="18" spans="1:10" ht="37.9" customHeight="1">
      <c r="A18" s="117" t="s">
        <v>425</v>
      </c>
      <c r="B18" s="117"/>
      <c r="C18" s="119">
        <f>SUM(C10:C17)</f>
        <v>104</v>
      </c>
      <c r="D18" s="25"/>
      <c r="E18" s="25"/>
      <c r="F18" s="119">
        <f>SUM(F10:F17)</f>
        <v>555000</v>
      </c>
      <c r="G18" s="25"/>
      <c r="H18" s="25"/>
      <c r="I18" s="25"/>
      <c r="J18" s="29"/>
    </row>
    <row r="19" spans="1:10" ht="46.15" customHeight="1">
      <c r="A19" s="117" t="s">
        <v>443</v>
      </c>
      <c r="B19" s="117"/>
      <c r="C19" s="25"/>
      <c r="D19" s="25"/>
      <c r="E19" s="25"/>
      <c r="F19" s="25"/>
      <c r="G19" s="25"/>
      <c r="H19" s="25"/>
      <c r="I19" s="25"/>
      <c r="J19" s="29"/>
    </row>
    <row r="20" spans="1:10" ht="37.15" customHeight="1" outlineLevel="1">
      <c r="A20" s="25">
        <v>1</v>
      </c>
      <c r="B20" s="24" t="s">
        <v>444</v>
      </c>
      <c r="C20" s="24">
        <v>40</v>
      </c>
      <c r="D20" s="24" t="s">
        <v>417</v>
      </c>
      <c r="E20" s="118">
        <v>8000</v>
      </c>
      <c r="F20" s="25">
        <f>C20*E20</f>
        <v>320000</v>
      </c>
      <c r="G20" s="24"/>
      <c r="H20" s="24" t="s">
        <v>428</v>
      </c>
      <c r="I20" s="24" t="s">
        <v>439</v>
      </c>
      <c r="J20" s="25" t="s">
        <v>445</v>
      </c>
    </row>
    <row r="21" spans="1:10" ht="37.15" customHeight="1" outlineLevel="1">
      <c r="A21" s="25">
        <v>2</v>
      </c>
      <c r="B21" s="24" t="s">
        <v>446</v>
      </c>
      <c r="C21" s="24">
        <v>15</v>
      </c>
      <c r="D21" s="24" t="s">
        <v>417</v>
      </c>
      <c r="E21" s="118">
        <v>5800</v>
      </c>
      <c r="F21" s="25">
        <f t="shared" ref="F21:F45" si="2">C21*E21</f>
        <v>87000</v>
      </c>
      <c r="G21" s="24"/>
      <c r="H21" s="24" t="s">
        <v>447</v>
      </c>
      <c r="I21" s="24" t="s">
        <v>448</v>
      </c>
      <c r="J21" s="25" t="s">
        <v>445</v>
      </c>
    </row>
    <row r="22" spans="1:10" ht="37.15" customHeight="1" outlineLevel="1">
      <c r="A22" s="25">
        <v>3</v>
      </c>
      <c r="B22" s="24" t="s">
        <v>449</v>
      </c>
      <c r="C22" s="24">
        <v>4</v>
      </c>
      <c r="D22" s="24" t="s">
        <v>417</v>
      </c>
      <c r="E22" s="118">
        <v>4000</v>
      </c>
      <c r="F22" s="25">
        <f t="shared" si="2"/>
        <v>16000</v>
      </c>
      <c r="G22" s="24"/>
      <c r="H22" s="24" t="s">
        <v>448</v>
      </c>
      <c r="I22" s="24" t="s">
        <v>450</v>
      </c>
      <c r="J22" s="25" t="s">
        <v>445</v>
      </c>
    </row>
    <row r="23" spans="1:10" ht="37.15" customHeight="1" outlineLevel="1">
      <c r="A23" s="25">
        <v>4</v>
      </c>
      <c r="B23" s="24" t="s">
        <v>451</v>
      </c>
      <c r="C23" s="24">
        <v>15</v>
      </c>
      <c r="D23" s="24" t="s">
        <v>417</v>
      </c>
      <c r="E23" s="118">
        <v>3100</v>
      </c>
      <c r="F23" s="25">
        <f t="shared" si="2"/>
        <v>46500</v>
      </c>
      <c r="G23" s="24"/>
      <c r="H23" s="24" t="s">
        <v>439</v>
      </c>
      <c r="I23" s="24" t="s">
        <v>447</v>
      </c>
      <c r="J23" s="25" t="s">
        <v>445</v>
      </c>
    </row>
    <row r="24" spans="1:10" ht="37.15" customHeight="1" outlineLevel="1">
      <c r="A24" s="25">
        <v>5</v>
      </c>
      <c r="B24" s="24" t="s">
        <v>452</v>
      </c>
      <c r="C24" s="24">
        <v>34</v>
      </c>
      <c r="D24" s="24" t="s">
        <v>417</v>
      </c>
      <c r="E24" s="118">
        <v>1800</v>
      </c>
      <c r="F24" s="25">
        <f t="shared" si="2"/>
        <v>61200</v>
      </c>
      <c r="G24" s="24"/>
      <c r="H24" s="24" t="s">
        <v>448</v>
      </c>
      <c r="I24" s="24" t="s">
        <v>448</v>
      </c>
      <c r="J24" s="25" t="s">
        <v>445</v>
      </c>
    </row>
    <row r="25" spans="1:10" ht="37.15" customHeight="1" outlineLevel="1">
      <c r="A25" s="25">
        <v>6</v>
      </c>
      <c r="B25" s="24" t="s">
        <v>453</v>
      </c>
      <c r="C25" s="24">
        <v>20</v>
      </c>
      <c r="D25" s="24" t="s">
        <v>417</v>
      </c>
      <c r="E25" s="118">
        <v>3600</v>
      </c>
      <c r="F25" s="25">
        <f t="shared" si="2"/>
        <v>72000</v>
      </c>
      <c r="G25" s="24"/>
      <c r="H25" s="24" t="s">
        <v>428</v>
      </c>
      <c r="I25" s="24" t="s">
        <v>439</v>
      </c>
      <c r="J25" s="25" t="s">
        <v>445</v>
      </c>
    </row>
    <row r="26" spans="1:10" ht="37.15" customHeight="1" outlineLevel="1">
      <c r="A26" s="25">
        <v>7</v>
      </c>
      <c r="B26" s="24" t="s">
        <v>454</v>
      </c>
      <c r="C26" s="24">
        <v>9</v>
      </c>
      <c r="D26" s="24" t="s">
        <v>417</v>
      </c>
      <c r="E26" s="118">
        <v>1500</v>
      </c>
      <c r="F26" s="25">
        <f t="shared" si="2"/>
        <v>13500</v>
      </c>
      <c r="G26" s="24">
        <v>13</v>
      </c>
      <c r="H26" s="24" t="s">
        <v>428</v>
      </c>
      <c r="I26" s="24" t="s">
        <v>447</v>
      </c>
      <c r="J26" s="25" t="s">
        <v>433</v>
      </c>
    </row>
    <row r="27" spans="1:10" ht="37.15" customHeight="1" outlineLevel="1">
      <c r="A27" s="25">
        <v>8</v>
      </c>
      <c r="B27" s="24" t="s">
        <v>455</v>
      </c>
      <c r="C27" s="24">
        <v>9</v>
      </c>
      <c r="D27" s="24" t="s">
        <v>417</v>
      </c>
      <c r="E27" s="118">
        <v>1400</v>
      </c>
      <c r="F27" s="25">
        <f t="shared" si="2"/>
        <v>12600</v>
      </c>
      <c r="G27" s="24">
        <v>10</v>
      </c>
      <c r="H27" s="24" t="s">
        <v>439</v>
      </c>
      <c r="I27" s="24" t="s">
        <v>448</v>
      </c>
      <c r="J27" s="25" t="s">
        <v>433</v>
      </c>
    </row>
    <row r="28" spans="1:10" ht="37.15" customHeight="1" outlineLevel="1">
      <c r="A28" s="25">
        <v>9</v>
      </c>
      <c r="B28" s="24" t="s">
        <v>456</v>
      </c>
      <c r="C28" s="24">
        <v>13</v>
      </c>
      <c r="D28" s="24" t="s">
        <v>417</v>
      </c>
      <c r="E28" s="118">
        <v>2200</v>
      </c>
      <c r="F28" s="25">
        <f t="shared" si="2"/>
        <v>28600</v>
      </c>
      <c r="G28" s="24">
        <v>15</v>
      </c>
      <c r="H28" s="24" t="s">
        <v>432</v>
      </c>
      <c r="I28" s="24" t="s">
        <v>439</v>
      </c>
      <c r="J28" s="25" t="s">
        <v>433</v>
      </c>
    </row>
    <row r="29" spans="1:10" ht="37.15" customHeight="1" outlineLevel="1">
      <c r="A29" s="25">
        <v>10</v>
      </c>
      <c r="B29" s="24" t="s">
        <v>457</v>
      </c>
      <c r="C29" s="24">
        <v>4</v>
      </c>
      <c r="D29" s="24" t="s">
        <v>417</v>
      </c>
      <c r="E29" s="118">
        <v>1300</v>
      </c>
      <c r="F29" s="25">
        <f t="shared" si="2"/>
        <v>5200</v>
      </c>
      <c r="G29" s="24">
        <v>10</v>
      </c>
      <c r="H29" s="24" t="s">
        <v>439</v>
      </c>
      <c r="I29" s="24" t="s">
        <v>450</v>
      </c>
      <c r="J29" s="25" t="s">
        <v>433</v>
      </c>
    </row>
    <row r="30" spans="1:10" ht="37.15" customHeight="1" outlineLevel="1">
      <c r="A30" s="25">
        <v>11</v>
      </c>
      <c r="B30" s="24" t="s">
        <v>458</v>
      </c>
      <c r="C30" s="24">
        <v>3</v>
      </c>
      <c r="D30" s="24" t="s">
        <v>417</v>
      </c>
      <c r="E30" s="118">
        <v>2400</v>
      </c>
      <c r="F30" s="25">
        <f t="shared" si="2"/>
        <v>7200</v>
      </c>
      <c r="G30" s="24">
        <v>15</v>
      </c>
      <c r="H30" s="24" t="s">
        <v>432</v>
      </c>
      <c r="I30" s="24" t="s">
        <v>439</v>
      </c>
      <c r="J30" s="25" t="s">
        <v>433</v>
      </c>
    </row>
    <row r="31" spans="1:10" ht="37.15" customHeight="1" outlineLevel="1">
      <c r="A31" s="25">
        <v>12</v>
      </c>
      <c r="B31" s="24" t="s">
        <v>459</v>
      </c>
      <c r="C31" s="24">
        <v>15</v>
      </c>
      <c r="D31" s="24" t="s">
        <v>417</v>
      </c>
      <c r="E31" s="118">
        <v>2600</v>
      </c>
      <c r="F31" s="25">
        <f t="shared" si="2"/>
        <v>39000</v>
      </c>
      <c r="G31" s="24">
        <v>15</v>
      </c>
      <c r="H31" s="24" t="s">
        <v>432</v>
      </c>
      <c r="I31" s="24" t="s">
        <v>439</v>
      </c>
      <c r="J31" s="25" t="s">
        <v>433</v>
      </c>
    </row>
    <row r="32" spans="1:10" ht="37.15" customHeight="1" outlineLevel="1">
      <c r="A32" s="25">
        <v>13</v>
      </c>
      <c r="B32" s="24" t="s">
        <v>460</v>
      </c>
      <c r="C32" s="24">
        <v>36</v>
      </c>
      <c r="D32" s="24" t="s">
        <v>417</v>
      </c>
      <c r="E32" s="118">
        <v>1500</v>
      </c>
      <c r="F32" s="25">
        <f t="shared" si="2"/>
        <v>54000</v>
      </c>
      <c r="G32" s="24">
        <v>12</v>
      </c>
      <c r="H32" s="24" t="s">
        <v>428</v>
      </c>
      <c r="I32" s="24" t="s">
        <v>447</v>
      </c>
      <c r="J32" s="25" t="s">
        <v>433</v>
      </c>
    </row>
    <row r="33" spans="1:10" ht="37.15" customHeight="1" outlineLevel="1">
      <c r="A33" s="25">
        <v>14</v>
      </c>
      <c r="B33" s="24" t="s">
        <v>461</v>
      </c>
      <c r="C33" s="24">
        <v>10</v>
      </c>
      <c r="D33" s="24" t="s">
        <v>417</v>
      </c>
      <c r="E33" s="118">
        <v>1650</v>
      </c>
      <c r="F33" s="25">
        <f t="shared" si="2"/>
        <v>16500</v>
      </c>
      <c r="G33" s="24">
        <v>14</v>
      </c>
      <c r="H33" s="24" t="s">
        <v>448</v>
      </c>
      <c r="I33" s="24" t="s">
        <v>448</v>
      </c>
      <c r="J33" s="25" t="s">
        <v>429</v>
      </c>
    </row>
    <row r="34" spans="1:10" ht="37.15" customHeight="1" outlineLevel="1">
      <c r="A34" s="25">
        <v>15</v>
      </c>
      <c r="B34" s="24" t="s">
        <v>462</v>
      </c>
      <c r="C34" s="24">
        <v>66</v>
      </c>
      <c r="D34" s="24" t="s">
        <v>417</v>
      </c>
      <c r="E34" s="118">
        <v>1000</v>
      </c>
      <c r="F34" s="25">
        <f t="shared" si="2"/>
        <v>66000</v>
      </c>
      <c r="G34" s="24"/>
      <c r="H34" s="24" t="s">
        <v>450</v>
      </c>
      <c r="I34" s="24" t="s">
        <v>463</v>
      </c>
      <c r="J34" s="25" t="s">
        <v>464</v>
      </c>
    </row>
    <row r="35" spans="1:10" ht="37.15" customHeight="1" outlineLevel="1">
      <c r="A35" s="25">
        <v>16</v>
      </c>
      <c r="B35" s="24" t="s">
        <v>465</v>
      </c>
      <c r="C35" s="24">
        <v>34</v>
      </c>
      <c r="D35" s="24" t="s">
        <v>417</v>
      </c>
      <c r="E35" s="118">
        <v>3200</v>
      </c>
      <c r="F35" s="25">
        <f t="shared" si="2"/>
        <v>108800</v>
      </c>
      <c r="G35" s="24">
        <v>13</v>
      </c>
      <c r="H35" s="24" t="s">
        <v>439</v>
      </c>
      <c r="I35" s="24" t="s">
        <v>439</v>
      </c>
      <c r="J35" s="25" t="s">
        <v>466</v>
      </c>
    </row>
    <row r="36" spans="1:10" ht="37.15" customHeight="1" outlineLevel="1">
      <c r="A36" s="25">
        <v>17</v>
      </c>
      <c r="B36" s="24" t="s">
        <v>467</v>
      </c>
      <c r="C36" s="24">
        <v>21</v>
      </c>
      <c r="D36" s="24" t="s">
        <v>417</v>
      </c>
      <c r="E36" s="118">
        <v>1500</v>
      </c>
      <c r="F36" s="25">
        <f t="shared" si="2"/>
        <v>31500</v>
      </c>
      <c r="G36" s="24">
        <v>8</v>
      </c>
      <c r="H36" s="24" t="s">
        <v>463</v>
      </c>
      <c r="I36" s="24" t="s">
        <v>463</v>
      </c>
      <c r="J36" s="25" t="s">
        <v>466</v>
      </c>
    </row>
    <row r="37" spans="1:10" ht="37.15" customHeight="1" outlineLevel="1">
      <c r="A37" s="25">
        <v>18</v>
      </c>
      <c r="B37" s="24" t="s">
        <v>468</v>
      </c>
      <c r="C37" s="24">
        <v>2</v>
      </c>
      <c r="D37" s="24" t="s">
        <v>417</v>
      </c>
      <c r="E37" s="118">
        <v>2800</v>
      </c>
      <c r="F37" s="25">
        <f t="shared" si="2"/>
        <v>5600</v>
      </c>
      <c r="G37" s="24">
        <v>12</v>
      </c>
      <c r="H37" s="24" t="s">
        <v>448</v>
      </c>
      <c r="I37" s="24" t="s">
        <v>448</v>
      </c>
      <c r="J37" s="25" t="s">
        <v>466</v>
      </c>
    </row>
    <row r="38" spans="1:10" ht="37.15" customHeight="1" outlineLevel="1">
      <c r="A38" s="25">
        <v>19</v>
      </c>
      <c r="B38" s="24" t="s">
        <v>469</v>
      </c>
      <c r="C38" s="24">
        <v>2</v>
      </c>
      <c r="D38" s="24" t="s">
        <v>417</v>
      </c>
      <c r="E38" s="118">
        <v>1500</v>
      </c>
      <c r="F38" s="25">
        <f t="shared" si="2"/>
        <v>3000</v>
      </c>
      <c r="G38" s="24">
        <v>8</v>
      </c>
      <c r="H38" s="24">
        <v>200</v>
      </c>
      <c r="I38" s="24">
        <v>200</v>
      </c>
      <c r="J38" s="25" t="s">
        <v>466</v>
      </c>
    </row>
    <row r="39" spans="1:10" ht="37.15" customHeight="1" outlineLevel="1">
      <c r="A39" s="25">
        <v>20</v>
      </c>
      <c r="B39" s="24" t="s">
        <v>470</v>
      </c>
      <c r="C39" s="24">
        <v>5</v>
      </c>
      <c r="D39" s="24" t="s">
        <v>417</v>
      </c>
      <c r="E39" s="118">
        <v>1300</v>
      </c>
      <c r="F39" s="25">
        <f t="shared" si="2"/>
        <v>6500</v>
      </c>
      <c r="G39" s="24">
        <v>9</v>
      </c>
      <c r="H39" s="24" t="s">
        <v>448</v>
      </c>
      <c r="I39" s="24" t="s">
        <v>471</v>
      </c>
      <c r="J39" s="25" t="s">
        <v>433</v>
      </c>
    </row>
    <row r="40" spans="1:10" ht="37.15" customHeight="1" outlineLevel="1">
      <c r="A40" s="25">
        <v>21</v>
      </c>
      <c r="B40" s="24" t="s">
        <v>472</v>
      </c>
      <c r="C40" s="24">
        <v>19</v>
      </c>
      <c r="D40" s="24" t="s">
        <v>417</v>
      </c>
      <c r="E40" s="118">
        <v>1200</v>
      </c>
      <c r="F40" s="25">
        <f t="shared" si="2"/>
        <v>22800</v>
      </c>
      <c r="G40" s="24">
        <v>9</v>
      </c>
      <c r="H40" s="24" t="s">
        <v>448</v>
      </c>
      <c r="I40" s="24" t="s">
        <v>450</v>
      </c>
      <c r="J40" s="25" t="s">
        <v>433</v>
      </c>
    </row>
    <row r="41" spans="1:10" ht="37.15" customHeight="1" outlineLevel="1">
      <c r="A41" s="25">
        <v>22</v>
      </c>
      <c r="B41" s="24" t="s">
        <v>473</v>
      </c>
      <c r="C41" s="24">
        <v>21</v>
      </c>
      <c r="D41" s="24" t="s">
        <v>417</v>
      </c>
      <c r="E41" s="118">
        <v>1400</v>
      </c>
      <c r="F41" s="25">
        <f t="shared" si="2"/>
        <v>29400</v>
      </c>
      <c r="G41" s="24">
        <v>9</v>
      </c>
      <c r="H41" s="24" t="s">
        <v>448</v>
      </c>
      <c r="I41" s="24" t="s">
        <v>463</v>
      </c>
      <c r="J41" s="25" t="s">
        <v>433</v>
      </c>
    </row>
    <row r="42" spans="1:10" ht="37.15" customHeight="1" outlineLevel="1">
      <c r="A42" s="25">
        <v>23</v>
      </c>
      <c r="B42" s="24" t="s">
        <v>474</v>
      </c>
      <c r="C42" s="24">
        <v>4</v>
      </c>
      <c r="D42" s="24" t="s">
        <v>417</v>
      </c>
      <c r="E42" s="118">
        <v>2600</v>
      </c>
      <c r="F42" s="25">
        <f t="shared" si="2"/>
        <v>10400</v>
      </c>
      <c r="G42" s="24"/>
      <c r="H42" s="24">
        <v>300</v>
      </c>
      <c r="I42" s="24" t="s">
        <v>448</v>
      </c>
      <c r="J42" s="25" t="s">
        <v>433</v>
      </c>
    </row>
    <row r="43" spans="1:10" ht="37.15" customHeight="1" outlineLevel="1">
      <c r="A43" s="25">
        <v>24</v>
      </c>
      <c r="B43" s="24" t="s">
        <v>475</v>
      </c>
      <c r="C43" s="24">
        <v>44</v>
      </c>
      <c r="D43" s="24" t="s">
        <v>417</v>
      </c>
      <c r="E43" s="118">
        <v>1100</v>
      </c>
      <c r="F43" s="25">
        <f t="shared" si="2"/>
        <v>48400</v>
      </c>
      <c r="G43" s="24"/>
      <c r="H43" s="24" t="s">
        <v>476</v>
      </c>
      <c r="I43" s="24" t="s">
        <v>476</v>
      </c>
      <c r="J43" s="25" t="s">
        <v>464</v>
      </c>
    </row>
    <row r="44" spans="1:10" ht="37.15" customHeight="1" outlineLevel="1">
      <c r="A44" s="25">
        <v>25</v>
      </c>
      <c r="B44" s="24" t="s">
        <v>477</v>
      </c>
      <c r="C44" s="24">
        <v>39</v>
      </c>
      <c r="D44" s="24" t="s">
        <v>417</v>
      </c>
      <c r="E44" s="118">
        <v>800</v>
      </c>
      <c r="F44" s="25">
        <f t="shared" si="2"/>
        <v>31200</v>
      </c>
      <c r="G44" s="24"/>
      <c r="H44" s="24" t="s">
        <v>478</v>
      </c>
      <c r="I44" s="24" t="s">
        <v>479</v>
      </c>
      <c r="J44" s="25" t="s">
        <v>464</v>
      </c>
    </row>
    <row r="45" spans="1:10" ht="37.15" customHeight="1" outlineLevel="1">
      <c r="A45" s="25">
        <v>26</v>
      </c>
      <c r="B45" s="24" t="s">
        <v>480</v>
      </c>
      <c r="C45" s="24">
        <v>34</v>
      </c>
      <c r="D45" s="24" t="s">
        <v>417</v>
      </c>
      <c r="E45" s="118">
        <v>450</v>
      </c>
      <c r="F45" s="25">
        <f t="shared" si="2"/>
        <v>15300</v>
      </c>
      <c r="G45" s="24"/>
      <c r="H45" s="24" t="s">
        <v>479</v>
      </c>
      <c r="I45" s="24" t="s">
        <v>481</v>
      </c>
      <c r="J45" s="25" t="s">
        <v>482</v>
      </c>
    </row>
    <row r="46" spans="1:10" ht="36" customHeight="1">
      <c r="A46" s="117" t="s">
        <v>425</v>
      </c>
      <c r="B46" s="117"/>
      <c r="C46" s="119">
        <f>SUM(C20:C45)</f>
        <v>518</v>
      </c>
      <c r="D46" s="25"/>
      <c r="E46" s="25"/>
      <c r="F46" s="119">
        <f>SUM(F20:F45)</f>
        <v>1158200</v>
      </c>
      <c r="G46" s="25"/>
      <c r="H46" s="25"/>
      <c r="I46" s="25"/>
      <c r="J46" s="29"/>
    </row>
    <row r="47" spans="1:10" ht="48" customHeight="1">
      <c r="A47" s="117" t="s">
        <v>483</v>
      </c>
      <c r="B47" s="117"/>
      <c r="C47" s="25"/>
      <c r="D47" s="25"/>
      <c r="E47" s="25"/>
      <c r="F47" s="25"/>
      <c r="G47" s="25"/>
      <c r="H47" s="25"/>
      <c r="I47" s="25"/>
      <c r="J47" s="29"/>
    </row>
    <row r="48" spans="1:10" ht="45" customHeight="1" outlineLevel="1">
      <c r="A48" s="25">
        <v>1</v>
      </c>
      <c r="B48" s="24" t="s">
        <v>484</v>
      </c>
      <c r="C48" s="24">
        <v>52</v>
      </c>
      <c r="D48" s="24" t="s">
        <v>417</v>
      </c>
      <c r="E48" s="118">
        <v>1200</v>
      </c>
      <c r="F48" s="25">
        <f>C48*E48</f>
        <v>62400</v>
      </c>
      <c r="G48" s="24"/>
      <c r="H48" s="24" t="s">
        <v>471</v>
      </c>
      <c r="I48" s="24" t="s">
        <v>471</v>
      </c>
      <c r="J48" s="25" t="s">
        <v>485</v>
      </c>
    </row>
    <row r="49" spans="1:10" ht="45" customHeight="1" outlineLevel="1">
      <c r="A49" s="25">
        <v>2</v>
      </c>
      <c r="B49" s="24" t="s">
        <v>486</v>
      </c>
      <c r="C49" s="24">
        <v>132</v>
      </c>
      <c r="D49" s="24" t="s">
        <v>417</v>
      </c>
      <c r="E49" s="118">
        <v>600</v>
      </c>
      <c r="F49" s="25">
        <f t="shared" ref="F49:F55" si="3">C49*E49</f>
        <v>79200</v>
      </c>
      <c r="G49" s="24"/>
      <c r="H49" s="24" t="s">
        <v>487</v>
      </c>
      <c r="I49" s="24" t="s">
        <v>487</v>
      </c>
      <c r="J49" s="25" t="s">
        <v>485</v>
      </c>
    </row>
    <row r="50" spans="1:10" ht="45" customHeight="1" outlineLevel="1">
      <c r="A50" s="25">
        <v>3</v>
      </c>
      <c r="B50" s="24" t="s">
        <v>488</v>
      </c>
      <c r="C50" s="24">
        <v>65</v>
      </c>
      <c r="D50" s="24" t="s">
        <v>417</v>
      </c>
      <c r="E50" s="118">
        <v>320</v>
      </c>
      <c r="F50" s="25">
        <f t="shared" si="3"/>
        <v>20800</v>
      </c>
      <c r="G50" s="24"/>
      <c r="H50" s="24" t="s">
        <v>489</v>
      </c>
      <c r="I50" s="24" t="s">
        <v>490</v>
      </c>
      <c r="J50" s="25" t="s">
        <v>485</v>
      </c>
    </row>
    <row r="51" spans="1:10" ht="45" customHeight="1" outlineLevel="1">
      <c r="A51" s="25">
        <v>4</v>
      </c>
      <c r="B51" s="24" t="s">
        <v>491</v>
      </c>
      <c r="C51" s="24">
        <v>20</v>
      </c>
      <c r="D51" s="24" t="s">
        <v>417</v>
      </c>
      <c r="E51" s="118">
        <v>520</v>
      </c>
      <c r="F51" s="25">
        <f t="shared" si="3"/>
        <v>10400</v>
      </c>
      <c r="G51" s="24"/>
      <c r="H51" s="24" t="s">
        <v>487</v>
      </c>
      <c r="I51" s="24" t="s">
        <v>487</v>
      </c>
      <c r="J51" s="25" t="s">
        <v>485</v>
      </c>
    </row>
    <row r="52" spans="1:10" ht="45" customHeight="1" outlineLevel="1">
      <c r="A52" s="25">
        <v>5</v>
      </c>
      <c r="B52" s="24" t="s">
        <v>492</v>
      </c>
      <c r="C52" s="24">
        <v>152</v>
      </c>
      <c r="D52" s="24" t="s">
        <v>417</v>
      </c>
      <c r="E52" s="118">
        <v>260</v>
      </c>
      <c r="F52" s="25">
        <f t="shared" si="3"/>
        <v>39520</v>
      </c>
      <c r="G52" s="24"/>
      <c r="H52" s="24" t="s">
        <v>493</v>
      </c>
      <c r="I52" s="24" t="s">
        <v>490</v>
      </c>
      <c r="J52" s="25" t="s">
        <v>485</v>
      </c>
    </row>
    <row r="53" spans="1:10" ht="45" customHeight="1" outlineLevel="1">
      <c r="A53" s="25">
        <v>6</v>
      </c>
      <c r="B53" s="24" t="s">
        <v>494</v>
      </c>
      <c r="C53" s="24">
        <v>21</v>
      </c>
      <c r="D53" s="24" t="s">
        <v>417</v>
      </c>
      <c r="E53" s="118">
        <v>180</v>
      </c>
      <c r="F53" s="25">
        <f t="shared" si="3"/>
        <v>3780</v>
      </c>
      <c r="G53" s="24"/>
      <c r="H53" s="24" t="s">
        <v>495</v>
      </c>
      <c r="I53" s="24" t="s">
        <v>496</v>
      </c>
      <c r="J53" s="25" t="s">
        <v>485</v>
      </c>
    </row>
    <row r="54" spans="1:10" ht="45" customHeight="1" outlineLevel="1">
      <c r="A54" s="25">
        <v>7</v>
      </c>
      <c r="B54" s="24" t="s">
        <v>497</v>
      </c>
      <c r="C54" s="24">
        <v>1</v>
      </c>
      <c r="D54" s="24" t="s">
        <v>417</v>
      </c>
      <c r="E54" s="118">
        <v>450</v>
      </c>
      <c r="F54" s="25">
        <f t="shared" si="3"/>
        <v>450</v>
      </c>
      <c r="G54" s="24"/>
      <c r="H54" s="24" t="s">
        <v>479</v>
      </c>
      <c r="I54" s="24" t="s">
        <v>487</v>
      </c>
      <c r="J54" s="25" t="s">
        <v>485</v>
      </c>
    </row>
    <row r="55" spans="1:10" ht="45" customHeight="1" outlineLevel="1">
      <c r="A55" s="25">
        <v>8</v>
      </c>
      <c r="B55" s="24" t="s">
        <v>498</v>
      </c>
      <c r="C55" s="24">
        <v>19</v>
      </c>
      <c r="D55" s="24" t="s">
        <v>417</v>
      </c>
      <c r="E55" s="118">
        <v>360</v>
      </c>
      <c r="F55" s="25">
        <f t="shared" si="3"/>
        <v>6840</v>
      </c>
      <c r="G55" s="24"/>
      <c r="H55" s="24" t="s">
        <v>489</v>
      </c>
      <c r="I55" s="24" t="s">
        <v>490</v>
      </c>
      <c r="J55" s="25" t="s">
        <v>485</v>
      </c>
    </row>
    <row r="56" spans="1:10" ht="45" customHeight="1">
      <c r="A56" s="117" t="s">
        <v>425</v>
      </c>
      <c r="B56" s="117"/>
      <c r="C56" s="119">
        <f>SUM(C48:C55)</f>
        <v>462</v>
      </c>
      <c r="D56" s="25"/>
      <c r="E56" s="25"/>
      <c r="F56" s="119">
        <f>SUM(F48:F55)</f>
        <v>223390</v>
      </c>
      <c r="G56" s="25"/>
      <c r="H56" s="25"/>
      <c r="I56" s="25"/>
      <c r="J56" s="29"/>
    </row>
    <row r="57" spans="1:10" ht="43.9" customHeight="1">
      <c r="A57" s="117" t="s">
        <v>499</v>
      </c>
      <c r="B57" s="117"/>
      <c r="C57" s="25"/>
      <c r="D57" s="25"/>
      <c r="E57" s="25"/>
      <c r="F57" s="25"/>
      <c r="G57" s="25"/>
      <c r="H57" s="25"/>
      <c r="I57" s="25"/>
      <c r="J57" s="29"/>
    </row>
    <row r="58" spans="1:10" ht="43.15" customHeight="1" outlineLevel="1">
      <c r="A58" s="25">
        <v>1</v>
      </c>
      <c r="B58" s="24" t="s">
        <v>500</v>
      </c>
      <c r="C58" s="24">
        <v>43</v>
      </c>
      <c r="D58" s="24" t="s">
        <v>501</v>
      </c>
      <c r="E58" s="118">
        <v>350</v>
      </c>
      <c r="F58" s="25">
        <f>C58*E58</f>
        <v>15050</v>
      </c>
      <c r="G58" s="24"/>
      <c r="H58" s="24">
        <v>120</v>
      </c>
      <c r="I58" s="24" t="s">
        <v>502</v>
      </c>
      <c r="J58" s="25" t="s">
        <v>503</v>
      </c>
    </row>
    <row r="59" spans="1:10" ht="43.15" customHeight="1" outlineLevel="1">
      <c r="A59" s="25">
        <v>2</v>
      </c>
      <c r="B59" s="24" t="s">
        <v>504</v>
      </c>
      <c r="C59" s="24">
        <v>274</v>
      </c>
      <c r="D59" s="24" t="s">
        <v>501</v>
      </c>
      <c r="E59" s="118">
        <v>160</v>
      </c>
      <c r="F59" s="25">
        <f t="shared" ref="F59:F71" si="4">C59*E59</f>
        <v>43840</v>
      </c>
      <c r="G59" s="24"/>
      <c r="H59" s="24">
        <v>45</v>
      </c>
      <c r="I59" s="24" t="s">
        <v>505</v>
      </c>
      <c r="J59" s="25" t="s">
        <v>506</v>
      </c>
    </row>
    <row r="60" spans="1:10" ht="43.15" customHeight="1" outlineLevel="1">
      <c r="A60" s="25">
        <v>3</v>
      </c>
      <c r="B60" s="24" t="s">
        <v>507</v>
      </c>
      <c r="C60" s="24">
        <v>822</v>
      </c>
      <c r="D60" s="24" t="s">
        <v>501</v>
      </c>
      <c r="E60" s="118">
        <v>175</v>
      </c>
      <c r="F60" s="25">
        <f t="shared" si="4"/>
        <v>143850</v>
      </c>
      <c r="G60" s="24"/>
      <c r="H60" s="24">
        <v>45</v>
      </c>
      <c r="I60" s="24" t="s">
        <v>505</v>
      </c>
      <c r="J60" s="25" t="s">
        <v>506</v>
      </c>
    </row>
    <row r="61" spans="1:10" ht="43.15" customHeight="1" outlineLevel="1">
      <c r="A61" s="25">
        <v>4</v>
      </c>
      <c r="B61" s="24" t="s">
        <v>508</v>
      </c>
      <c r="C61" s="24">
        <v>245</v>
      </c>
      <c r="D61" s="24" t="s">
        <v>501</v>
      </c>
      <c r="E61" s="118">
        <v>172</v>
      </c>
      <c r="F61" s="25">
        <f t="shared" si="4"/>
        <v>42140</v>
      </c>
      <c r="G61" s="24"/>
      <c r="H61" s="24">
        <v>45</v>
      </c>
      <c r="I61" s="24" t="s">
        <v>505</v>
      </c>
      <c r="J61" s="25" t="s">
        <v>506</v>
      </c>
    </row>
    <row r="62" spans="1:10" ht="43.15" customHeight="1" outlineLevel="1">
      <c r="A62" s="25">
        <v>5</v>
      </c>
      <c r="B62" s="24" t="s">
        <v>509</v>
      </c>
      <c r="C62" s="24">
        <v>653</v>
      </c>
      <c r="D62" s="24" t="s">
        <v>501</v>
      </c>
      <c r="E62" s="118">
        <v>171</v>
      </c>
      <c r="F62" s="25">
        <f t="shared" si="4"/>
        <v>111663</v>
      </c>
      <c r="G62" s="24"/>
      <c r="H62" s="24">
        <v>45</v>
      </c>
      <c r="I62" s="24" t="s">
        <v>505</v>
      </c>
      <c r="J62" s="25" t="s">
        <v>506</v>
      </c>
    </row>
    <row r="63" spans="1:10" ht="43.15" customHeight="1" outlineLevel="1">
      <c r="A63" s="25">
        <v>6</v>
      </c>
      <c r="B63" s="24" t="s">
        <v>510</v>
      </c>
      <c r="C63" s="24">
        <v>449</v>
      </c>
      <c r="D63" s="24" t="s">
        <v>501</v>
      </c>
      <c r="E63" s="118">
        <v>171</v>
      </c>
      <c r="F63" s="25">
        <f t="shared" si="4"/>
        <v>76779</v>
      </c>
      <c r="G63" s="24"/>
      <c r="H63" s="24">
        <v>45</v>
      </c>
      <c r="I63" s="24" t="s">
        <v>505</v>
      </c>
      <c r="J63" s="25" t="s">
        <v>506</v>
      </c>
    </row>
    <row r="64" spans="1:10" ht="43.15" customHeight="1" outlineLevel="1">
      <c r="A64" s="25">
        <v>7</v>
      </c>
      <c r="B64" s="24" t="s">
        <v>511</v>
      </c>
      <c r="C64" s="24">
        <v>356</v>
      </c>
      <c r="D64" s="24" t="s">
        <v>501</v>
      </c>
      <c r="E64" s="118">
        <v>175</v>
      </c>
      <c r="F64" s="25">
        <f t="shared" si="4"/>
        <v>62300</v>
      </c>
      <c r="G64" s="121"/>
      <c r="H64" s="24">
        <v>30</v>
      </c>
      <c r="I64" s="26" t="s">
        <v>512</v>
      </c>
      <c r="J64" s="25" t="s">
        <v>506</v>
      </c>
    </row>
    <row r="65" spans="1:10" ht="43.15" customHeight="1" outlineLevel="1">
      <c r="A65" s="25">
        <v>8</v>
      </c>
      <c r="B65" s="24" t="s">
        <v>513</v>
      </c>
      <c r="C65" s="24">
        <v>1344</v>
      </c>
      <c r="D65" s="24" t="s">
        <v>501</v>
      </c>
      <c r="E65" s="118">
        <v>160</v>
      </c>
      <c r="F65" s="25">
        <f t="shared" si="4"/>
        <v>215040</v>
      </c>
      <c r="G65" s="121"/>
      <c r="H65" s="24">
        <v>30</v>
      </c>
      <c r="I65" s="26" t="s">
        <v>512</v>
      </c>
      <c r="J65" s="25" t="s">
        <v>514</v>
      </c>
    </row>
    <row r="66" spans="1:10" ht="43.15" customHeight="1" outlineLevel="1">
      <c r="A66" s="25">
        <v>9</v>
      </c>
      <c r="B66" s="24" t="s">
        <v>515</v>
      </c>
      <c r="C66" s="24">
        <v>500</v>
      </c>
      <c r="D66" s="24" t="s">
        <v>501</v>
      </c>
      <c r="E66" s="118">
        <v>160</v>
      </c>
      <c r="F66" s="25">
        <f t="shared" si="4"/>
        <v>80000</v>
      </c>
      <c r="G66" s="121"/>
      <c r="H66" s="24">
        <v>30</v>
      </c>
      <c r="I66" s="26" t="s">
        <v>512</v>
      </c>
      <c r="J66" s="25" t="s">
        <v>514</v>
      </c>
    </row>
    <row r="67" spans="1:10" ht="43.15" customHeight="1" outlineLevel="1">
      <c r="A67" s="25">
        <v>10</v>
      </c>
      <c r="B67" s="24" t="s">
        <v>516</v>
      </c>
      <c r="C67" s="24">
        <v>987</v>
      </c>
      <c r="D67" s="24" t="s">
        <v>501</v>
      </c>
      <c r="E67" s="118">
        <v>160</v>
      </c>
      <c r="F67" s="25">
        <f t="shared" si="4"/>
        <v>157920</v>
      </c>
      <c r="G67" s="121"/>
      <c r="H67" s="24">
        <v>25</v>
      </c>
      <c r="I67" s="24" t="s">
        <v>517</v>
      </c>
      <c r="J67" s="25" t="s">
        <v>518</v>
      </c>
    </row>
    <row r="68" spans="1:10" ht="43.15" customHeight="1" outlineLevel="1">
      <c r="A68" s="25">
        <v>11</v>
      </c>
      <c r="B68" s="24" t="s">
        <v>519</v>
      </c>
      <c r="C68" s="24">
        <v>600</v>
      </c>
      <c r="D68" s="24" t="s">
        <v>501</v>
      </c>
      <c r="E68" s="118">
        <v>160</v>
      </c>
      <c r="F68" s="25">
        <f t="shared" si="4"/>
        <v>96000</v>
      </c>
      <c r="G68" s="121"/>
      <c r="H68" s="24">
        <v>25</v>
      </c>
      <c r="I68" s="24" t="s">
        <v>517</v>
      </c>
      <c r="J68" s="25" t="s">
        <v>518</v>
      </c>
    </row>
    <row r="69" spans="1:10" ht="43.15" customHeight="1" outlineLevel="1">
      <c r="A69" s="25">
        <v>12</v>
      </c>
      <c r="B69" s="24" t="s">
        <v>520</v>
      </c>
      <c r="C69" s="24">
        <v>228</v>
      </c>
      <c r="D69" s="24" t="s">
        <v>501</v>
      </c>
      <c r="E69" s="118">
        <v>175</v>
      </c>
      <c r="F69" s="25">
        <f t="shared" si="4"/>
        <v>39900</v>
      </c>
      <c r="G69" s="121"/>
      <c r="H69" s="24">
        <v>30</v>
      </c>
      <c r="I69" s="26" t="s">
        <v>512</v>
      </c>
      <c r="J69" s="25" t="s">
        <v>518</v>
      </c>
    </row>
    <row r="70" spans="1:10" ht="43.15" customHeight="1" outlineLevel="1">
      <c r="A70" s="25">
        <v>13</v>
      </c>
      <c r="B70" s="24" t="s">
        <v>521</v>
      </c>
      <c r="C70" s="24">
        <v>722</v>
      </c>
      <c r="D70" s="24" t="s">
        <v>501</v>
      </c>
      <c r="E70" s="118">
        <v>45</v>
      </c>
      <c r="F70" s="25">
        <f t="shared" si="4"/>
        <v>32490</v>
      </c>
      <c r="G70" s="25"/>
      <c r="H70" s="25"/>
      <c r="I70" s="28"/>
      <c r="J70" s="29" t="s">
        <v>522</v>
      </c>
    </row>
    <row r="71" spans="1:10" ht="43.15" customHeight="1" outlineLevel="1">
      <c r="A71" s="25">
        <v>14</v>
      </c>
      <c r="B71" s="24" t="s">
        <v>523</v>
      </c>
      <c r="C71" s="24">
        <v>4862</v>
      </c>
      <c r="D71" s="24" t="s">
        <v>501</v>
      </c>
      <c r="E71" s="118">
        <v>30</v>
      </c>
      <c r="F71" s="25">
        <f t="shared" si="4"/>
        <v>145860</v>
      </c>
      <c r="G71" s="25"/>
      <c r="H71" s="25"/>
      <c r="I71" s="25"/>
      <c r="J71" s="29" t="s">
        <v>524</v>
      </c>
    </row>
    <row r="72" spans="1:10" ht="43.9" customHeight="1">
      <c r="A72" s="117" t="s">
        <v>425</v>
      </c>
      <c r="B72" s="117"/>
      <c r="C72" s="119">
        <f>SUM(C58:C71)</f>
        <v>12085</v>
      </c>
      <c r="D72" s="25"/>
      <c r="E72" s="25"/>
      <c r="F72" s="119">
        <f>SUM(F58:F71)</f>
        <v>1262832</v>
      </c>
      <c r="G72" s="25"/>
      <c r="H72" s="25"/>
      <c r="I72" s="25"/>
      <c r="J72" s="29"/>
    </row>
    <row r="73" spans="1:10" ht="43.9" customHeight="1">
      <c r="A73" s="86" t="s">
        <v>525</v>
      </c>
      <c r="B73" s="86"/>
      <c r="C73" s="25"/>
      <c r="D73" s="25"/>
      <c r="E73" s="25"/>
      <c r="F73" s="25"/>
      <c r="G73" s="25"/>
      <c r="H73" s="25"/>
      <c r="I73" s="25"/>
      <c r="J73" s="29"/>
    </row>
    <row r="74" spans="1:10" ht="43.9" customHeight="1" outlineLevel="1">
      <c r="A74" s="25">
        <v>1</v>
      </c>
      <c r="B74" s="25" t="s">
        <v>526</v>
      </c>
      <c r="C74" s="119">
        <f>C72</f>
        <v>12085</v>
      </c>
      <c r="D74" s="25" t="s">
        <v>501</v>
      </c>
      <c r="E74" s="122">
        <v>6</v>
      </c>
      <c r="F74" s="25">
        <f>C74*E74</f>
        <v>72510</v>
      </c>
      <c r="G74" s="9"/>
      <c r="H74" s="27"/>
      <c r="I74" s="27"/>
      <c r="J74" s="30"/>
    </row>
    <row r="75" spans="1:10" ht="43.9" customHeight="1">
      <c r="A75" s="117" t="s">
        <v>425</v>
      </c>
      <c r="B75" s="117"/>
      <c r="C75" s="25"/>
      <c r="D75" s="25"/>
      <c r="E75" s="25"/>
      <c r="F75" s="119">
        <f>SUM(F74:F74)</f>
        <v>72510</v>
      </c>
      <c r="G75" s="25"/>
      <c r="H75" s="25"/>
      <c r="I75" s="25"/>
      <c r="J75" s="76"/>
    </row>
    <row r="76" spans="1:10" ht="43.9" customHeight="1">
      <c r="A76" s="117" t="s">
        <v>527</v>
      </c>
      <c r="B76" s="117"/>
      <c r="C76" s="117"/>
      <c r="D76" s="117"/>
      <c r="E76" s="117">
        <f>F8+F18+F46+F56+F72+F75</f>
        <v>3575932</v>
      </c>
      <c r="F76" s="117"/>
      <c r="G76" s="117"/>
      <c r="H76" s="117"/>
      <c r="I76" s="117"/>
      <c r="J76" s="31"/>
    </row>
  </sheetData>
  <mergeCells count="23">
    <mergeCell ref="A56:B56"/>
    <mergeCell ref="A1:J1"/>
    <mergeCell ref="G2:I2"/>
    <mergeCell ref="A4:B4"/>
    <mergeCell ref="A8:B8"/>
    <mergeCell ref="A9:B9"/>
    <mergeCell ref="J2:J3"/>
    <mergeCell ref="E76:I76"/>
    <mergeCell ref="A2:A3"/>
    <mergeCell ref="B2:B3"/>
    <mergeCell ref="C2:C3"/>
    <mergeCell ref="D2:D3"/>
    <mergeCell ref="E2:E3"/>
    <mergeCell ref="F2:F3"/>
    <mergeCell ref="A57:B57"/>
    <mergeCell ref="A72:B72"/>
    <mergeCell ref="A73:B73"/>
    <mergeCell ref="A75:B75"/>
    <mergeCell ref="A76:D76"/>
    <mergeCell ref="A18:B18"/>
    <mergeCell ref="A19:B19"/>
    <mergeCell ref="A46:B46"/>
    <mergeCell ref="A47:B47"/>
  </mergeCells>
  <phoneticPr fontId="2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32"/>
  <sheetViews>
    <sheetView zoomScale="115" zoomScaleNormal="115" workbookViewId="0">
      <selection activeCell="A24" sqref="A24:XFD24"/>
    </sheetView>
  </sheetViews>
  <sheetFormatPr defaultColWidth="10.28515625" defaultRowHeight="14.25"/>
  <cols>
    <col min="1" max="1" width="5" style="1" customWidth="1"/>
    <col min="2" max="2" width="10.28515625" style="1"/>
    <col min="3" max="3" width="17.7109375" style="1" customWidth="1"/>
    <col min="4" max="4" width="6.5703125" style="1" customWidth="1"/>
    <col min="5" max="5" width="7.28515625" style="1" customWidth="1"/>
    <col min="6" max="6" width="10.28515625" style="3"/>
    <col min="7" max="7" width="10.28515625" style="1"/>
    <col min="8" max="8" width="13.85546875" style="1" customWidth="1"/>
    <col min="9" max="16384" width="10.28515625" style="1"/>
  </cols>
  <sheetData>
    <row r="1" spans="1:9" ht="27.75" customHeight="1">
      <c r="A1" s="81" t="s">
        <v>528</v>
      </c>
      <c r="B1" s="81"/>
      <c r="C1" s="81"/>
      <c r="D1" s="81"/>
      <c r="E1" s="81"/>
      <c r="F1" s="81"/>
      <c r="G1" s="81"/>
      <c r="H1" s="81"/>
      <c r="I1" s="81"/>
    </row>
    <row r="2" spans="1:9" ht="24" customHeight="1">
      <c r="A2" s="105" t="s">
        <v>1</v>
      </c>
      <c r="B2" s="105" t="s">
        <v>14</v>
      </c>
      <c r="C2" s="105" t="s">
        <v>15</v>
      </c>
      <c r="D2" s="105" t="s">
        <v>16</v>
      </c>
      <c r="E2" s="105" t="s">
        <v>17</v>
      </c>
      <c r="F2" s="105" t="s">
        <v>18</v>
      </c>
      <c r="G2" s="105"/>
      <c r="H2" s="105"/>
      <c r="I2" s="105"/>
    </row>
    <row r="3" spans="1:9" ht="24" customHeight="1">
      <c r="A3" s="105"/>
      <c r="B3" s="105"/>
      <c r="C3" s="105"/>
      <c r="D3" s="105"/>
      <c r="E3" s="105"/>
      <c r="F3" s="90" t="s">
        <v>19</v>
      </c>
      <c r="G3" s="90"/>
      <c r="H3" s="105" t="s">
        <v>20</v>
      </c>
      <c r="I3" s="105" t="s">
        <v>21</v>
      </c>
    </row>
    <row r="4" spans="1:9" ht="24" customHeight="1">
      <c r="A4" s="105"/>
      <c r="B4" s="105"/>
      <c r="C4" s="105"/>
      <c r="D4" s="105"/>
      <c r="E4" s="105"/>
      <c r="F4" s="77"/>
      <c r="G4" s="77" t="s">
        <v>22</v>
      </c>
      <c r="H4" s="105"/>
      <c r="I4" s="105"/>
    </row>
    <row r="5" spans="1:9">
      <c r="A5" s="16"/>
      <c r="B5" s="91" t="s">
        <v>529</v>
      </c>
      <c r="C5" s="91"/>
      <c r="D5" s="16"/>
      <c r="E5" s="16"/>
      <c r="F5" s="17"/>
      <c r="G5" s="20"/>
      <c r="H5" s="17"/>
      <c r="I5" s="107"/>
    </row>
    <row r="6" spans="1:9" ht="112.5" customHeight="1">
      <c r="A6" s="16">
        <v>1</v>
      </c>
      <c r="B6" s="78" t="s">
        <v>530</v>
      </c>
      <c r="C6" s="78" t="s">
        <v>531</v>
      </c>
      <c r="D6" s="16" t="s">
        <v>246</v>
      </c>
      <c r="E6" s="17">
        <v>1</v>
      </c>
      <c r="F6" s="17">
        <v>5600</v>
      </c>
      <c r="G6" s="20">
        <v>4500</v>
      </c>
      <c r="H6" s="17">
        <f t="shared" ref="H6:H31" si="0">E6*F6</f>
        <v>5600</v>
      </c>
      <c r="I6" s="107"/>
    </row>
    <row r="7" spans="1:9" ht="109.5" customHeight="1">
      <c r="A7" s="16">
        <v>2</v>
      </c>
      <c r="B7" s="78" t="s">
        <v>532</v>
      </c>
      <c r="C7" s="78" t="s">
        <v>533</v>
      </c>
      <c r="D7" s="16" t="s">
        <v>534</v>
      </c>
      <c r="E7" s="17">
        <v>1</v>
      </c>
      <c r="F7" s="21">
        <v>4080</v>
      </c>
      <c r="G7" s="21">
        <v>3000</v>
      </c>
      <c r="H7" s="22">
        <f t="shared" si="0"/>
        <v>4080</v>
      </c>
      <c r="I7" s="108"/>
    </row>
    <row r="8" spans="1:9" ht="63" customHeight="1">
      <c r="A8" s="16">
        <v>3</v>
      </c>
      <c r="B8" s="78" t="s">
        <v>535</v>
      </c>
      <c r="C8" s="78" t="s">
        <v>536</v>
      </c>
      <c r="D8" s="16" t="s">
        <v>51</v>
      </c>
      <c r="E8" s="16">
        <v>637.17999999999995</v>
      </c>
      <c r="F8" s="17">
        <v>13.5</v>
      </c>
      <c r="G8" s="23">
        <v>8.5</v>
      </c>
      <c r="H8" s="17">
        <f t="shared" si="0"/>
        <v>8601.9299999999985</v>
      </c>
      <c r="I8" s="107"/>
    </row>
    <row r="9" spans="1:9" ht="66" customHeight="1">
      <c r="A9" s="16">
        <v>4</v>
      </c>
      <c r="B9" s="78" t="s">
        <v>535</v>
      </c>
      <c r="C9" s="78" t="s">
        <v>537</v>
      </c>
      <c r="D9" s="16" t="s">
        <v>51</v>
      </c>
      <c r="E9" s="16">
        <v>87.15</v>
      </c>
      <c r="F9" s="17">
        <v>11.85</v>
      </c>
      <c r="G9" s="23">
        <v>6.65</v>
      </c>
      <c r="H9" s="17">
        <f t="shared" si="0"/>
        <v>1032.7275</v>
      </c>
      <c r="I9" s="107"/>
    </row>
    <row r="10" spans="1:9" ht="66.75" customHeight="1">
      <c r="A10" s="16">
        <v>5</v>
      </c>
      <c r="B10" s="78" t="s">
        <v>535</v>
      </c>
      <c r="C10" s="78" t="s">
        <v>538</v>
      </c>
      <c r="D10" s="16" t="s">
        <v>51</v>
      </c>
      <c r="E10" s="16">
        <v>196.06</v>
      </c>
      <c r="F10" s="17">
        <v>19.5</v>
      </c>
      <c r="G10" s="23">
        <v>11.5</v>
      </c>
      <c r="H10" s="17">
        <f t="shared" si="0"/>
        <v>3823.17</v>
      </c>
      <c r="I10" s="107"/>
    </row>
    <row r="11" spans="1:9" ht="87" customHeight="1">
      <c r="A11" s="16">
        <v>6</v>
      </c>
      <c r="B11" s="78" t="s">
        <v>539</v>
      </c>
      <c r="C11" s="78" t="s">
        <v>540</v>
      </c>
      <c r="D11" s="16" t="s">
        <v>51</v>
      </c>
      <c r="E11" s="16">
        <v>33.979999999999997</v>
      </c>
      <c r="F11" s="17">
        <v>18.649999999999999</v>
      </c>
      <c r="G11" s="20">
        <v>11.55</v>
      </c>
      <c r="H11" s="17">
        <f t="shared" si="0"/>
        <v>633.72699999999986</v>
      </c>
      <c r="I11" s="107"/>
    </row>
    <row r="12" spans="1:9" ht="89.25" customHeight="1">
      <c r="A12" s="16">
        <v>7</v>
      </c>
      <c r="B12" s="78" t="s">
        <v>539</v>
      </c>
      <c r="C12" s="78" t="s">
        <v>541</v>
      </c>
      <c r="D12" s="16" t="s">
        <v>51</v>
      </c>
      <c r="E12" s="16">
        <f>3408.59+564.74</f>
        <v>3973.33</v>
      </c>
      <c r="F12" s="17">
        <v>23.55</v>
      </c>
      <c r="G12" s="20">
        <v>13.55</v>
      </c>
      <c r="H12" s="17">
        <f t="shared" si="0"/>
        <v>93571.921499999997</v>
      </c>
      <c r="I12" s="107"/>
    </row>
    <row r="13" spans="1:9" ht="94.5">
      <c r="A13" s="16">
        <v>8</v>
      </c>
      <c r="B13" s="78" t="s">
        <v>539</v>
      </c>
      <c r="C13" s="78" t="s">
        <v>542</v>
      </c>
      <c r="D13" s="16" t="s">
        <v>51</v>
      </c>
      <c r="E13" s="16">
        <v>159.59</v>
      </c>
      <c r="F13" s="17">
        <v>38.35</v>
      </c>
      <c r="G13" s="20">
        <v>25.66</v>
      </c>
      <c r="H13" s="17">
        <f t="shared" si="0"/>
        <v>6120.2764999999999</v>
      </c>
      <c r="I13" s="107"/>
    </row>
    <row r="14" spans="1:9" ht="94.5">
      <c r="A14" s="16">
        <v>9</v>
      </c>
      <c r="B14" s="78" t="s">
        <v>539</v>
      </c>
      <c r="C14" s="78" t="s">
        <v>543</v>
      </c>
      <c r="D14" s="16" t="s">
        <v>51</v>
      </c>
      <c r="E14" s="16">
        <v>196.06</v>
      </c>
      <c r="F14" s="17">
        <v>98.5</v>
      </c>
      <c r="G14" s="20">
        <v>65</v>
      </c>
      <c r="H14" s="17">
        <f t="shared" si="0"/>
        <v>19311.91</v>
      </c>
      <c r="I14" s="107"/>
    </row>
    <row r="15" spans="1:9" ht="126">
      <c r="A15" s="16">
        <v>10</v>
      </c>
      <c r="B15" s="78" t="s">
        <v>544</v>
      </c>
      <c r="C15" s="78" t="s">
        <v>545</v>
      </c>
      <c r="D15" s="16" t="s">
        <v>534</v>
      </c>
      <c r="E15" s="16">
        <v>56</v>
      </c>
      <c r="F15" s="17">
        <v>1400</v>
      </c>
      <c r="G15" s="23">
        <v>1200</v>
      </c>
      <c r="H15" s="17">
        <f t="shared" si="0"/>
        <v>78400</v>
      </c>
      <c r="I15" s="107"/>
    </row>
    <row r="16" spans="1:9" ht="126">
      <c r="A16" s="16">
        <v>11</v>
      </c>
      <c r="B16" s="78" t="s">
        <v>546</v>
      </c>
      <c r="C16" s="78" t="s">
        <v>547</v>
      </c>
      <c r="D16" s="16" t="s">
        <v>534</v>
      </c>
      <c r="E16" s="16">
        <v>26</v>
      </c>
      <c r="F16" s="17">
        <v>320</v>
      </c>
      <c r="G16" s="23">
        <v>220</v>
      </c>
      <c r="H16" s="17">
        <f t="shared" si="0"/>
        <v>8320</v>
      </c>
      <c r="I16" s="107"/>
    </row>
    <row r="17" spans="1:9" ht="136.5">
      <c r="A17" s="16">
        <v>12</v>
      </c>
      <c r="B17" s="78" t="s">
        <v>548</v>
      </c>
      <c r="C17" s="78" t="s">
        <v>549</v>
      </c>
      <c r="D17" s="16" t="s">
        <v>534</v>
      </c>
      <c r="E17" s="16">
        <v>26</v>
      </c>
      <c r="F17" s="17">
        <v>260</v>
      </c>
      <c r="G17" s="23">
        <v>180</v>
      </c>
      <c r="H17" s="17">
        <f t="shared" si="0"/>
        <v>6760</v>
      </c>
      <c r="I17" s="107"/>
    </row>
    <row r="18" spans="1:9" ht="84">
      <c r="A18" s="16">
        <v>13</v>
      </c>
      <c r="B18" s="78" t="s">
        <v>550</v>
      </c>
      <c r="C18" s="78" t="s">
        <v>551</v>
      </c>
      <c r="D18" s="16" t="s">
        <v>51</v>
      </c>
      <c r="E18" s="16">
        <v>58.32</v>
      </c>
      <c r="F18" s="17">
        <v>20</v>
      </c>
      <c r="G18" s="23">
        <v>15</v>
      </c>
      <c r="H18" s="17">
        <f t="shared" si="0"/>
        <v>1166.4000000000001</v>
      </c>
      <c r="I18" s="107"/>
    </row>
    <row r="19" spans="1:9" ht="84">
      <c r="A19" s="16">
        <v>14</v>
      </c>
      <c r="B19" s="78" t="s">
        <v>550</v>
      </c>
      <c r="C19" s="78" t="s">
        <v>552</v>
      </c>
      <c r="D19" s="16" t="s">
        <v>51</v>
      </c>
      <c r="E19" s="16">
        <v>6</v>
      </c>
      <c r="F19" s="17">
        <v>22</v>
      </c>
      <c r="G19" s="23">
        <v>12</v>
      </c>
      <c r="H19" s="17">
        <f t="shared" si="0"/>
        <v>132</v>
      </c>
      <c r="I19" s="107"/>
    </row>
    <row r="20" spans="1:9" ht="94.5">
      <c r="A20" s="16">
        <v>15</v>
      </c>
      <c r="B20" s="78" t="s">
        <v>550</v>
      </c>
      <c r="C20" s="78" t="s">
        <v>553</v>
      </c>
      <c r="D20" s="16" t="s">
        <v>51</v>
      </c>
      <c r="E20" s="16">
        <v>193.17</v>
      </c>
      <c r="F20" s="17">
        <v>22</v>
      </c>
      <c r="G20" s="23">
        <v>12</v>
      </c>
      <c r="H20" s="17">
        <f t="shared" si="0"/>
        <v>4249.74</v>
      </c>
      <c r="I20" s="107"/>
    </row>
    <row r="21" spans="1:9" ht="49.5" customHeight="1">
      <c r="A21" s="16">
        <v>16</v>
      </c>
      <c r="B21" s="78" t="s">
        <v>554</v>
      </c>
      <c r="C21" s="78" t="s">
        <v>555</v>
      </c>
      <c r="D21" s="16" t="s">
        <v>98</v>
      </c>
      <c r="E21" s="16">
        <v>1</v>
      </c>
      <c r="F21" s="17">
        <f>175-11.96</f>
        <v>163.04</v>
      </c>
      <c r="G21" s="23">
        <v>115</v>
      </c>
      <c r="H21" s="17">
        <f t="shared" si="0"/>
        <v>163.04</v>
      </c>
      <c r="I21" s="107"/>
    </row>
    <row r="22" spans="1:9" ht="159.75" customHeight="1">
      <c r="A22" s="16">
        <v>17</v>
      </c>
      <c r="B22" s="78" t="s">
        <v>556</v>
      </c>
      <c r="C22" s="78" t="s">
        <v>557</v>
      </c>
      <c r="D22" s="16" t="s">
        <v>558</v>
      </c>
      <c r="E22" s="16">
        <v>10</v>
      </c>
      <c r="F22" s="17">
        <v>750</v>
      </c>
      <c r="G22" s="20">
        <v>500</v>
      </c>
      <c r="H22" s="17">
        <f t="shared" si="0"/>
        <v>7500</v>
      </c>
      <c r="I22" s="107"/>
    </row>
    <row r="23" spans="1:9" ht="50.25" customHeight="1">
      <c r="A23" s="16">
        <v>18</v>
      </c>
      <c r="B23" s="78" t="s">
        <v>26</v>
      </c>
      <c r="C23" s="78" t="s">
        <v>559</v>
      </c>
      <c r="D23" s="16" t="s">
        <v>28</v>
      </c>
      <c r="E23" s="16">
        <v>394.59</v>
      </c>
      <c r="F23" s="17">
        <v>12</v>
      </c>
      <c r="G23" s="20"/>
      <c r="H23" s="17">
        <f t="shared" si="0"/>
        <v>4735.08</v>
      </c>
      <c r="I23" s="107"/>
    </row>
    <row r="24" spans="1:9" ht="39" customHeight="1">
      <c r="A24" s="16">
        <v>19</v>
      </c>
      <c r="B24" s="78" t="s">
        <v>560</v>
      </c>
      <c r="C24" s="78" t="s">
        <v>561</v>
      </c>
      <c r="D24" s="16" t="s">
        <v>28</v>
      </c>
      <c r="E24" s="16">
        <v>394.59</v>
      </c>
      <c r="F24" s="17">
        <v>20</v>
      </c>
      <c r="G24" s="20"/>
      <c r="H24" s="17">
        <f t="shared" si="0"/>
        <v>7891.7999999999993</v>
      </c>
      <c r="I24" s="107"/>
    </row>
    <row r="25" spans="1:9" ht="73.5">
      <c r="A25" s="16">
        <v>20</v>
      </c>
      <c r="B25" s="78" t="s">
        <v>535</v>
      </c>
      <c r="C25" s="78" t="s">
        <v>562</v>
      </c>
      <c r="D25" s="16" t="s">
        <v>51</v>
      </c>
      <c r="E25" s="16">
        <v>24.38</v>
      </c>
      <c r="F25" s="17">
        <v>19.5</v>
      </c>
      <c r="G25" s="20">
        <v>11.5</v>
      </c>
      <c r="H25" s="17">
        <f t="shared" si="0"/>
        <v>475.40999999999997</v>
      </c>
      <c r="I25" s="107"/>
    </row>
    <row r="26" spans="1:9" ht="94.5">
      <c r="A26" s="16">
        <v>21</v>
      </c>
      <c r="B26" s="78" t="s">
        <v>539</v>
      </c>
      <c r="C26" s="78" t="s">
        <v>563</v>
      </c>
      <c r="D26" s="16" t="s">
        <v>51</v>
      </c>
      <c r="E26" s="16">
        <v>201.35</v>
      </c>
      <c r="F26" s="17">
        <v>58.5</v>
      </c>
      <c r="G26" s="20">
        <v>49.5</v>
      </c>
      <c r="H26" s="17">
        <f t="shared" si="0"/>
        <v>11778.975</v>
      </c>
      <c r="I26" s="107"/>
    </row>
    <row r="27" spans="1:9" ht="73.5">
      <c r="A27" s="16">
        <v>22</v>
      </c>
      <c r="B27" s="78" t="s">
        <v>535</v>
      </c>
      <c r="C27" s="78" t="s">
        <v>564</v>
      </c>
      <c r="D27" s="16" t="s">
        <v>51</v>
      </c>
      <c r="E27" s="16">
        <v>34.5</v>
      </c>
      <c r="F27" s="17">
        <v>26.5</v>
      </c>
      <c r="G27" s="20">
        <v>19.5</v>
      </c>
      <c r="H27" s="17">
        <f t="shared" si="0"/>
        <v>914.25</v>
      </c>
      <c r="I27" s="107"/>
    </row>
    <row r="28" spans="1:9" ht="94.5">
      <c r="A28" s="16">
        <v>23</v>
      </c>
      <c r="B28" s="78" t="s">
        <v>539</v>
      </c>
      <c r="C28" s="78" t="s">
        <v>565</v>
      </c>
      <c r="D28" s="16" t="s">
        <v>51</v>
      </c>
      <c r="E28" s="16">
        <f>156.11+34.5</f>
        <v>190.61</v>
      </c>
      <c r="F28" s="17">
        <v>95.5</v>
      </c>
      <c r="G28" s="20">
        <v>75</v>
      </c>
      <c r="H28" s="17">
        <f t="shared" si="0"/>
        <v>18203.255000000001</v>
      </c>
      <c r="I28" s="107"/>
    </row>
    <row r="29" spans="1:9" ht="63">
      <c r="A29" s="16">
        <v>24</v>
      </c>
      <c r="B29" s="78" t="s">
        <v>566</v>
      </c>
      <c r="C29" s="78" t="s">
        <v>567</v>
      </c>
      <c r="D29" s="16" t="s">
        <v>98</v>
      </c>
      <c r="E29" s="16">
        <v>1</v>
      </c>
      <c r="F29" s="17">
        <v>455</v>
      </c>
      <c r="G29" s="20">
        <v>360</v>
      </c>
      <c r="H29" s="17">
        <f t="shared" si="0"/>
        <v>455</v>
      </c>
      <c r="I29" s="107"/>
    </row>
    <row r="30" spans="1:9" ht="63">
      <c r="A30" s="16">
        <v>25</v>
      </c>
      <c r="B30" s="78" t="s">
        <v>566</v>
      </c>
      <c r="C30" s="78" t="s">
        <v>568</v>
      </c>
      <c r="D30" s="16" t="s">
        <v>98</v>
      </c>
      <c r="E30" s="16">
        <v>3</v>
      </c>
      <c r="F30" s="17">
        <v>465</v>
      </c>
      <c r="G30" s="20">
        <v>380</v>
      </c>
      <c r="H30" s="17">
        <f t="shared" si="0"/>
        <v>1395</v>
      </c>
      <c r="I30" s="107"/>
    </row>
    <row r="31" spans="1:9" ht="52.5">
      <c r="A31" s="16">
        <v>26</v>
      </c>
      <c r="B31" s="78" t="s">
        <v>569</v>
      </c>
      <c r="C31" s="78" t="s">
        <v>570</v>
      </c>
      <c r="D31" s="16" t="s">
        <v>51</v>
      </c>
      <c r="E31" s="16">
        <v>20</v>
      </c>
      <c r="F31" s="17">
        <v>19.5</v>
      </c>
      <c r="G31" s="20">
        <v>11.5</v>
      </c>
      <c r="H31" s="17">
        <f t="shared" si="0"/>
        <v>390</v>
      </c>
      <c r="I31" s="107"/>
    </row>
    <row r="32" spans="1:9" ht="20.25" customHeight="1">
      <c r="A32" s="109" t="s">
        <v>571</v>
      </c>
      <c r="B32" s="109"/>
      <c r="C32" s="109"/>
      <c r="D32" s="109"/>
      <c r="E32" s="109"/>
      <c r="F32" s="109"/>
      <c r="G32" s="109"/>
      <c r="H32" s="110">
        <f>SUM(H5:H31)</f>
        <v>295705.61249999993</v>
      </c>
      <c r="I32" s="111"/>
    </row>
  </sheetData>
  <mergeCells count="12">
    <mergeCell ref="A1:I1"/>
    <mergeCell ref="F2:I2"/>
    <mergeCell ref="F3:G3"/>
    <mergeCell ref="B5:C5"/>
    <mergeCell ref="A32:G32"/>
    <mergeCell ref="A2:A4"/>
    <mergeCell ref="B2:B4"/>
    <mergeCell ref="C2:C4"/>
    <mergeCell ref="D2:D4"/>
    <mergeCell ref="E2:E4"/>
    <mergeCell ref="H3:H4"/>
    <mergeCell ref="I3:I4"/>
  </mergeCells>
  <phoneticPr fontId="22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56"/>
  <sheetViews>
    <sheetView zoomScale="115" zoomScaleNormal="115" workbookViewId="0">
      <selection activeCell="H5" sqref="H5"/>
    </sheetView>
  </sheetViews>
  <sheetFormatPr defaultColWidth="9.140625" defaultRowHeight="12.75"/>
  <cols>
    <col min="1" max="1" width="5.42578125" style="2" customWidth="1"/>
    <col min="2" max="2" width="9.140625" style="2"/>
    <col min="3" max="3" width="23.140625" style="2" customWidth="1"/>
    <col min="4" max="7" width="9.140625" style="2"/>
    <col min="8" max="8" width="14.42578125" style="2" customWidth="1"/>
    <col min="9" max="16384" width="9.140625" style="2"/>
  </cols>
  <sheetData>
    <row r="1" spans="1:9" ht="20.25">
      <c r="A1" s="81" t="s">
        <v>572</v>
      </c>
      <c r="B1" s="81"/>
      <c r="C1" s="81"/>
      <c r="D1" s="81"/>
      <c r="E1" s="81"/>
      <c r="F1" s="81"/>
      <c r="G1" s="81"/>
      <c r="H1" s="81"/>
      <c r="I1" s="81"/>
    </row>
    <row r="2" spans="1:9">
      <c r="A2" s="105" t="s">
        <v>1</v>
      </c>
      <c r="B2" s="105" t="s">
        <v>14</v>
      </c>
      <c r="C2" s="105" t="s">
        <v>15</v>
      </c>
      <c r="D2" s="105" t="s">
        <v>16</v>
      </c>
      <c r="E2" s="105" t="s">
        <v>17</v>
      </c>
      <c r="F2" s="105" t="s">
        <v>18</v>
      </c>
      <c r="G2" s="105"/>
      <c r="H2" s="105"/>
      <c r="I2" s="105"/>
    </row>
    <row r="3" spans="1:9">
      <c r="A3" s="105"/>
      <c r="B3" s="105"/>
      <c r="C3" s="105"/>
      <c r="D3" s="105"/>
      <c r="E3" s="105"/>
      <c r="F3" s="90" t="s">
        <v>19</v>
      </c>
      <c r="G3" s="90"/>
      <c r="H3" s="105" t="s">
        <v>20</v>
      </c>
      <c r="I3" s="105" t="s">
        <v>21</v>
      </c>
    </row>
    <row r="4" spans="1:9" ht="24.75">
      <c r="A4" s="105"/>
      <c r="B4" s="105"/>
      <c r="C4" s="105"/>
      <c r="D4" s="105"/>
      <c r="E4" s="105"/>
      <c r="F4" s="77"/>
      <c r="G4" s="77" t="s">
        <v>22</v>
      </c>
      <c r="H4" s="105"/>
      <c r="I4" s="105"/>
    </row>
    <row r="5" spans="1:9">
      <c r="A5" s="16"/>
      <c r="B5" s="91" t="s">
        <v>573</v>
      </c>
      <c r="C5" s="91"/>
      <c r="D5" s="16"/>
      <c r="E5" s="16"/>
      <c r="F5" s="16"/>
      <c r="G5" s="16"/>
      <c r="H5" s="16"/>
      <c r="I5" s="106"/>
    </row>
    <row r="6" spans="1:9" ht="63">
      <c r="A6" s="19">
        <v>1</v>
      </c>
      <c r="B6" s="78" t="s">
        <v>117</v>
      </c>
      <c r="C6" s="78" t="s">
        <v>140</v>
      </c>
      <c r="D6" s="16" t="s">
        <v>28</v>
      </c>
      <c r="E6" s="16">
        <v>6.51</v>
      </c>
      <c r="F6" s="17">
        <v>12</v>
      </c>
      <c r="G6" s="17"/>
      <c r="H6" s="17">
        <f t="shared" ref="H6:H9" si="0">E6*F6</f>
        <v>78.12</v>
      </c>
      <c r="I6" s="106"/>
    </row>
    <row r="7" spans="1:9" ht="96" customHeight="1">
      <c r="A7" s="19">
        <v>2</v>
      </c>
      <c r="B7" s="78" t="s">
        <v>560</v>
      </c>
      <c r="C7" s="78" t="s">
        <v>574</v>
      </c>
      <c r="D7" s="16" t="s">
        <v>28</v>
      </c>
      <c r="E7" s="16">
        <v>6.72</v>
      </c>
      <c r="F7" s="17">
        <v>25</v>
      </c>
      <c r="G7" s="17"/>
      <c r="H7" s="17">
        <f t="shared" si="0"/>
        <v>168</v>
      </c>
      <c r="I7" s="106"/>
    </row>
    <row r="8" spans="1:9" ht="99.75" customHeight="1">
      <c r="A8" s="19">
        <v>3</v>
      </c>
      <c r="B8" s="78" t="s">
        <v>575</v>
      </c>
      <c r="C8" s="78" t="s">
        <v>576</v>
      </c>
      <c r="D8" s="16" t="s">
        <v>51</v>
      </c>
      <c r="E8" s="16">
        <v>26.89</v>
      </c>
      <c r="F8" s="18">
        <v>39.5</v>
      </c>
      <c r="G8" s="17">
        <v>25</v>
      </c>
      <c r="H8" s="17">
        <f t="shared" si="0"/>
        <v>1062.155</v>
      </c>
      <c r="I8" s="106"/>
    </row>
    <row r="9" spans="1:9" ht="60" customHeight="1">
      <c r="A9" s="19">
        <v>4</v>
      </c>
      <c r="B9" s="78" t="s">
        <v>577</v>
      </c>
      <c r="C9" s="78" t="s">
        <v>578</v>
      </c>
      <c r="D9" s="16" t="s">
        <v>98</v>
      </c>
      <c r="E9" s="16">
        <v>14</v>
      </c>
      <c r="F9" s="18">
        <v>33</v>
      </c>
      <c r="G9" s="18">
        <v>20</v>
      </c>
      <c r="H9" s="17">
        <f t="shared" si="0"/>
        <v>462</v>
      </c>
      <c r="I9" s="106"/>
    </row>
    <row r="10" spans="1:9">
      <c r="A10" s="16"/>
      <c r="B10" s="91" t="s">
        <v>579</v>
      </c>
      <c r="C10" s="91"/>
      <c r="D10" s="16"/>
      <c r="E10" s="16"/>
      <c r="F10" s="17"/>
      <c r="G10" s="17"/>
      <c r="H10" s="17"/>
      <c r="I10" s="106"/>
    </row>
    <row r="11" spans="1:9" ht="63">
      <c r="A11" s="16">
        <v>1</v>
      </c>
      <c r="B11" s="78" t="s">
        <v>117</v>
      </c>
      <c r="C11" s="78" t="s">
        <v>118</v>
      </c>
      <c r="D11" s="16" t="s">
        <v>28</v>
      </c>
      <c r="E11" s="19">
        <v>280.67</v>
      </c>
      <c r="F11" s="17">
        <v>12</v>
      </c>
      <c r="G11" s="17"/>
      <c r="H11" s="17">
        <f t="shared" ref="H11:H19" si="1">E11*F11</f>
        <v>3368.04</v>
      </c>
      <c r="I11" s="106"/>
    </row>
    <row r="12" spans="1:9" ht="93.75" customHeight="1">
      <c r="A12" s="16">
        <v>2</v>
      </c>
      <c r="B12" s="78" t="s">
        <v>560</v>
      </c>
      <c r="C12" s="78" t="s">
        <v>574</v>
      </c>
      <c r="D12" s="16" t="s">
        <v>28</v>
      </c>
      <c r="E12" s="19">
        <v>280.67</v>
      </c>
      <c r="F12" s="17">
        <v>20</v>
      </c>
      <c r="G12" s="17"/>
      <c r="H12" s="17">
        <f t="shared" si="1"/>
        <v>5613.4000000000005</v>
      </c>
      <c r="I12" s="106"/>
    </row>
    <row r="13" spans="1:9" ht="61.5" customHeight="1">
      <c r="A13" s="16">
        <v>3</v>
      </c>
      <c r="B13" s="78" t="s">
        <v>580</v>
      </c>
      <c r="C13" s="78" t="s">
        <v>581</v>
      </c>
      <c r="D13" s="16" t="s">
        <v>51</v>
      </c>
      <c r="E13" s="16">
        <v>20.97</v>
      </c>
      <c r="F13" s="17">
        <v>28</v>
      </c>
      <c r="G13" s="17">
        <v>18</v>
      </c>
      <c r="H13" s="17">
        <f t="shared" si="1"/>
        <v>587.16</v>
      </c>
      <c r="I13" s="106"/>
    </row>
    <row r="14" spans="1:9" ht="59.25" customHeight="1">
      <c r="A14" s="16">
        <v>4</v>
      </c>
      <c r="B14" s="78" t="s">
        <v>580</v>
      </c>
      <c r="C14" s="78" t="s">
        <v>582</v>
      </c>
      <c r="D14" s="16" t="s">
        <v>51</v>
      </c>
      <c r="E14" s="16">
        <v>33.22</v>
      </c>
      <c r="F14" s="18">
        <v>39.5</v>
      </c>
      <c r="G14" s="17">
        <v>25</v>
      </c>
      <c r="H14" s="17">
        <f t="shared" si="1"/>
        <v>1312.19</v>
      </c>
      <c r="I14" s="106"/>
    </row>
    <row r="15" spans="1:9" ht="102.75" customHeight="1">
      <c r="A15" s="16">
        <v>5</v>
      </c>
      <c r="B15" s="78" t="s">
        <v>583</v>
      </c>
      <c r="C15" s="78" t="s">
        <v>584</v>
      </c>
      <c r="D15" s="16" t="s">
        <v>51</v>
      </c>
      <c r="E15" s="16">
        <v>566.13</v>
      </c>
      <c r="F15" s="17">
        <v>59.5</v>
      </c>
      <c r="G15" s="17">
        <v>45</v>
      </c>
      <c r="H15" s="17">
        <f t="shared" si="1"/>
        <v>33684.735000000001</v>
      </c>
      <c r="I15" s="106"/>
    </row>
    <row r="16" spans="1:9" ht="100.5" customHeight="1">
      <c r="A16" s="16">
        <v>6</v>
      </c>
      <c r="B16" s="78" t="s">
        <v>583</v>
      </c>
      <c r="C16" s="78" t="s">
        <v>585</v>
      </c>
      <c r="D16" s="16" t="s">
        <v>51</v>
      </c>
      <c r="E16" s="16">
        <v>181.61</v>
      </c>
      <c r="F16" s="17">
        <v>85.5</v>
      </c>
      <c r="G16" s="17">
        <v>65</v>
      </c>
      <c r="H16" s="17">
        <f t="shared" si="1"/>
        <v>15527.655000000001</v>
      </c>
      <c r="I16" s="106"/>
    </row>
    <row r="17" spans="1:9" ht="60.75" customHeight="1">
      <c r="A17" s="16">
        <v>7</v>
      </c>
      <c r="B17" s="78" t="s">
        <v>586</v>
      </c>
      <c r="C17" s="78" t="s">
        <v>587</v>
      </c>
      <c r="D17" s="16" t="s">
        <v>98</v>
      </c>
      <c r="E17" s="16">
        <v>8</v>
      </c>
      <c r="F17" s="18">
        <v>140</v>
      </c>
      <c r="G17" s="18">
        <v>115</v>
      </c>
      <c r="H17" s="17">
        <f t="shared" si="1"/>
        <v>1120</v>
      </c>
      <c r="I17" s="106"/>
    </row>
    <row r="18" spans="1:9" ht="49.5" customHeight="1">
      <c r="A18" s="16">
        <v>8</v>
      </c>
      <c r="B18" s="78" t="s">
        <v>588</v>
      </c>
      <c r="C18" s="78" t="s">
        <v>589</v>
      </c>
      <c r="D18" s="16" t="s">
        <v>558</v>
      </c>
      <c r="E18" s="16">
        <v>85</v>
      </c>
      <c r="F18" s="17">
        <v>600</v>
      </c>
      <c r="G18" s="17">
        <v>350</v>
      </c>
      <c r="H18" s="17">
        <f t="shared" si="1"/>
        <v>51000</v>
      </c>
      <c r="I18" s="106"/>
    </row>
    <row r="19" spans="1:9" ht="51" customHeight="1">
      <c r="A19" s="16">
        <v>9</v>
      </c>
      <c r="B19" s="78" t="s">
        <v>590</v>
      </c>
      <c r="C19" s="78" t="s">
        <v>591</v>
      </c>
      <c r="D19" s="16" t="s">
        <v>558</v>
      </c>
      <c r="E19" s="16">
        <v>2</v>
      </c>
      <c r="F19" s="17">
        <v>850</v>
      </c>
      <c r="G19" s="17">
        <v>600</v>
      </c>
      <c r="H19" s="17">
        <f t="shared" si="1"/>
        <v>1700</v>
      </c>
      <c r="I19" s="106"/>
    </row>
    <row r="20" spans="1:9">
      <c r="A20" s="16"/>
      <c r="B20" s="91" t="s">
        <v>592</v>
      </c>
      <c r="C20" s="91"/>
      <c r="D20" s="16"/>
      <c r="E20" s="16"/>
      <c r="F20" s="17"/>
      <c r="G20" s="17"/>
      <c r="H20" s="17"/>
      <c r="I20" s="106"/>
    </row>
    <row r="21" spans="1:9" ht="63">
      <c r="A21" s="16">
        <v>1</v>
      </c>
      <c r="B21" s="78" t="s">
        <v>117</v>
      </c>
      <c r="C21" s="78" t="s">
        <v>140</v>
      </c>
      <c r="D21" s="16" t="s">
        <v>28</v>
      </c>
      <c r="E21" s="16">
        <v>354.9</v>
      </c>
      <c r="F21" s="17">
        <v>12</v>
      </c>
      <c r="G21" s="17"/>
      <c r="H21" s="17">
        <f t="shared" ref="H21:H41" si="2">E21*F21</f>
        <v>4258.7999999999993</v>
      </c>
      <c r="I21" s="106"/>
    </row>
    <row r="22" spans="1:9" ht="88.5" customHeight="1">
      <c r="A22" s="16">
        <v>2</v>
      </c>
      <c r="B22" s="78" t="s">
        <v>560</v>
      </c>
      <c r="C22" s="78" t="s">
        <v>593</v>
      </c>
      <c r="D22" s="16" t="s">
        <v>28</v>
      </c>
      <c r="E22" s="16">
        <v>354.9</v>
      </c>
      <c r="F22" s="17">
        <v>20</v>
      </c>
      <c r="G22" s="17"/>
      <c r="H22" s="17">
        <f t="shared" si="2"/>
        <v>7098</v>
      </c>
      <c r="I22" s="106"/>
    </row>
    <row r="23" spans="1:9" ht="97.5" customHeight="1">
      <c r="A23" s="16">
        <v>3</v>
      </c>
      <c r="B23" s="78" t="s">
        <v>594</v>
      </c>
      <c r="C23" s="78" t="s">
        <v>595</v>
      </c>
      <c r="D23" s="16" t="s">
        <v>51</v>
      </c>
      <c r="E23" s="16">
        <v>1.42</v>
      </c>
      <c r="F23" s="17">
        <v>6.85</v>
      </c>
      <c r="G23" s="17">
        <v>3.5</v>
      </c>
      <c r="H23" s="17">
        <f t="shared" si="2"/>
        <v>9.7269999999999985</v>
      </c>
      <c r="I23" s="106"/>
    </row>
    <row r="24" spans="1:9" ht="102.75" customHeight="1">
      <c r="A24" s="16">
        <v>4</v>
      </c>
      <c r="B24" s="78" t="s">
        <v>594</v>
      </c>
      <c r="C24" s="78" t="s">
        <v>596</v>
      </c>
      <c r="D24" s="16" t="s">
        <v>51</v>
      </c>
      <c r="E24" s="16">
        <v>159.93</v>
      </c>
      <c r="F24" s="17">
        <v>11.55</v>
      </c>
      <c r="G24" s="17">
        <v>6.5</v>
      </c>
      <c r="H24" s="17">
        <f t="shared" si="2"/>
        <v>1847.1915000000001</v>
      </c>
      <c r="I24" s="106"/>
    </row>
    <row r="25" spans="1:9" ht="102" customHeight="1">
      <c r="A25" s="16">
        <v>5</v>
      </c>
      <c r="B25" s="78" t="s">
        <v>594</v>
      </c>
      <c r="C25" s="78" t="s">
        <v>597</v>
      </c>
      <c r="D25" s="16" t="s">
        <v>51</v>
      </c>
      <c r="E25" s="16">
        <v>42.36</v>
      </c>
      <c r="F25" s="17">
        <v>14.55</v>
      </c>
      <c r="G25" s="17">
        <v>8.5</v>
      </c>
      <c r="H25" s="17">
        <f t="shared" si="2"/>
        <v>616.33799999999997</v>
      </c>
      <c r="I25" s="106"/>
    </row>
    <row r="26" spans="1:9" ht="97.5" customHeight="1">
      <c r="A26" s="16">
        <v>6</v>
      </c>
      <c r="B26" s="78" t="s">
        <v>594</v>
      </c>
      <c r="C26" s="78" t="s">
        <v>598</v>
      </c>
      <c r="D26" s="16" t="s">
        <v>51</v>
      </c>
      <c r="E26" s="16">
        <v>90.71</v>
      </c>
      <c r="F26" s="17">
        <v>19.5</v>
      </c>
      <c r="G26" s="17">
        <v>11.5</v>
      </c>
      <c r="H26" s="17">
        <f t="shared" si="2"/>
        <v>1768.8449999999998</v>
      </c>
      <c r="I26" s="106"/>
    </row>
    <row r="27" spans="1:9" ht="104.25" customHeight="1">
      <c r="A27" s="16">
        <v>7</v>
      </c>
      <c r="B27" s="78" t="s">
        <v>594</v>
      </c>
      <c r="C27" s="78" t="s">
        <v>599</v>
      </c>
      <c r="D27" s="16" t="s">
        <v>51</v>
      </c>
      <c r="E27" s="16">
        <v>415.38</v>
      </c>
      <c r="F27" s="17">
        <v>22.5</v>
      </c>
      <c r="G27" s="17">
        <v>15.5</v>
      </c>
      <c r="H27" s="17">
        <f t="shared" si="2"/>
        <v>9346.0499999999993</v>
      </c>
      <c r="I27" s="106"/>
    </row>
    <row r="28" spans="1:9" ht="62.25" customHeight="1">
      <c r="A28" s="16">
        <v>8</v>
      </c>
      <c r="B28" s="78" t="s">
        <v>600</v>
      </c>
      <c r="C28" s="78" t="s">
        <v>601</v>
      </c>
      <c r="D28" s="16" t="s">
        <v>558</v>
      </c>
      <c r="E28" s="16">
        <v>1</v>
      </c>
      <c r="F28" s="17">
        <v>750</v>
      </c>
      <c r="G28" s="17">
        <v>400</v>
      </c>
      <c r="H28" s="17">
        <f t="shared" si="2"/>
        <v>750</v>
      </c>
      <c r="I28" s="106"/>
    </row>
    <row r="29" spans="1:9" ht="91.5" customHeight="1">
      <c r="A29" s="16">
        <v>9</v>
      </c>
      <c r="B29" s="78" t="s">
        <v>602</v>
      </c>
      <c r="C29" s="78" t="s">
        <v>603</v>
      </c>
      <c r="D29" s="16" t="s">
        <v>98</v>
      </c>
      <c r="E29" s="16">
        <v>1</v>
      </c>
      <c r="F29" s="17">
        <v>195</v>
      </c>
      <c r="G29" s="17">
        <v>155</v>
      </c>
      <c r="H29" s="17">
        <f t="shared" si="2"/>
        <v>195</v>
      </c>
      <c r="I29" s="106"/>
    </row>
    <row r="30" spans="1:9" ht="92.25" customHeight="1">
      <c r="A30" s="16">
        <v>10</v>
      </c>
      <c r="B30" s="78" t="s">
        <v>604</v>
      </c>
      <c r="C30" s="78" t="s">
        <v>605</v>
      </c>
      <c r="D30" s="16" t="s">
        <v>98</v>
      </c>
      <c r="E30" s="16">
        <v>2</v>
      </c>
      <c r="F30" s="17">
        <v>145</v>
      </c>
      <c r="G30" s="17">
        <v>115</v>
      </c>
      <c r="H30" s="17">
        <f t="shared" si="2"/>
        <v>290</v>
      </c>
      <c r="I30" s="106"/>
    </row>
    <row r="31" spans="1:9" ht="91.5" customHeight="1">
      <c r="A31" s="16">
        <v>11</v>
      </c>
      <c r="B31" s="78" t="s">
        <v>606</v>
      </c>
      <c r="C31" s="78" t="s">
        <v>607</v>
      </c>
      <c r="D31" s="16" t="s">
        <v>98</v>
      </c>
      <c r="E31" s="16">
        <v>1</v>
      </c>
      <c r="F31" s="17">
        <v>155</v>
      </c>
      <c r="G31" s="17">
        <v>115</v>
      </c>
      <c r="H31" s="17">
        <f t="shared" si="2"/>
        <v>155</v>
      </c>
      <c r="I31" s="106"/>
    </row>
    <row r="32" spans="1:9" ht="90.75" customHeight="1">
      <c r="A32" s="16">
        <v>12</v>
      </c>
      <c r="B32" s="78" t="s">
        <v>608</v>
      </c>
      <c r="C32" s="78" t="s">
        <v>609</v>
      </c>
      <c r="D32" s="16" t="s">
        <v>98</v>
      </c>
      <c r="E32" s="16">
        <v>1</v>
      </c>
      <c r="F32" s="17">
        <v>260</v>
      </c>
      <c r="G32" s="17">
        <v>220</v>
      </c>
      <c r="H32" s="17">
        <f t="shared" si="2"/>
        <v>260</v>
      </c>
      <c r="I32" s="106"/>
    </row>
    <row r="33" spans="1:9" ht="57" customHeight="1">
      <c r="A33" s="16">
        <v>13</v>
      </c>
      <c r="B33" s="78" t="s">
        <v>610</v>
      </c>
      <c r="C33" s="78" t="s">
        <v>611</v>
      </c>
      <c r="D33" s="16" t="s">
        <v>98</v>
      </c>
      <c r="E33" s="16">
        <v>1</v>
      </c>
      <c r="F33" s="17">
        <f>115-7</f>
        <v>108</v>
      </c>
      <c r="G33" s="17">
        <v>85</v>
      </c>
      <c r="H33" s="17">
        <f t="shared" si="2"/>
        <v>108</v>
      </c>
      <c r="I33" s="106"/>
    </row>
    <row r="34" spans="1:9" ht="69.75" customHeight="1">
      <c r="A34" s="16">
        <v>14</v>
      </c>
      <c r="B34" s="78" t="s">
        <v>612</v>
      </c>
      <c r="C34" s="78" t="s">
        <v>613</v>
      </c>
      <c r="D34" s="16" t="s">
        <v>558</v>
      </c>
      <c r="E34" s="16">
        <v>22</v>
      </c>
      <c r="F34" s="17">
        <v>95</v>
      </c>
      <c r="G34" s="17">
        <v>65</v>
      </c>
      <c r="H34" s="17">
        <f t="shared" si="2"/>
        <v>2090</v>
      </c>
      <c r="I34" s="106"/>
    </row>
    <row r="35" spans="1:9" ht="60" customHeight="1">
      <c r="A35" s="16">
        <v>15</v>
      </c>
      <c r="B35" s="78" t="s">
        <v>600</v>
      </c>
      <c r="C35" s="78" t="s">
        <v>614</v>
      </c>
      <c r="D35" s="16" t="s">
        <v>558</v>
      </c>
      <c r="E35" s="16">
        <v>19</v>
      </c>
      <c r="F35" s="17">
        <v>1150</v>
      </c>
      <c r="G35" s="17">
        <v>800</v>
      </c>
      <c r="H35" s="17">
        <f t="shared" si="2"/>
        <v>21850</v>
      </c>
      <c r="I35" s="106"/>
    </row>
    <row r="36" spans="1:9" ht="47.25" customHeight="1">
      <c r="A36" s="16">
        <v>16</v>
      </c>
      <c r="B36" s="78" t="s">
        <v>615</v>
      </c>
      <c r="C36" s="78" t="s">
        <v>652</v>
      </c>
      <c r="D36" s="16" t="s">
        <v>98</v>
      </c>
      <c r="E36" s="16">
        <v>2</v>
      </c>
      <c r="F36" s="17">
        <v>2050</v>
      </c>
      <c r="G36" s="17">
        <v>1800</v>
      </c>
      <c r="H36" s="17">
        <f t="shared" si="2"/>
        <v>4100</v>
      </c>
      <c r="I36" s="106"/>
    </row>
    <row r="37" spans="1:9" ht="48" customHeight="1">
      <c r="A37" s="16">
        <v>17</v>
      </c>
      <c r="B37" s="78" t="s">
        <v>615</v>
      </c>
      <c r="C37" s="78" t="s">
        <v>653</v>
      </c>
      <c r="D37" s="16" t="s">
        <v>98</v>
      </c>
      <c r="E37" s="16">
        <v>2</v>
      </c>
      <c r="F37" s="17">
        <v>1800</v>
      </c>
      <c r="G37" s="17">
        <v>1600</v>
      </c>
      <c r="H37" s="17">
        <f t="shared" si="2"/>
        <v>3600</v>
      </c>
      <c r="I37" s="106"/>
    </row>
    <row r="38" spans="1:9" ht="49.5" customHeight="1">
      <c r="A38" s="16">
        <v>18</v>
      </c>
      <c r="B38" s="78" t="s">
        <v>615</v>
      </c>
      <c r="C38" s="78" t="s">
        <v>654</v>
      </c>
      <c r="D38" s="16" t="s">
        <v>98</v>
      </c>
      <c r="E38" s="16">
        <v>2</v>
      </c>
      <c r="F38" s="17">
        <v>1380</v>
      </c>
      <c r="G38" s="17">
        <v>1200</v>
      </c>
      <c r="H38" s="17">
        <f t="shared" si="2"/>
        <v>2760</v>
      </c>
      <c r="I38" s="106"/>
    </row>
    <row r="39" spans="1:9" ht="48.75" customHeight="1">
      <c r="A39" s="16">
        <v>19</v>
      </c>
      <c r="B39" s="78" t="s">
        <v>615</v>
      </c>
      <c r="C39" s="78" t="s">
        <v>616</v>
      </c>
      <c r="D39" s="16" t="s">
        <v>98</v>
      </c>
      <c r="E39" s="16">
        <v>1</v>
      </c>
      <c r="F39" s="17">
        <v>350</v>
      </c>
      <c r="G39" s="17">
        <v>280</v>
      </c>
      <c r="H39" s="17">
        <f t="shared" si="2"/>
        <v>350</v>
      </c>
      <c r="I39" s="106"/>
    </row>
    <row r="40" spans="1:9" ht="48.75" customHeight="1">
      <c r="A40" s="16">
        <v>20</v>
      </c>
      <c r="B40" s="78" t="s">
        <v>615</v>
      </c>
      <c r="C40" s="78" t="s">
        <v>655</v>
      </c>
      <c r="D40" s="16" t="s">
        <v>98</v>
      </c>
      <c r="E40" s="16">
        <v>1</v>
      </c>
      <c r="F40" s="17">
        <v>400</v>
      </c>
      <c r="G40" s="17">
        <v>260</v>
      </c>
      <c r="H40" s="17">
        <f t="shared" si="2"/>
        <v>400</v>
      </c>
      <c r="I40" s="106"/>
    </row>
    <row r="41" spans="1:9" ht="46.5" customHeight="1">
      <c r="A41" s="16">
        <v>21</v>
      </c>
      <c r="B41" s="78" t="s">
        <v>615</v>
      </c>
      <c r="C41" s="78" t="s">
        <v>656</v>
      </c>
      <c r="D41" s="16" t="s">
        <v>98</v>
      </c>
      <c r="E41" s="16">
        <v>150</v>
      </c>
      <c r="F41" s="17">
        <v>270</v>
      </c>
      <c r="G41" s="17">
        <v>200</v>
      </c>
      <c r="H41" s="17">
        <f t="shared" si="2"/>
        <v>40500</v>
      </c>
      <c r="I41" s="106"/>
    </row>
    <row r="42" spans="1:9">
      <c r="A42" s="16"/>
      <c r="B42" s="91" t="s">
        <v>617</v>
      </c>
      <c r="C42" s="91"/>
      <c r="D42" s="16"/>
      <c r="E42" s="16"/>
      <c r="F42" s="17"/>
      <c r="G42" s="17"/>
      <c r="H42" s="17"/>
      <c r="I42" s="106"/>
    </row>
    <row r="43" spans="1:9" ht="63">
      <c r="A43" s="16">
        <v>1</v>
      </c>
      <c r="B43" s="78" t="s">
        <v>117</v>
      </c>
      <c r="C43" s="78" t="s">
        <v>140</v>
      </c>
      <c r="D43" s="16" t="s">
        <v>28</v>
      </c>
      <c r="E43" s="16">
        <v>2.82</v>
      </c>
      <c r="F43" s="17">
        <v>12</v>
      </c>
      <c r="G43" s="17"/>
      <c r="H43" s="17">
        <f t="shared" ref="H43:H55" si="3">E43*F43</f>
        <v>33.839999999999996</v>
      </c>
      <c r="I43" s="106"/>
    </row>
    <row r="44" spans="1:9" ht="90" customHeight="1">
      <c r="A44" s="16">
        <v>2</v>
      </c>
      <c r="B44" s="78" t="s">
        <v>560</v>
      </c>
      <c r="C44" s="78" t="s">
        <v>593</v>
      </c>
      <c r="D44" s="16" t="s">
        <v>28</v>
      </c>
      <c r="E44" s="16">
        <v>2.82</v>
      </c>
      <c r="F44" s="17">
        <v>20</v>
      </c>
      <c r="G44" s="17"/>
      <c r="H44" s="17">
        <f t="shared" si="3"/>
        <v>56.4</v>
      </c>
      <c r="I44" s="106"/>
    </row>
    <row r="45" spans="1:9" ht="101.25" customHeight="1">
      <c r="A45" s="16">
        <v>3</v>
      </c>
      <c r="B45" s="78" t="s">
        <v>618</v>
      </c>
      <c r="C45" s="78" t="s">
        <v>619</v>
      </c>
      <c r="D45" s="16" t="s">
        <v>51</v>
      </c>
      <c r="E45" s="16">
        <v>19.22</v>
      </c>
      <c r="F45" s="17">
        <v>175</v>
      </c>
      <c r="G45" s="17">
        <v>55</v>
      </c>
      <c r="H45" s="17">
        <f t="shared" si="3"/>
        <v>3363.5</v>
      </c>
      <c r="I45" s="106"/>
    </row>
    <row r="46" spans="1:9" ht="102.75" customHeight="1">
      <c r="A46" s="16">
        <v>4</v>
      </c>
      <c r="B46" s="78" t="s">
        <v>620</v>
      </c>
      <c r="C46" s="78" t="s">
        <v>621</v>
      </c>
      <c r="D46" s="16" t="s">
        <v>51</v>
      </c>
      <c r="E46" s="16">
        <v>7.48</v>
      </c>
      <c r="F46" s="17">
        <v>175</v>
      </c>
      <c r="G46" s="17">
        <v>125</v>
      </c>
      <c r="H46" s="17">
        <f t="shared" si="3"/>
        <v>1309</v>
      </c>
      <c r="I46" s="106"/>
    </row>
    <row r="47" spans="1:9" ht="89.25" customHeight="1">
      <c r="A47" s="16">
        <v>5</v>
      </c>
      <c r="B47" s="78" t="s">
        <v>622</v>
      </c>
      <c r="C47" s="78" t="s">
        <v>623</v>
      </c>
      <c r="D47" s="16" t="s">
        <v>98</v>
      </c>
      <c r="E47" s="16">
        <v>1</v>
      </c>
      <c r="F47" s="17">
        <v>625</v>
      </c>
      <c r="G47" s="17">
        <v>525</v>
      </c>
      <c r="H47" s="17">
        <f t="shared" si="3"/>
        <v>625</v>
      </c>
      <c r="I47" s="106"/>
    </row>
    <row r="48" spans="1:9" ht="91.5" customHeight="1">
      <c r="A48" s="16">
        <v>6</v>
      </c>
      <c r="B48" s="78" t="s">
        <v>604</v>
      </c>
      <c r="C48" s="78" t="s">
        <v>624</v>
      </c>
      <c r="D48" s="16" t="s">
        <v>98</v>
      </c>
      <c r="E48" s="16">
        <v>1</v>
      </c>
      <c r="F48" s="17">
        <v>505</v>
      </c>
      <c r="G48" s="17">
        <v>425</v>
      </c>
      <c r="H48" s="17">
        <f t="shared" si="3"/>
        <v>505</v>
      </c>
      <c r="I48" s="106"/>
    </row>
    <row r="49" spans="1:9" ht="92.25" customHeight="1">
      <c r="A49" s="16">
        <v>7</v>
      </c>
      <c r="B49" s="78" t="s">
        <v>604</v>
      </c>
      <c r="C49" s="78" t="s">
        <v>605</v>
      </c>
      <c r="D49" s="16" t="s">
        <v>98</v>
      </c>
      <c r="E49" s="16">
        <v>1</v>
      </c>
      <c r="F49" s="17">
        <v>175</v>
      </c>
      <c r="G49" s="17">
        <v>125</v>
      </c>
      <c r="H49" s="17">
        <f t="shared" si="3"/>
        <v>175</v>
      </c>
      <c r="I49" s="106"/>
    </row>
    <row r="50" spans="1:9" ht="42">
      <c r="A50" s="16">
        <v>8</v>
      </c>
      <c r="B50" s="78" t="s">
        <v>625</v>
      </c>
      <c r="C50" s="78" t="s">
        <v>626</v>
      </c>
      <c r="D50" s="16" t="s">
        <v>246</v>
      </c>
      <c r="E50" s="16">
        <v>1</v>
      </c>
      <c r="F50" s="17">
        <v>4000</v>
      </c>
      <c r="G50" s="17">
        <v>3000</v>
      </c>
      <c r="H50" s="17">
        <f t="shared" si="3"/>
        <v>4000</v>
      </c>
      <c r="I50" s="106"/>
    </row>
    <row r="51" spans="1:9" ht="37.5" customHeight="1">
      <c r="A51" s="16">
        <v>9</v>
      </c>
      <c r="B51" s="78" t="s">
        <v>627</v>
      </c>
      <c r="C51" s="78" t="s">
        <v>628</v>
      </c>
      <c r="D51" s="16" t="s">
        <v>98</v>
      </c>
      <c r="E51" s="16">
        <v>1</v>
      </c>
      <c r="F51" s="17">
        <v>405</v>
      </c>
      <c r="G51" s="17">
        <v>315</v>
      </c>
      <c r="H51" s="17">
        <f t="shared" si="3"/>
        <v>405</v>
      </c>
      <c r="I51" s="106"/>
    </row>
    <row r="52" spans="1:9" ht="101.25" customHeight="1">
      <c r="A52" s="16">
        <v>10</v>
      </c>
      <c r="B52" s="78" t="s">
        <v>629</v>
      </c>
      <c r="C52" s="78" t="s">
        <v>630</v>
      </c>
      <c r="D52" s="16" t="s">
        <v>51</v>
      </c>
      <c r="E52" s="16">
        <f>1.69+1.59</f>
        <v>3.2800000000000002</v>
      </c>
      <c r="F52" s="17">
        <v>38</v>
      </c>
      <c r="G52" s="17">
        <v>25</v>
      </c>
      <c r="H52" s="17">
        <f t="shared" si="3"/>
        <v>124.64000000000001</v>
      </c>
      <c r="I52" s="106"/>
    </row>
    <row r="53" spans="1:9" ht="102" customHeight="1">
      <c r="A53" s="16">
        <v>11</v>
      </c>
      <c r="B53" s="78" t="s">
        <v>631</v>
      </c>
      <c r="C53" s="78" t="s">
        <v>632</v>
      </c>
      <c r="D53" s="16" t="s">
        <v>51</v>
      </c>
      <c r="E53" s="16">
        <f>0.958+0.422+0.983</f>
        <v>2.363</v>
      </c>
      <c r="F53" s="17">
        <v>38</v>
      </c>
      <c r="G53" s="17">
        <v>25</v>
      </c>
      <c r="H53" s="17">
        <f t="shared" si="3"/>
        <v>89.793999999999997</v>
      </c>
      <c r="I53" s="106"/>
    </row>
    <row r="54" spans="1:9" ht="57" customHeight="1">
      <c r="A54" s="16">
        <v>12</v>
      </c>
      <c r="B54" s="78" t="s">
        <v>633</v>
      </c>
      <c r="C54" s="78" t="s">
        <v>634</v>
      </c>
      <c r="D54" s="16" t="s">
        <v>558</v>
      </c>
      <c r="E54" s="16">
        <v>3</v>
      </c>
      <c r="F54" s="17">
        <v>764.89</v>
      </c>
      <c r="G54" s="17">
        <v>500</v>
      </c>
      <c r="H54" s="17">
        <f t="shared" si="3"/>
        <v>2294.67</v>
      </c>
      <c r="I54" s="106"/>
    </row>
    <row r="55" spans="1:9" ht="39" customHeight="1">
      <c r="A55" s="16">
        <v>13</v>
      </c>
      <c r="B55" s="78" t="s">
        <v>635</v>
      </c>
      <c r="C55" s="78" t="s">
        <v>636</v>
      </c>
      <c r="D55" s="16" t="s">
        <v>51</v>
      </c>
      <c r="E55" s="16">
        <f>(9268+7617+6815+7582+8094+17404+6113+12451+8340+29856+29856+6135)*0.001</f>
        <v>149.53100000000001</v>
      </c>
      <c r="F55" s="17">
        <v>35</v>
      </c>
      <c r="G55" s="17">
        <v>15</v>
      </c>
      <c r="H55" s="17">
        <f t="shared" si="3"/>
        <v>5233.585</v>
      </c>
      <c r="I55" s="106"/>
    </row>
    <row r="56" spans="1:9" ht="23.25" customHeight="1">
      <c r="A56" s="92" t="s">
        <v>571</v>
      </c>
      <c r="B56" s="93"/>
      <c r="C56" s="93"/>
      <c r="D56" s="93"/>
      <c r="E56" s="93"/>
      <c r="F56" s="93"/>
      <c r="G56" s="93"/>
      <c r="H56" s="13">
        <f>SUM(H6:H55)</f>
        <v>236251.83549999999</v>
      </c>
      <c r="I56" s="103"/>
    </row>
  </sheetData>
  <mergeCells count="15">
    <mergeCell ref="A1:I1"/>
    <mergeCell ref="F2:I2"/>
    <mergeCell ref="F3:G3"/>
    <mergeCell ref="B5:C5"/>
    <mergeCell ref="B10:C10"/>
    <mergeCell ref="H3:H4"/>
    <mergeCell ref="I3:I4"/>
    <mergeCell ref="B20:C20"/>
    <mergeCell ref="B42:C42"/>
    <mergeCell ref="A56:G56"/>
    <mergeCell ref="A2:A4"/>
    <mergeCell ref="B2:B4"/>
    <mergeCell ref="C2:C4"/>
    <mergeCell ref="D2:D4"/>
    <mergeCell ref="E2:E4"/>
  </mergeCells>
  <phoneticPr fontId="22" type="noConversion"/>
  <printOptions horizontalCentered="1"/>
  <pageMargins left="0.39370078740157483" right="0.39370078740157483" top="0.78740157480314965" bottom="0.78740157480314965" header="0" footer="0"/>
  <pageSetup paperSize="9" scale="9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XFC23"/>
  <sheetViews>
    <sheetView workbookViewId="0">
      <selection sqref="A1:I2"/>
    </sheetView>
  </sheetViews>
  <sheetFormatPr defaultColWidth="10" defaultRowHeight="14.25"/>
  <cols>
    <col min="1" max="1" width="4.7109375" style="1" customWidth="1"/>
    <col min="2" max="2" width="10" style="1" customWidth="1"/>
    <col min="3" max="3" width="19.85546875" style="1" customWidth="1"/>
    <col min="4" max="4" width="6" style="3" customWidth="1"/>
    <col min="5" max="5" width="7.85546875" style="4" customWidth="1"/>
    <col min="6" max="6" width="10.5703125" style="4"/>
    <col min="7" max="7" width="11.5703125" style="4" customWidth="1"/>
    <col min="8" max="8" width="12.85546875" style="4" customWidth="1"/>
    <col min="9" max="9" width="8.7109375" style="3" customWidth="1"/>
    <col min="10" max="16383" width="10" style="1"/>
  </cols>
  <sheetData>
    <row r="1" spans="1:252" s="1" customFormat="1">
      <c r="A1" s="96" t="s">
        <v>637</v>
      </c>
      <c r="B1" s="96"/>
      <c r="C1" s="96"/>
      <c r="D1" s="96"/>
      <c r="E1" s="97"/>
      <c r="F1" s="97"/>
      <c r="G1" s="97"/>
      <c r="H1" s="97"/>
      <c r="I1" s="96"/>
    </row>
    <row r="2" spans="1:252" s="1" customFormat="1">
      <c r="A2" s="98"/>
      <c r="B2" s="98"/>
      <c r="C2" s="98"/>
      <c r="D2" s="98"/>
      <c r="E2" s="99"/>
      <c r="F2" s="99"/>
      <c r="G2" s="99"/>
      <c r="H2" s="99"/>
      <c r="I2" s="98"/>
    </row>
    <row r="3" spans="1:252" s="1" customFormat="1" ht="27" customHeight="1">
      <c r="A3" s="95" t="s">
        <v>1</v>
      </c>
      <c r="B3" s="95" t="s">
        <v>14</v>
      </c>
      <c r="C3" s="95" t="s">
        <v>638</v>
      </c>
      <c r="D3" s="100" t="s">
        <v>408</v>
      </c>
      <c r="E3" s="94" t="s">
        <v>17</v>
      </c>
      <c r="F3" s="94" t="s">
        <v>639</v>
      </c>
      <c r="G3" s="94"/>
      <c r="H3" s="94" t="s">
        <v>640</v>
      </c>
      <c r="I3" s="101" t="s">
        <v>651</v>
      </c>
    </row>
    <row r="4" spans="1:252" s="1" customFormat="1">
      <c r="A4" s="95"/>
      <c r="B4" s="95"/>
      <c r="C4" s="95"/>
      <c r="D4" s="100"/>
      <c r="E4" s="94"/>
      <c r="F4" s="7"/>
      <c r="G4" s="7" t="s">
        <v>22</v>
      </c>
      <c r="H4" s="94"/>
      <c r="I4" s="102"/>
    </row>
    <row r="5" spans="1:252" s="1" customFormat="1" ht="51" customHeight="1">
      <c r="A5" s="5" t="s">
        <v>23</v>
      </c>
      <c r="B5" s="5" t="s">
        <v>641</v>
      </c>
      <c r="C5" s="5"/>
      <c r="D5" s="6"/>
      <c r="E5" s="7"/>
      <c r="F5" s="7"/>
      <c r="G5" s="7"/>
      <c r="H5" s="7"/>
      <c r="I5" s="79"/>
    </row>
    <row r="6" spans="1:252" s="1" customFormat="1" ht="57" customHeight="1">
      <c r="A6" s="8">
        <v>1</v>
      </c>
      <c r="B6" s="8" t="s">
        <v>26</v>
      </c>
      <c r="C6" s="8" t="s">
        <v>642</v>
      </c>
      <c r="D6" s="9" t="s">
        <v>28</v>
      </c>
      <c r="E6" s="10">
        <v>36.47</v>
      </c>
      <c r="F6" s="10">
        <v>12</v>
      </c>
      <c r="G6" s="10"/>
      <c r="H6" s="10">
        <f t="shared" ref="H6:H10" si="0">E6*F6</f>
        <v>437.64</v>
      </c>
      <c r="I6" s="9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</row>
    <row r="7" spans="1:252" s="1" customFormat="1" ht="59.25" customHeight="1">
      <c r="A7" s="8">
        <v>2</v>
      </c>
      <c r="B7" s="8" t="s">
        <v>386</v>
      </c>
      <c r="C7" s="8" t="s">
        <v>561</v>
      </c>
      <c r="D7" s="9" t="s">
        <v>28</v>
      </c>
      <c r="E7" s="10">
        <f>145.89*0.5*0.5</f>
        <v>36.472499999999997</v>
      </c>
      <c r="F7" s="10">
        <v>20</v>
      </c>
      <c r="G7" s="10"/>
      <c r="H7" s="10">
        <f t="shared" si="0"/>
        <v>729.44999999999993</v>
      </c>
      <c r="I7" s="9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</row>
    <row r="8" spans="1:252" s="1" customFormat="1" ht="129" customHeight="1">
      <c r="A8" s="8">
        <v>3</v>
      </c>
      <c r="B8" s="8" t="s">
        <v>643</v>
      </c>
      <c r="C8" s="8" t="s">
        <v>644</v>
      </c>
      <c r="D8" s="9" t="s">
        <v>51</v>
      </c>
      <c r="E8" s="10">
        <v>145.88999999999999</v>
      </c>
      <c r="F8" s="10">
        <v>22.5</v>
      </c>
      <c r="G8" s="10">
        <v>13.5</v>
      </c>
      <c r="H8" s="10">
        <f t="shared" si="0"/>
        <v>3282.5249999999996</v>
      </c>
      <c r="I8" s="9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</row>
    <row r="9" spans="1:252" s="1" customFormat="1" ht="96.75" customHeight="1">
      <c r="A9" s="8">
        <v>4</v>
      </c>
      <c r="B9" s="11" t="s">
        <v>645</v>
      </c>
      <c r="C9" s="11" t="s">
        <v>646</v>
      </c>
      <c r="D9" s="12" t="s">
        <v>98</v>
      </c>
      <c r="E9" s="10">
        <v>60</v>
      </c>
      <c r="F9" s="10">
        <v>41</v>
      </c>
      <c r="G9" s="10">
        <v>25</v>
      </c>
      <c r="H9" s="10">
        <f t="shared" si="0"/>
        <v>2460</v>
      </c>
      <c r="I9" s="9"/>
    </row>
    <row r="10" spans="1:252" s="1" customFormat="1" ht="75" customHeight="1">
      <c r="A10" s="8">
        <v>5</v>
      </c>
      <c r="B10" s="11" t="s">
        <v>647</v>
      </c>
      <c r="C10" s="8" t="s">
        <v>648</v>
      </c>
      <c r="D10" s="12" t="s">
        <v>246</v>
      </c>
      <c r="E10" s="10">
        <v>1</v>
      </c>
      <c r="F10" s="10">
        <v>22500</v>
      </c>
      <c r="G10" s="10">
        <v>18000</v>
      </c>
      <c r="H10" s="10">
        <f t="shared" si="0"/>
        <v>22500</v>
      </c>
      <c r="I10" s="9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</row>
    <row r="11" spans="1:252" s="2" customFormat="1" ht="32.25" customHeight="1">
      <c r="A11" s="92" t="s">
        <v>649</v>
      </c>
      <c r="B11" s="93"/>
      <c r="C11" s="93"/>
      <c r="D11" s="93"/>
      <c r="E11" s="93"/>
      <c r="F11" s="93"/>
      <c r="G11" s="93"/>
      <c r="H11" s="13">
        <f>SUM(H6:H10)</f>
        <v>29409.614999999998</v>
      </c>
      <c r="I11" s="103"/>
    </row>
    <row r="12" spans="1:252">
      <c r="H12" s="14"/>
    </row>
    <row r="13" spans="1:252">
      <c r="H13" s="14"/>
    </row>
    <row r="14" spans="1:252">
      <c r="H14" s="14"/>
    </row>
    <row r="15" spans="1:252">
      <c r="H15" s="14"/>
    </row>
    <row r="16" spans="1:252">
      <c r="H16" s="14"/>
    </row>
    <row r="17" spans="8:8">
      <c r="H17" s="14"/>
    </row>
    <row r="18" spans="8:8">
      <c r="H18" s="14"/>
    </row>
    <row r="19" spans="8:8">
      <c r="H19" s="14"/>
    </row>
    <row r="20" spans="8:8">
      <c r="H20" s="14"/>
    </row>
    <row r="21" spans="8:8">
      <c r="H21" s="14"/>
    </row>
    <row r="22" spans="8:8">
      <c r="H22" s="14"/>
    </row>
    <row r="23" spans="8:8">
      <c r="H23" s="14"/>
    </row>
  </sheetData>
  <mergeCells count="10">
    <mergeCell ref="H3:H4"/>
    <mergeCell ref="I3:I4"/>
    <mergeCell ref="A1:I2"/>
    <mergeCell ref="F3:G3"/>
    <mergeCell ref="A11:G11"/>
    <mergeCell ref="A3:A4"/>
    <mergeCell ref="B3:B4"/>
    <mergeCell ref="C3:C4"/>
    <mergeCell ref="D3:D4"/>
    <mergeCell ref="E3:E4"/>
  </mergeCells>
  <phoneticPr fontId="22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汇总表</vt:lpstr>
      <vt:lpstr>硬质景观</vt:lpstr>
      <vt:lpstr>绿化苗木</vt:lpstr>
      <vt:lpstr>电气</vt:lpstr>
      <vt:lpstr>给排水 </vt:lpstr>
      <vt:lpstr>雾森系统</vt:lpstr>
      <vt:lpstr>汇总表!Print_Area</vt:lpstr>
    </vt:vector>
  </TitlesOfParts>
  <Company>ComponentOne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xbany</cp:lastModifiedBy>
  <cp:lastPrinted>2021-08-04T06:47:26Z</cp:lastPrinted>
  <dcterms:created xsi:type="dcterms:W3CDTF">2020-11-19T09:45:00Z</dcterms:created>
  <dcterms:modified xsi:type="dcterms:W3CDTF">2021-08-04T06:48:56Z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5613D68B18CE4D49AF0AC1AFDC38749A</vt:lpwstr>
  </property>
</Properties>
</file>