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17" firstSheet="1" activeTab="1"/>
  </bookViews>
  <sheets>
    <sheet name="清单报价说明" sheetId="7" r:id="rId1"/>
    <sheet name="金额概算" sheetId="20" r:id="rId2"/>
  </sheets>
  <definedNames>
    <definedName name="_xlnm._FilterDatabase" localSheetId="1" hidden="1">金额概算!$A$2:$P$73</definedName>
  </definedNames>
  <calcPr calcId="144525"/>
</workbook>
</file>

<file path=xl/sharedStrings.xml><?xml version="1.0" encoding="utf-8"?>
<sst xmlns="http://schemas.openxmlformats.org/spreadsheetml/2006/main" count="270" uniqueCount="183">
  <si>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</si>
  <si>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</si>
  <si>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</si>
  <si>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</si>
  <si>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</si>
  <si>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土建、绿化、水电安装）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</si>
  <si>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</si>
  <si>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绿化苗木除外），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</si>
  <si>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</si>
  <si>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</si>
  <si>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宜阳山水文苑景观图纸会审金额概算</t>
  </si>
  <si>
    <t>序号</t>
  </si>
  <si>
    <t>内容</t>
  </si>
  <si>
    <t>项目名称</t>
  </si>
  <si>
    <t>项目特征描述</t>
  </si>
  <si>
    <t>计量
单位</t>
  </si>
  <si>
    <t>工程量</t>
  </si>
  <si>
    <t>综合单价</t>
  </si>
  <si>
    <t>合价(元)</t>
  </si>
  <si>
    <t>景观第14项</t>
  </si>
  <si>
    <t>六号楼东侧挡土墙</t>
  </si>
  <si>
    <t>长度29.5m。墙顶标高195.4-路面标高194.5</t>
  </si>
  <si>
    <t>挖沟槽土方</t>
  </si>
  <si>
    <t>1.土壤类别：综合
2.挖土深度：详设计
3.开挖方式：人工、机械综合考虑   
4.多余土方运送场内指定位置
5.其它满足规范和设计图纸要求</t>
  </si>
  <si>
    <t>m3</t>
  </si>
  <si>
    <t>回填土方</t>
  </si>
  <si>
    <t>1.密实度要求：满足设计要求 
2.填方材料品种：满足设计要求的合格土方 
3.填方粒径要求：符合设计要求
4.填方来源、运距：投标人根据现场实际情况自行考虑
5.其它满足规范和设计图纸要求</t>
  </si>
  <si>
    <t>素土夯实</t>
  </si>
  <si>
    <t>1.素土夯实，压实系数≥0.93
2.其它满足规范和设计图纸要求</t>
  </si>
  <si>
    <t>m2</t>
  </si>
  <si>
    <t>砼垫层</t>
  </si>
  <si>
    <t>1.混凝土强度等级:100厚C20混凝土
2.混凝土拌合料要求：符合规范要求
3.模板安拆费用计入综合单价，支模方式综合考虑
4.其它满足规范和设计图纸要求</t>
  </si>
  <si>
    <t>碎石垫层</t>
  </si>
  <si>
    <t>1.100厚级配碎石垫层
2.混凝土拌合料要求：符合规范要求
3.其它满足规范和设计图纸要求</t>
  </si>
  <si>
    <t>条形基础</t>
  </si>
  <si>
    <t>1.混凝土强度等级:C25钢筋混凝土
2.混凝土拌合料要求：符合规范要求
3.模板安拆费用计入综合单价，支模方式综合考虑
4.其它满足规范和设计图纸要求</t>
  </si>
  <si>
    <t>钢筋砼墙</t>
  </si>
  <si>
    <t>现浇构件钢筋</t>
  </si>
  <si>
    <t>1.现浇构件带肋钢筋HPB300  直径≤10mm
2.含钢筋搭接
3.其它说明：其它满足规范和设计图纸要求</t>
  </si>
  <si>
    <t>t</t>
  </si>
  <si>
    <t>1.现浇构件带肋钢筋HRB400  直径≤12mm
2.含钢筋搭接
3.其它说明：其它满足规范和设计图纸要求</t>
  </si>
  <si>
    <t>1.10</t>
  </si>
  <si>
    <t>矮墙顶面铺装</t>
  </si>
  <si>
    <t>1.50厚荔枝面芝麻灰花岗岩
2.20厚1：2.5无碱水泥砂浆结合层
3.其它满足规范和设计图纸要求</t>
  </si>
  <si>
    <t>1.11</t>
  </si>
  <si>
    <t>花池侧面铺装</t>
  </si>
  <si>
    <t>1.25厚荔枝面芝麻灰花岗岩
2.20厚1：2.5无碱水泥砂浆结合层
3.10厚1：2.5无碱水泥砂浆找平层
4.其它满足规范和设计图纸要求</t>
  </si>
  <si>
    <t>景观第34项</t>
  </si>
  <si>
    <t>消防车道</t>
  </si>
  <si>
    <t>中间波打线取消，用600*300*15mmPC砖通铺，原波打线位置用白色热熔漆划线。</t>
  </si>
  <si>
    <t>地面铺装</t>
  </si>
  <si>
    <t>1.15厚仿芝麻黑荔枝面PC砖
2.30厚1:3水泥砂浆粘接层
3.其他说明：其它满足规范和设计图纸要求</t>
  </si>
  <si>
    <t>白色热熔线</t>
  </si>
  <si>
    <t>白色热熔漆划线</t>
  </si>
  <si>
    <t>m</t>
  </si>
  <si>
    <t>景观第45项</t>
  </si>
  <si>
    <t>儿童攀爬平台增加6个钢柱</t>
  </si>
  <si>
    <t>挖土方</t>
  </si>
  <si>
    <t>1.土壤类别：综合
2.挖土深度：详见图纸设计 
3.弃土运距：自行考虑</t>
  </si>
  <si>
    <t>1.满足规范和设计图纸要求</t>
  </si>
  <si>
    <t>独立基础</t>
  </si>
  <si>
    <t>1.C30钢筋混凝土独立基础
2.混凝土拌合料要求：符合规范要求
3.模板安拆费用计入综合单价，支模方式综合考虑
4.其它满足规范和设计图纸要求</t>
  </si>
  <si>
    <t>1.100厚级配碎石垫层
2.其它说明：其它满足规范和设计图纸要求</t>
  </si>
  <si>
    <t>预埋铁件</t>
  </si>
  <si>
    <t>1.350*350x10预埋钢板+10厚镀锌加劲板Q345
2.4个M16螺栓固定
3.其它满足规范和设计图纸要求</t>
  </si>
  <si>
    <t>基础现浇构件钢筋</t>
  </si>
  <si>
    <t>1.现浇构件带肋钢筋HPB400以内  直径≤12mm
2.含钢筋搭接
3.其它说明：其它满足规范和设计图纸要求</t>
  </si>
  <si>
    <t>钢管柱</t>
  </si>
  <si>
    <t>1.钢材规格:Φ100*5，白色氟碳漆饰面
2.其他说明详见图纸设计及规范</t>
  </si>
  <si>
    <t>4.</t>
  </si>
  <si>
    <t>景观第52项</t>
  </si>
  <si>
    <t>以围墙相接高土面以上10cm至地梁位置用防水砂浆抹灰</t>
  </si>
  <si>
    <t>4.1</t>
  </si>
  <si>
    <t>围墙面高差部位</t>
  </si>
  <si>
    <t>用防水砂浆抹灰</t>
  </si>
  <si>
    <t>5</t>
  </si>
  <si>
    <t>景观第61项</t>
  </si>
  <si>
    <t>东大门地面碎石垫层改为车行道垫层</t>
  </si>
  <si>
    <t>5.1</t>
  </si>
  <si>
    <t>1.80厚级配碎石垫层改为200厚碎石垫层
2.其它说明：其它满足规范和设计图纸要求</t>
  </si>
  <si>
    <t>6</t>
  </si>
  <si>
    <t>景观第64项</t>
  </si>
  <si>
    <t>东大门砼挡墙（建筑深化）</t>
  </si>
  <si>
    <t>6.1</t>
  </si>
  <si>
    <t>砼挡墙</t>
  </si>
  <si>
    <t>1.混凝土强度等级:C30混凝土
2.混凝土拌合料要求：符合规范要求
3.模板安拆费用计入综合单价，支模方式综合考虑
4.详见设计图纸
5.其它满足规范和设计图纸要求</t>
  </si>
  <si>
    <t>6.2</t>
  </si>
  <si>
    <t>钢筋</t>
  </si>
  <si>
    <t>1.现浇构件带肋钢筋HPB400以内  直径≤10mm
2.含钢筋搭接
3.其它说明：其它满足规范和设计图纸要求</t>
  </si>
  <si>
    <t>6.3</t>
  </si>
  <si>
    <t>防水卷材</t>
  </si>
  <si>
    <t>1.4厚SBS防水卷材
2.其他说明：详见相关设计图纸、相关要求及规范
3.部位：泵坑井壁立面</t>
  </si>
  <si>
    <t>6.4</t>
  </si>
  <si>
    <t>水泥砂浆</t>
  </si>
  <si>
    <t>1.20厚1:2.5无碱水泥砂浆找平层
2.其他说明：详见相关设计图纸、相关要求及规范
3.部位：泵坑井壁立面防水内侧</t>
  </si>
  <si>
    <t>7</t>
  </si>
  <si>
    <t>景观第60项</t>
  </si>
  <si>
    <t>大门增加挡土墙、景观更改外立面</t>
  </si>
  <si>
    <t>7.1</t>
  </si>
  <si>
    <t>立面砂浆保护层</t>
  </si>
  <si>
    <t>1.20厚1:2.5无碱水泥砂浆保护层
2.其他说明：详见相关设计图纸、相关要求及规范
3.部位：大门增加挡土墙仿黄金麻真石漆饰面下</t>
  </si>
  <si>
    <t>7.2</t>
  </si>
  <si>
    <t>景墙墙面装饰</t>
  </si>
  <si>
    <t>1.背面：仿黄金麻真石漆饰面
2.其它满足规范和设计图纸要求</t>
  </si>
  <si>
    <t>7.3</t>
  </si>
  <si>
    <t>1.30厚荔枝面黄金麻花岗岩
2.含石材干挂件
3.其它满足规范和设计图纸要求</t>
  </si>
  <si>
    <t>7.4</t>
  </si>
  <si>
    <t>1.50厚荔枝面黄金麻花岗岩
2.含石材干挂件
3.其它满足规范和设计图纸要求</t>
  </si>
  <si>
    <t>7.5</t>
  </si>
  <si>
    <t>7.6</t>
  </si>
  <si>
    <t>金属线条装饰</t>
  </si>
  <si>
    <t>1.1.2厚不锈钢板，深咖色氟碳漆饰面
2.其它满足规范和设计图纸要求</t>
  </si>
  <si>
    <t>7.7</t>
  </si>
  <si>
    <t>铁艺格栅</t>
  </si>
  <si>
    <t>1.钢材品种、规格:Q235B
2.型钢式、格构式:口20*2厚方管、口80*40*4厚矩管、口80*4厚方管
3.表面打磨平整，外喷深咖色氟碳漆
4.运距自行考虑
5.其他说明详见图纸设计及规范</t>
  </si>
  <si>
    <t>8</t>
  </si>
  <si>
    <t>景观第63项</t>
  </si>
  <si>
    <t>水景防水改为用SBC聚乙烯丙纶复合防水卷材二道</t>
  </si>
  <si>
    <t>8.1</t>
  </si>
  <si>
    <t>水景一及景墙</t>
  </si>
  <si>
    <t>平面水池防水</t>
  </si>
  <si>
    <t>1.4厚SBS防水卷材
2.其他说明：详见相关设计图纸、相关要求及规范
3.部位：地面铺装</t>
  </si>
  <si>
    <t>8.2</t>
  </si>
  <si>
    <t>1.4厚SBS防水卷材
2.其他说明：详见相关设计图纸、相关要求及规范
3.部位：水池池壁</t>
  </si>
  <si>
    <t>8.3</t>
  </si>
  <si>
    <t>1.4厚SBS防水卷材
2.其他说明：详见相关设计图纸、相关要求及规范
3.部位：泵坑底</t>
  </si>
  <si>
    <t>8.4</t>
  </si>
  <si>
    <t>立面水池防水</t>
  </si>
  <si>
    <t>8.5</t>
  </si>
  <si>
    <t>1.4厚SBS防水卷材
2.其他说明：详见相关设计图纸、相关要求及规范
3.部位：水景石材跌水</t>
  </si>
  <si>
    <t>8.6</t>
  </si>
  <si>
    <t>1.4厚SBS防水卷材
2.其他说明：详见相关设计图纸、相关要求及规范
3.部位：40厚光面福鼎黑花岗岩</t>
  </si>
  <si>
    <t>8.7</t>
  </si>
  <si>
    <t>1.4厚SBS防水卷材
2.其他说明：详见相关设计图纸、相关要求及规范
3.部位：20厚光面福鼎黑花岗岩</t>
  </si>
  <si>
    <t>8.8</t>
  </si>
  <si>
    <t>1.SBC聚乙烯丙纶复合防水卷材二道
2.其他说明：详见相关设计图纸、相关要求及规范
3.部位：地面铺装</t>
  </si>
  <si>
    <t>8.9</t>
  </si>
  <si>
    <t>1.SBC聚乙烯丙纶复合防水卷材二道
2.其他说明：详见相关设计图纸、相关要求及规范
3.部位：水池池壁</t>
  </si>
  <si>
    <t>8.10</t>
  </si>
  <si>
    <t>1.SBC聚乙烯丙纶复合防水卷材二道
2.其他说明：详见相关设计图纸、相关要求及规范
3.部位：泵坑底</t>
  </si>
  <si>
    <t>8.11</t>
  </si>
  <si>
    <t>1.SBC聚乙烯丙纶复合防水卷材二道
2.其他说明：详见相关设计图纸、相关要求及规范
3.部位：泵坑井壁立面</t>
  </si>
  <si>
    <t>8.12</t>
  </si>
  <si>
    <t>1.SBC聚乙烯丙纶复合防水卷材二道
2.其他说明：详见相关设计图纸、相关要求及规范
3.部位：水景石材跌水</t>
  </si>
  <si>
    <t>8.13</t>
  </si>
  <si>
    <t>1.SBC聚乙烯丙纶复合防水卷材二道
2.其他说明：详见相关设计图纸、相关要求及规范
3.部位：40厚光面福鼎黑花岗岩</t>
  </si>
  <si>
    <t>8.14</t>
  </si>
  <si>
    <t>1.SBC聚乙烯丙纶复合防水卷材二道
2.其他说明：详见相关设计图纸、相关要求及规范
3.部位：20厚光面福鼎黑花岗岩</t>
  </si>
  <si>
    <t>8.15</t>
  </si>
  <si>
    <t>中心水景景观</t>
  </si>
  <si>
    <t>平面卷材防水</t>
  </si>
  <si>
    <t>1.4厚SBS防水卷材
2.其他说明：详见相关设计图纸、相关要求及规范
3.部位：水池、排水沟池底做法</t>
  </si>
  <si>
    <t>8.16</t>
  </si>
  <si>
    <t>立面卷材防水</t>
  </si>
  <si>
    <t>1.4厚SBS防水卷材
2.其他说明：详见相关设计图纸、相关要求及规范
3.部位：水池、排水沟池壁做法</t>
  </si>
  <si>
    <t>8.17</t>
  </si>
  <si>
    <t>1.SBC聚乙烯丙纶复合防水卷材二道
2.其他说明：详见相关设计图纸、相关要求及规范
3.部位：水池、排水沟池底做法</t>
  </si>
  <si>
    <t>8.18</t>
  </si>
  <si>
    <t>9</t>
  </si>
  <si>
    <t>围墙（建筑深化）</t>
  </si>
  <si>
    <t>9.1</t>
  </si>
  <si>
    <t>砖围墙基础</t>
  </si>
  <si>
    <t>9.2</t>
  </si>
  <si>
    <t>砖围墙砌体</t>
  </si>
  <si>
    <t>9.3</t>
  </si>
  <si>
    <t>砼墙</t>
  </si>
  <si>
    <t>c25钢筋混凝土墙</t>
  </si>
  <si>
    <t>9.4</t>
  </si>
  <si>
    <t>9.5</t>
  </si>
  <si>
    <t>涂料墙面</t>
  </si>
  <si>
    <t>真石漆墙面</t>
  </si>
  <si>
    <t>10</t>
  </si>
  <si>
    <t>安装</t>
  </si>
  <si>
    <t>安装部分</t>
  </si>
  <si>
    <t>10.1</t>
  </si>
  <si>
    <t>室外排水地漏DN100</t>
  </si>
  <si>
    <t>1.名称:室外排水地漏
2.规格：DN100
3.清单中已考虑与此项工作相关的一切费用</t>
  </si>
  <si>
    <t>个</t>
  </si>
  <si>
    <t>10.2</t>
  </si>
  <si>
    <t>高分子雨水篦子排水口</t>
  </si>
  <si>
    <t>1.名称:高分子雨水篦子排水口
2.做法详园建
3.清单中已考虑与此项工作相关的一切费用</t>
  </si>
  <si>
    <t>11</t>
  </si>
  <si>
    <t>合计</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</si>
</sst>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 numFmtId="177" formatCode="0.000_ "/>
    <numFmt numFmtId="178" formatCode="0.00_);[Red]\(0.00\)"/>
  </numFmts>
  <fonts count="34">
    <font>
      <sz val="10"/>
      <name val="Arial"/>
      <charset val="1"/>
    </font>
    <font>
      <sz val="9"/>
      <name val="微软雅黑"/>
      <charset val="134"/>
    </font>
    <font>
      <sz val="10"/>
      <name val="微软雅黑"/>
      <charset val="1"/>
    </font>
    <font>
      <b/>
      <sz val="16"/>
      <name val="微软雅黑"/>
      <charset val="1"/>
    </font>
    <font>
      <b/>
      <sz val="10"/>
      <name val="微软雅黑"/>
      <charset val="1"/>
    </font>
    <font>
      <b/>
      <sz val="11"/>
      <name val="微软雅黑"/>
      <charset val="1"/>
    </font>
    <font>
      <b/>
      <sz val="11"/>
      <name val="微软雅黑"/>
      <charset val="134"/>
    </font>
    <font>
      <sz val="10"/>
      <name val="微软雅黑"/>
      <charset val="134"/>
    </font>
    <font>
      <sz val="11"/>
      <name val="微软雅黑"/>
      <charset val="1"/>
    </font>
    <font>
      <sz val="11"/>
      <name val="微软雅黑"/>
      <charset val="134"/>
    </font>
    <font>
      <sz val="12"/>
      <name val="宋体"/>
      <charset val="134"/>
    </font>
    <font>
      <b/>
      <sz val="16"/>
      <name val="楷体_GB2312"/>
      <charset val="134"/>
    </font>
    <font>
      <sz val="10.5"/>
      <name val="楷体_GB2312"/>
      <charset val="134"/>
    </font>
    <font>
      <sz val="11"/>
      <color theme="1"/>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indexed="8"/>
      <name val="宋体"/>
      <charset val="134"/>
    </font>
    <font>
      <b/>
      <sz val="11"/>
      <color rgb="FFFA7D0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799981688894314"/>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xf numFmtId="42" fontId="17" fillId="0" borderId="0" applyFont="0" applyFill="0" applyBorder="0" applyAlignment="0" applyProtection="0">
      <alignment vertical="center"/>
    </xf>
    <xf numFmtId="0" fontId="13" fillId="19" borderId="0" applyNumberFormat="0" applyBorder="0" applyAlignment="0" applyProtection="0">
      <alignment vertical="center"/>
    </xf>
    <xf numFmtId="0" fontId="20" fillId="10" borderId="1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3" fillId="7" borderId="0" applyNumberFormat="0" applyBorder="0" applyAlignment="0" applyProtection="0">
      <alignment vertical="center"/>
    </xf>
    <xf numFmtId="0" fontId="21" fillId="11" borderId="0" applyNumberFormat="0" applyBorder="0" applyAlignment="0" applyProtection="0">
      <alignment vertical="center"/>
    </xf>
    <xf numFmtId="43" fontId="17" fillId="0" borderId="0" applyFont="0" applyFill="0" applyBorder="0" applyAlignment="0" applyProtection="0">
      <alignment vertical="center"/>
    </xf>
    <xf numFmtId="0" fontId="18" fillId="26" borderId="0" applyNumberFormat="0" applyBorder="0" applyAlignment="0" applyProtection="0">
      <alignment vertical="center"/>
    </xf>
    <xf numFmtId="0" fontId="28" fillId="0" borderId="0" applyNumberFormat="0" applyFill="0" applyBorder="0" applyAlignment="0" applyProtection="0">
      <alignment vertical="center"/>
    </xf>
    <xf numFmtId="9" fontId="17" fillId="0" borderId="0" applyFont="0" applyFill="0" applyBorder="0" applyAlignment="0" applyProtection="0">
      <alignment vertical="center"/>
    </xf>
    <xf numFmtId="0" fontId="32" fillId="0" borderId="0" applyNumberFormat="0" applyFill="0" applyBorder="0" applyAlignment="0" applyProtection="0">
      <alignment vertical="center"/>
    </xf>
    <xf numFmtId="0" fontId="17" fillId="18" borderId="13" applyNumberFormat="0" applyFont="0" applyAlignment="0" applyProtection="0">
      <alignment vertical="center"/>
    </xf>
    <xf numFmtId="0" fontId="18" fillId="25"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10" applyNumberFormat="0" applyFill="0" applyAlignment="0" applyProtection="0">
      <alignment vertical="center"/>
    </xf>
    <xf numFmtId="0" fontId="31" fillId="0" borderId="10" applyNumberFormat="0" applyFill="0" applyAlignment="0" applyProtection="0">
      <alignment vertical="center"/>
    </xf>
    <xf numFmtId="0" fontId="18" fillId="29" borderId="0" applyNumberFormat="0" applyBorder="0" applyAlignment="0" applyProtection="0">
      <alignment vertical="center"/>
    </xf>
    <xf numFmtId="0" fontId="25" fillId="0" borderId="14" applyNumberFormat="0" applyFill="0" applyAlignment="0" applyProtection="0">
      <alignment vertical="center"/>
    </xf>
    <xf numFmtId="0" fontId="18" fillId="31" borderId="0" applyNumberFormat="0" applyBorder="0" applyAlignment="0" applyProtection="0">
      <alignment vertical="center"/>
    </xf>
    <xf numFmtId="0" fontId="30" fillId="24" borderId="16" applyNumberFormat="0" applyAlignment="0" applyProtection="0">
      <alignment vertical="center"/>
    </xf>
    <xf numFmtId="0" fontId="24" fillId="24" borderId="11" applyNumberFormat="0" applyAlignment="0" applyProtection="0">
      <alignment vertical="center"/>
    </xf>
    <xf numFmtId="0" fontId="29" fillId="28" borderId="15" applyNumberFormat="0" applyAlignment="0" applyProtection="0">
      <alignment vertical="center"/>
    </xf>
    <xf numFmtId="0" fontId="13" fillId="6" borderId="0" applyNumberFormat="0" applyBorder="0" applyAlignment="0" applyProtection="0">
      <alignment vertical="center"/>
    </xf>
    <xf numFmtId="0" fontId="18" fillId="23" borderId="0" applyNumberFormat="0" applyBorder="0" applyAlignment="0" applyProtection="0">
      <alignment vertical="center"/>
    </xf>
    <xf numFmtId="0" fontId="33" fillId="0" borderId="17" applyNumberFormat="0" applyFill="0" applyAlignment="0" applyProtection="0">
      <alignment vertical="center"/>
    </xf>
    <xf numFmtId="0" fontId="22" fillId="0" borderId="12" applyNumberFormat="0" applyFill="0" applyAlignment="0" applyProtection="0">
      <alignment vertical="center"/>
    </xf>
    <xf numFmtId="0" fontId="14" fillId="5" borderId="0" applyNumberFormat="0" applyBorder="0" applyAlignment="0" applyProtection="0">
      <alignment vertical="center"/>
    </xf>
    <xf numFmtId="0" fontId="27" fillId="27" borderId="0" applyNumberFormat="0" applyBorder="0" applyAlignment="0" applyProtection="0">
      <alignment vertical="center"/>
    </xf>
    <xf numFmtId="0" fontId="13" fillId="32" borderId="0" applyNumberFormat="0" applyBorder="0" applyAlignment="0" applyProtection="0">
      <alignment vertical="center"/>
    </xf>
    <xf numFmtId="0" fontId="18" fillId="9" borderId="0" applyNumberFormat="0" applyBorder="0" applyAlignment="0" applyProtection="0">
      <alignment vertical="center"/>
    </xf>
    <xf numFmtId="0" fontId="13" fillId="4" borderId="0" applyNumberFormat="0" applyBorder="0" applyAlignment="0" applyProtection="0">
      <alignment vertical="center"/>
    </xf>
    <xf numFmtId="0" fontId="13" fillId="17" borderId="0" applyNumberFormat="0" applyBorder="0" applyAlignment="0" applyProtection="0">
      <alignment vertical="center"/>
    </xf>
    <xf numFmtId="0" fontId="13" fillId="3" borderId="0" applyNumberFormat="0" applyBorder="0" applyAlignment="0" applyProtection="0">
      <alignment vertical="center"/>
    </xf>
    <xf numFmtId="0" fontId="13" fillId="16" borderId="0" applyNumberFormat="0" applyBorder="0" applyAlignment="0" applyProtection="0">
      <alignment vertical="center"/>
    </xf>
    <xf numFmtId="0" fontId="10" fillId="0" borderId="0">
      <alignment vertical="center"/>
    </xf>
    <xf numFmtId="0" fontId="18" fillId="15" borderId="0" applyNumberFormat="0" applyBorder="0" applyAlignment="0" applyProtection="0">
      <alignment vertical="center"/>
    </xf>
    <xf numFmtId="0" fontId="10" fillId="0" borderId="0">
      <alignment vertical="center"/>
    </xf>
    <xf numFmtId="0" fontId="18" fillId="14"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8" fillId="22" borderId="0" applyNumberFormat="0" applyBorder="0" applyAlignment="0" applyProtection="0">
      <alignment vertical="center"/>
    </xf>
    <xf numFmtId="0" fontId="13" fillId="8" borderId="0" applyNumberFormat="0" applyBorder="0" applyAlignment="0" applyProtection="0">
      <alignment vertical="center"/>
    </xf>
    <xf numFmtId="0" fontId="18" fillId="21" borderId="0" applyNumberFormat="0" applyBorder="0" applyAlignment="0" applyProtection="0">
      <alignment vertical="center"/>
    </xf>
    <xf numFmtId="0" fontId="18" fillId="30" borderId="0" applyNumberFormat="0" applyBorder="0" applyAlignment="0" applyProtection="0">
      <alignment vertical="center"/>
    </xf>
    <xf numFmtId="0" fontId="13" fillId="2" borderId="0" applyNumberFormat="0" applyBorder="0" applyAlignment="0" applyProtection="0">
      <alignment vertical="center"/>
    </xf>
    <xf numFmtId="0" fontId="18" fillId="20" borderId="0" applyNumberFormat="0" applyBorder="0" applyAlignment="0" applyProtection="0">
      <alignment vertical="center"/>
    </xf>
    <xf numFmtId="0" fontId="10" fillId="0" borderId="0">
      <alignment vertical="center"/>
    </xf>
    <xf numFmtId="0" fontId="23"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cellStyleXfs>
  <cellXfs count="70">
    <xf numFmtId="0" fontId="0" fillId="0" borderId="0" xfId="0"/>
    <xf numFmtId="0" fontId="1" fillId="0" borderId="0" xfId="0" applyFont="1" applyFill="1" applyProtection="1">
      <protection locked="0"/>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6" fillId="0" borderId="5" xfId="0" applyFont="1" applyFill="1" applyBorder="1" applyAlignment="1" applyProtection="1">
      <alignment horizontal="center" vertical="center" wrapText="1"/>
    </xf>
    <xf numFmtId="176" fontId="5" fillId="0" borderId="6"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176" fontId="7" fillId="0" borderId="5" xfId="0" applyNumberFormat="1" applyFont="1" applyFill="1" applyBorder="1" applyAlignment="1" applyProtection="1">
      <alignment horizontal="center" vertical="center" wrapText="1"/>
    </xf>
    <xf numFmtId="176" fontId="7" fillId="0" borderId="5" xfId="0" applyNumberFormat="1" applyFont="1" applyFill="1" applyBorder="1" applyAlignment="1" applyProtection="1">
      <alignment horizontal="center" vertical="center" wrapText="1"/>
      <protection locked="0"/>
    </xf>
    <xf numFmtId="176" fontId="7" fillId="0" borderId="6" xfId="0" applyNumberFormat="1" applyFont="1" applyFill="1" applyBorder="1" applyAlignment="1" applyProtection="1">
      <alignment horizontal="center" vertical="center" wrapText="1"/>
    </xf>
    <xf numFmtId="177" fontId="7" fillId="0" borderId="5" xfId="0"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vertical="center"/>
    </xf>
    <xf numFmtId="49" fontId="7" fillId="0" borderId="4" xfId="0" applyNumberFormat="1" applyFont="1" applyFill="1" applyBorder="1" applyAlignment="1" applyProtection="1">
      <alignment horizontal="center" vertical="center"/>
      <protection locked="0"/>
    </xf>
    <xf numFmtId="176" fontId="7" fillId="0" borderId="6" xfId="0" applyNumberFormat="1" applyFont="1" applyFill="1" applyBorder="1" applyAlignment="1" applyProtection="1">
      <alignment horizontal="center" vertical="center" wrapText="1"/>
      <protection locked="0"/>
    </xf>
    <xf numFmtId="176" fontId="6" fillId="0" borderId="6" xfId="0" applyNumberFormat="1" applyFont="1" applyFill="1" applyBorder="1" applyAlignment="1" applyProtection="1">
      <alignment horizontal="center" vertical="center" wrapText="1"/>
    </xf>
    <xf numFmtId="0" fontId="5" fillId="0" borderId="5" xfId="0" applyFont="1" applyBorder="1" applyAlignment="1">
      <alignment horizontal="left"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6" fillId="0" borderId="5" xfId="0" applyFont="1" applyFill="1" applyBorder="1" applyAlignment="1" applyProtection="1">
      <alignment horizontal="left" vertical="center" wrapText="1"/>
    </xf>
    <xf numFmtId="176" fontId="5" fillId="0" borderId="5" xfId="0" applyNumberFormat="1" applyFont="1" applyBorder="1" applyAlignment="1">
      <alignment horizontal="center" vertical="center"/>
    </xf>
    <xf numFmtId="0" fontId="2" fillId="0" borderId="5" xfId="0" applyFont="1" applyBorder="1" applyAlignment="1">
      <alignment horizontal="left" vertical="center" wrapText="1"/>
    </xf>
    <xf numFmtId="0" fontId="8" fillId="0" borderId="5" xfId="0" applyFont="1" applyBorder="1" applyAlignment="1">
      <alignment horizontal="center" vertical="center"/>
    </xf>
    <xf numFmtId="0" fontId="9"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176" fontId="9" fillId="0" borderId="5" xfId="0" applyNumberFormat="1" applyFont="1" applyFill="1" applyBorder="1" applyAlignment="1" applyProtection="1">
      <alignment horizontal="center" vertical="center" wrapText="1"/>
      <protection locked="0"/>
    </xf>
    <xf numFmtId="176" fontId="8"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176" fontId="9" fillId="0" borderId="5" xfId="0" applyNumberFormat="1" applyFont="1" applyFill="1" applyBorder="1" applyAlignment="1" applyProtection="1">
      <alignment horizontal="center" vertical="center" wrapText="1"/>
    </xf>
    <xf numFmtId="176" fontId="2" fillId="0" borderId="0" xfId="0" applyNumberFormat="1" applyFont="1" applyBorder="1"/>
    <xf numFmtId="0" fontId="2" fillId="0" borderId="0" xfId="0" applyFont="1" applyBorder="1"/>
    <xf numFmtId="176" fontId="2" fillId="0" borderId="0" xfId="0" applyNumberFormat="1" applyFont="1"/>
    <xf numFmtId="0" fontId="2" fillId="0" borderId="0" xfId="0" applyFont="1" applyAlignment="1">
      <alignment vertical="center"/>
    </xf>
    <xf numFmtId="0" fontId="7" fillId="0" borderId="5" xfId="55"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left" vertical="center"/>
    </xf>
    <xf numFmtId="176" fontId="5" fillId="0" borderId="9" xfId="0" applyNumberFormat="1" applyFont="1" applyBorder="1" applyAlignment="1">
      <alignment horizontal="center" vertical="center"/>
    </xf>
    <xf numFmtId="0" fontId="10" fillId="0" borderId="0" xfId="0" applyNumberFormat="1"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5" xfId="0" applyNumberFormat="1" applyFont="1" applyFill="1" applyBorder="1" applyAlignment="1">
      <alignment horizontal="justify" vertical="center" wrapText="1"/>
    </xf>
    <xf numFmtId="0" fontId="12" fillId="0" borderId="0" xfId="0" applyNumberFormat="1" applyFont="1" applyFill="1" applyBorder="1" applyAlignment="1">
      <alignment horizontal="justify" vertical="center" wrapText="1"/>
    </xf>
    <xf numFmtId="0" fontId="10" fillId="0" borderId="0" xfId="0" applyNumberFormat="1" applyFont="1" applyFill="1" applyAlignment="1">
      <alignment horizontal="left" vertical="top" wrapText="1"/>
    </xf>
    <xf numFmtId="0" fontId="12" fillId="0" borderId="5"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3232" xfId="51"/>
    <cellStyle name="常规 2" xfId="52"/>
    <cellStyle name="常规 3" xfId="53"/>
    <cellStyle name="常规 5" xfId="54"/>
    <cellStyle name="常规 7" xfId="55"/>
    <cellStyle name="常规_蓝湖郡调拨单统计" xfId="56"/>
  </cellStyles>
  <tableStyles count="0" defaultTableStyle="Table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topLeftCell="A4" workbookViewId="0">
      <selection activeCell="E10" sqref="E10"/>
    </sheetView>
  </sheetViews>
  <sheetFormatPr defaultColWidth="10" defaultRowHeight="14.25" outlineLevelCol="4"/>
  <cols>
    <col min="1" max="1" width="98.847619047619" style="63" customWidth="1"/>
    <col min="2" max="3" width="10.2857142857143" style="63"/>
    <col min="4" max="4" width="10.2857142857143" style="63" customWidth="1"/>
    <col min="5" max="5" width="58" style="63" customWidth="1"/>
    <col min="6" max="32" width="10.2857142857143" style="63"/>
    <col min="33" max="16384" width="10" style="63"/>
  </cols>
  <sheetData>
    <row r="1" ht="48.95" customHeight="1" spans="1:1">
      <c r="A1" s="64" t="s">
        <v>0</v>
      </c>
    </row>
    <row r="2" s="62" customFormat="1" ht="27" customHeight="1" spans="1:4">
      <c r="A2" s="65" t="s">
        <v>1</v>
      </c>
      <c r="D2" s="64"/>
    </row>
    <row r="3" s="62" customFormat="1" ht="42" customHeight="1" spans="1:4">
      <c r="A3" s="65" t="s">
        <v>2</v>
      </c>
      <c r="D3" s="66"/>
    </row>
    <row r="4" s="62" customFormat="1" ht="50.1" customHeight="1" spans="1:5">
      <c r="A4" s="65" t="s">
        <v>3</v>
      </c>
      <c r="D4" s="66"/>
      <c r="E4" s="67"/>
    </row>
    <row r="5" s="62" customFormat="1" ht="36" customHeight="1" spans="1:5">
      <c r="A5" s="65" t="s">
        <v>4</v>
      </c>
      <c r="D5" s="66"/>
      <c r="E5" s="67"/>
    </row>
    <row r="6" s="62" customFormat="1" ht="60.95" customHeight="1" spans="1:5">
      <c r="A6" s="65" t="s">
        <v>5</v>
      </c>
      <c r="D6" s="66"/>
      <c r="E6" s="67"/>
    </row>
    <row r="7" s="62" customFormat="1" ht="57" customHeight="1" spans="1:5">
      <c r="A7" s="65" t="s">
        <v>6</v>
      </c>
      <c r="D7" s="66"/>
      <c r="E7" s="67"/>
    </row>
    <row r="8" s="62" customFormat="1" ht="53.1" customHeight="1" spans="1:4">
      <c r="A8" s="68" t="s">
        <v>7</v>
      </c>
      <c r="D8" s="66"/>
    </row>
    <row r="9" s="62" customFormat="1" ht="30" customHeight="1" spans="1:4">
      <c r="A9" s="68" t="s">
        <v>8</v>
      </c>
      <c r="D9" s="69"/>
    </row>
    <row r="10" ht="39.95" customHeight="1" spans="1:4">
      <c r="A10" s="68" t="s">
        <v>9</v>
      </c>
      <c r="D10" s="69"/>
    </row>
    <row r="11" spans="4:4">
      <c r="D11" s="69"/>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topLeftCell="A62" workbookViewId="0">
      <selection activeCell="H71" sqref="H4:H14 H16 H17 H19:H23 H24:H27 H29 H31 H33:H36 H38:H41 H42:H44 H46:H49 H50:H55 H56:H61 H62:H63 H65:H69 H71:H72"/>
    </sheetView>
  </sheetViews>
  <sheetFormatPr defaultColWidth="8.88571428571429" defaultRowHeight="16.5"/>
  <cols>
    <col min="1" max="1" width="8.88571428571429" style="2"/>
    <col min="2" max="2" width="13.2857142857143" style="3" customWidth="1"/>
    <col min="3" max="3" width="25" style="4" customWidth="1"/>
    <col min="4" max="4" width="33.3333333333333" style="5" customWidth="1"/>
    <col min="5" max="5" width="8.88571428571429" style="3"/>
    <col min="6" max="6" width="11.7809523809524" style="3"/>
    <col min="7" max="7" width="10.5714285714286" style="3"/>
    <col min="8" max="8" width="13.5714285714286" style="6"/>
    <col min="9" max="9" width="8.88571428571429" style="7"/>
    <col min="10" max="10" width="31.7809523809524" style="7" hidden="1" customWidth="1"/>
    <col min="11" max="11" width="40.6666666666667" style="7" customWidth="1"/>
    <col min="12" max="16384" width="8.88571428571429" style="7"/>
  </cols>
  <sheetData>
    <row r="1" ht="39" customHeight="1" spans="1:8">
      <c r="A1" s="8" t="s">
        <v>10</v>
      </c>
      <c r="B1" s="8"/>
      <c r="C1" s="8"/>
      <c r="D1" s="8"/>
      <c r="E1" s="8"/>
      <c r="F1" s="8"/>
      <c r="G1" s="8"/>
      <c r="H1" s="9"/>
    </row>
    <row r="2" ht="33" spans="1:8">
      <c r="A2" s="10" t="s">
        <v>11</v>
      </c>
      <c r="B2" s="11" t="s">
        <v>12</v>
      </c>
      <c r="C2" s="12" t="s">
        <v>13</v>
      </c>
      <c r="D2" s="11" t="s">
        <v>14</v>
      </c>
      <c r="E2" s="12" t="s">
        <v>15</v>
      </c>
      <c r="F2" s="11" t="s">
        <v>16</v>
      </c>
      <c r="G2" s="11" t="s">
        <v>17</v>
      </c>
      <c r="H2" s="13" t="s">
        <v>18</v>
      </c>
    </row>
    <row r="3" ht="30" spans="1:8">
      <c r="A3" s="14">
        <v>1</v>
      </c>
      <c r="B3" s="15" t="s">
        <v>19</v>
      </c>
      <c r="C3" s="16" t="s">
        <v>20</v>
      </c>
      <c r="D3" s="17" t="s">
        <v>21</v>
      </c>
      <c r="E3" s="18"/>
      <c r="F3" s="15"/>
      <c r="G3" s="15"/>
      <c r="H3" s="19">
        <f>SUM(H4:H14)</f>
        <v>38209.8703156757</v>
      </c>
    </row>
    <row r="4" ht="82.5" spans="1:8">
      <c r="A4" s="20">
        <v>1.1</v>
      </c>
      <c r="B4" s="21"/>
      <c r="C4" s="22" t="s">
        <v>22</v>
      </c>
      <c r="D4" s="23" t="s">
        <v>23</v>
      </c>
      <c r="E4" s="22" t="s">
        <v>24</v>
      </c>
      <c r="F4" s="24">
        <f>29.5*1.3*1</f>
        <v>38.35</v>
      </c>
      <c r="G4" s="25">
        <v>16.78</v>
      </c>
      <c r="H4" s="26">
        <f>F4*G4</f>
        <v>643.513</v>
      </c>
    </row>
    <row r="5" ht="115.5" spans="1:8">
      <c r="A5" s="20">
        <v>1.2</v>
      </c>
      <c r="B5" s="21"/>
      <c r="C5" s="22" t="s">
        <v>25</v>
      </c>
      <c r="D5" s="23" t="s">
        <v>26</v>
      </c>
      <c r="E5" s="22" t="s">
        <v>24</v>
      </c>
      <c r="F5" s="24">
        <f>38.35-3.84-2.95-29.5*0.5*0.24</f>
        <v>28.02</v>
      </c>
      <c r="G5" s="25">
        <v>8.64</v>
      </c>
      <c r="H5" s="26">
        <f>F5*G5</f>
        <v>242.0928</v>
      </c>
    </row>
    <row r="6" ht="33" spans="1:8">
      <c r="A6" s="20">
        <v>1.3</v>
      </c>
      <c r="B6" s="21"/>
      <c r="C6" s="22" t="s">
        <v>27</v>
      </c>
      <c r="D6" s="23" t="s">
        <v>28</v>
      </c>
      <c r="E6" s="22" t="s">
        <v>29</v>
      </c>
      <c r="F6" s="24">
        <f>29.5*1.3</f>
        <v>38.35</v>
      </c>
      <c r="G6" s="25">
        <v>1.8</v>
      </c>
      <c r="H6" s="26">
        <f>F6*G6</f>
        <v>69.03</v>
      </c>
    </row>
    <row r="7" ht="82.5" spans="1:8">
      <c r="A7" s="20">
        <v>1.4</v>
      </c>
      <c r="B7" s="21"/>
      <c r="C7" s="22" t="s">
        <v>30</v>
      </c>
      <c r="D7" s="23" t="s">
        <v>31</v>
      </c>
      <c r="E7" s="22" t="s">
        <v>24</v>
      </c>
      <c r="F7" s="24">
        <f>29.5*1.3*0.1</f>
        <v>3.835</v>
      </c>
      <c r="G7" s="25">
        <v>677.37</v>
      </c>
      <c r="H7" s="26">
        <f>F7*G7</f>
        <v>2597.71395</v>
      </c>
    </row>
    <row r="8" ht="49.5" spans="1:8">
      <c r="A8" s="20">
        <v>1.5</v>
      </c>
      <c r="B8" s="21"/>
      <c r="C8" s="22" t="s">
        <v>32</v>
      </c>
      <c r="D8" s="23" t="s">
        <v>33</v>
      </c>
      <c r="E8" s="22" t="s">
        <v>24</v>
      </c>
      <c r="F8" s="24">
        <v>2.95</v>
      </c>
      <c r="G8" s="25">
        <v>343.51</v>
      </c>
      <c r="H8" s="26">
        <f>F8*G8</f>
        <v>1013.3545</v>
      </c>
    </row>
    <row r="9" ht="82.5" spans="1:8">
      <c r="A9" s="20">
        <v>1.6</v>
      </c>
      <c r="B9" s="21"/>
      <c r="C9" s="22" t="s">
        <v>34</v>
      </c>
      <c r="D9" s="23" t="s">
        <v>35</v>
      </c>
      <c r="E9" s="22" t="s">
        <v>24</v>
      </c>
      <c r="F9" s="24">
        <f>29.5*0.8*0.25</f>
        <v>5.9</v>
      </c>
      <c r="G9" s="25">
        <v>1217.21</v>
      </c>
      <c r="H9" s="26">
        <f t="shared" ref="H9:H16" si="0">F9*G9</f>
        <v>7181.539</v>
      </c>
    </row>
    <row r="10" ht="82.5" spans="1:8">
      <c r="A10" s="20">
        <v>1.7</v>
      </c>
      <c r="B10" s="21"/>
      <c r="C10" s="22" t="s">
        <v>36</v>
      </c>
      <c r="D10" s="23" t="s">
        <v>35</v>
      </c>
      <c r="E10" s="22" t="s">
        <v>24</v>
      </c>
      <c r="F10" s="24">
        <f>29.5*0.24*1.4</f>
        <v>9.912</v>
      </c>
      <c r="G10" s="25">
        <v>1455.74</v>
      </c>
      <c r="H10" s="26">
        <f>F10*G10</f>
        <v>14429.29488</v>
      </c>
    </row>
    <row r="11" ht="82.5" spans="1:8">
      <c r="A11" s="20">
        <v>1.8</v>
      </c>
      <c r="B11" s="21"/>
      <c r="C11" s="22" t="s">
        <v>37</v>
      </c>
      <c r="D11" s="23" t="s">
        <v>38</v>
      </c>
      <c r="E11" s="22" t="s">
        <v>39</v>
      </c>
      <c r="F11" s="27">
        <f>(10*29.5*0.395+5*29.5*0.617+149*1.57*0.617)/1000</f>
        <v>0.35186731</v>
      </c>
      <c r="G11" s="25">
        <v>6721.27</v>
      </c>
      <c r="H11" s="26">
        <f>F11*G11</f>
        <v>2364.9951946837</v>
      </c>
    </row>
    <row r="12" ht="82.5" spans="1:8">
      <c r="A12" s="20">
        <v>1.9</v>
      </c>
      <c r="B12" s="21"/>
      <c r="C12" s="22" t="s">
        <v>37</v>
      </c>
      <c r="D12" s="23" t="s">
        <v>40</v>
      </c>
      <c r="E12" s="22" t="s">
        <v>39</v>
      </c>
      <c r="F12" s="27">
        <f>(149*0.8*0.888)/1000</f>
        <v>0.1058496</v>
      </c>
      <c r="G12" s="25">
        <v>6721.27</v>
      </c>
      <c r="H12" s="26">
        <f>F12*G12</f>
        <v>711.443740992</v>
      </c>
    </row>
    <row r="13" ht="49.5" spans="1:8">
      <c r="A13" s="20" t="s">
        <v>41</v>
      </c>
      <c r="B13" s="21"/>
      <c r="C13" s="22" t="s">
        <v>42</v>
      </c>
      <c r="D13" s="23" t="s">
        <v>43</v>
      </c>
      <c r="E13" s="22" t="s">
        <v>29</v>
      </c>
      <c r="F13" s="24">
        <f>29.5*0.3</f>
        <v>8.85</v>
      </c>
      <c r="G13" s="25">
        <v>223.42</v>
      </c>
      <c r="H13" s="26">
        <f>F13*G13</f>
        <v>1977.267</v>
      </c>
    </row>
    <row r="14" ht="66" spans="1:8">
      <c r="A14" s="20" t="s">
        <v>44</v>
      </c>
      <c r="B14" s="21"/>
      <c r="C14" s="22" t="s">
        <v>45</v>
      </c>
      <c r="D14" s="23" t="s">
        <v>46</v>
      </c>
      <c r="E14" s="22" t="s">
        <v>29</v>
      </c>
      <c r="F14" s="24">
        <f>29.5*0.95</f>
        <v>28.025</v>
      </c>
      <c r="G14" s="25">
        <v>249.05</v>
      </c>
      <c r="H14" s="26">
        <f>F14*G14</f>
        <v>6979.62625</v>
      </c>
    </row>
    <row r="15" ht="45" spans="1:8">
      <c r="A15" s="20">
        <v>2</v>
      </c>
      <c r="B15" s="15" t="s">
        <v>47</v>
      </c>
      <c r="C15" s="16" t="s">
        <v>48</v>
      </c>
      <c r="D15" s="17" t="s">
        <v>49</v>
      </c>
      <c r="E15" s="15"/>
      <c r="F15" s="15"/>
      <c r="G15" s="15"/>
      <c r="H15" s="19">
        <f>SUM(H16:H17)</f>
        <v>-4997.05</v>
      </c>
    </row>
    <row r="16" ht="66" spans="1:8">
      <c r="A16" s="20">
        <v>2.1</v>
      </c>
      <c r="B16" s="21"/>
      <c r="C16" s="22" t="s">
        <v>50</v>
      </c>
      <c r="D16" s="23" t="s">
        <v>51</v>
      </c>
      <c r="E16" s="22" t="s">
        <v>29</v>
      </c>
      <c r="F16" s="24">
        <v>-45</v>
      </c>
      <c r="G16" s="25">
        <v>165.49</v>
      </c>
      <c r="H16" s="26">
        <f>F16*G16</f>
        <v>-7447.05</v>
      </c>
    </row>
    <row r="17" spans="1:8">
      <c r="A17" s="20">
        <v>2.2</v>
      </c>
      <c r="B17" s="21"/>
      <c r="C17" s="28" t="s">
        <v>52</v>
      </c>
      <c r="D17" s="29" t="s">
        <v>53</v>
      </c>
      <c r="E17" s="22" t="s">
        <v>54</v>
      </c>
      <c r="F17" s="24">
        <f>147/0.3</f>
        <v>490</v>
      </c>
      <c r="G17" s="25">
        <v>5</v>
      </c>
      <c r="H17" s="26">
        <f>F17*G17</f>
        <v>2450</v>
      </c>
    </row>
    <row r="18" ht="30" spans="1:8">
      <c r="A18" s="20">
        <v>3</v>
      </c>
      <c r="B18" s="15" t="s">
        <v>55</v>
      </c>
      <c r="C18" s="16" t="s">
        <v>56</v>
      </c>
      <c r="D18" s="30"/>
      <c r="E18" s="15"/>
      <c r="F18" s="15"/>
      <c r="G18" s="15"/>
      <c r="H18" s="19">
        <f>SUM(H19:H27)</f>
        <v>3745.26900857143</v>
      </c>
    </row>
    <row r="19" s="1" customFormat="1" ht="49.5" outlineLevel="1" spans="1:8">
      <c r="A19" s="31">
        <v>3.1</v>
      </c>
      <c r="B19" s="22"/>
      <c r="C19" s="22" t="s">
        <v>57</v>
      </c>
      <c r="D19" s="23" t="s">
        <v>58</v>
      </c>
      <c r="E19" s="22" t="s">
        <v>24</v>
      </c>
      <c r="F19" s="24">
        <f>9*0.9/14*6</f>
        <v>3.47142857142857</v>
      </c>
      <c r="G19" s="25">
        <v>16.78</v>
      </c>
      <c r="H19" s="32">
        <f>F19*G19</f>
        <v>58.2505714285714</v>
      </c>
    </row>
    <row r="20" s="1" customFormat="1" outlineLevel="1" spans="1:8">
      <c r="A20" s="31">
        <v>3.2</v>
      </c>
      <c r="B20" s="22"/>
      <c r="C20" s="22" t="s">
        <v>25</v>
      </c>
      <c r="D20" s="23" t="s">
        <v>59</v>
      </c>
      <c r="E20" s="22" t="s">
        <v>24</v>
      </c>
      <c r="F20" s="24">
        <f>(8.1-1.43-1.4)/14*6</f>
        <v>2.25857142857143</v>
      </c>
      <c r="G20" s="25">
        <v>8.64</v>
      </c>
      <c r="H20" s="32">
        <f t="shared" ref="H20:H30" si="1">F20*G20</f>
        <v>19.5140571428572</v>
      </c>
    </row>
    <row r="21" s="1" customFormat="1" ht="33" outlineLevel="1" spans="1:8">
      <c r="A21" s="31">
        <v>3.3</v>
      </c>
      <c r="B21" s="22"/>
      <c r="C21" s="22" t="s">
        <v>27</v>
      </c>
      <c r="D21" s="23" t="s">
        <v>28</v>
      </c>
      <c r="E21" s="22" t="s">
        <v>29</v>
      </c>
      <c r="F21" s="24">
        <f>9/14*6</f>
        <v>3.85714285714286</v>
      </c>
      <c r="G21" s="25">
        <v>1.8</v>
      </c>
      <c r="H21" s="32">
        <f t="shared" si="1"/>
        <v>6.94285714285715</v>
      </c>
    </row>
    <row r="22" s="1" customFormat="1" ht="82.5" outlineLevel="1" spans="1:8">
      <c r="A22" s="31">
        <v>3.4</v>
      </c>
      <c r="B22" s="22"/>
      <c r="C22" s="22" t="s">
        <v>60</v>
      </c>
      <c r="D22" s="23" t="s">
        <v>61</v>
      </c>
      <c r="E22" s="22" t="s">
        <v>24</v>
      </c>
      <c r="F22" s="24">
        <f>1.43/14*6</f>
        <v>0.612857142857143</v>
      </c>
      <c r="G22" s="25">
        <v>1217.21</v>
      </c>
      <c r="H22" s="32">
        <f t="shared" si="1"/>
        <v>745.975842857143</v>
      </c>
    </row>
    <row r="23" s="1" customFormat="1" ht="82.5" outlineLevel="1" spans="1:8">
      <c r="A23" s="31">
        <v>3.5</v>
      </c>
      <c r="B23" s="22"/>
      <c r="C23" s="22" t="s">
        <v>30</v>
      </c>
      <c r="D23" s="23" t="s">
        <v>31</v>
      </c>
      <c r="E23" s="22" t="s">
        <v>24</v>
      </c>
      <c r="F23" s="24">
        <f>0.5/14*6</f>
        <v>0.214285714285714</v>
      </c>
      <c r="G23" s="25">
        <v>677.37</v>
      </c>
      <c r="H23" s="32">
        <f t="shared" si="1"/>
        <v>145.150714285714</v>
      </c>
    </row>
    <row r="24" s="1" customFormat="1" ht="49.5" outlineLevel="1" spans="1:8">
      <c r="A24" s="31">
        <v>3.6</v>
      </c>
      <c r="B24" s="22"/>
      <c r="C24" s="22" t="s">
        <v>32</v>
      </c>
      <c r="D24" s="23" t="s">
        <v>62</v>
      </c>
      <c r="E24" s="22" t="s">
        <v>24</v>
      </c>
      <c r="F24" s="24">
        <f>0.9/14*6</f>
        <v>0.385714285714286</v>
      </c>
      <c r="G24" s="25">
        <v>343.51</v>
      </c>
      <c r="H24" s="32">
        <f t="shared" si="1"/>
        <v>132.496714285714</v>
      </c>
    </row>
    <row r="25" s="1" customFormat="1" ht="66" outlineLevel="1" spans="1:8">
      <c r="A25" s="31">
        <v>3.7</v>
      </c>
      <c r="B25" s="22"/>
      <c r="C25" s="22" t="s">
        <v>63</v>
      </c>
      <c r="D25" s="23" t="s">
        <v>64</v>
      </c>
      <c r="E25" s="22" t="s">
        <v>24</v>
      </c>
      <c r="F25" s="27">
        <f>0.146/14*6</f>
        <v>0.0625714285714286</v>
      </c>
      <c r="G25" s="25">
        <v>11338.8</v>
      </c>
      <c r="H25" s="32">
        <f t="shared" si="1"/>
        <v>709.484914285715</v>
      </c>
    </row>
    <row r="26" s="1" customFormat="1" ht="82.5" outlineLevel="1" spans="1:8">
      <c r="A26" s="31">
        <v>3.8</v>
      </c>
      <c r="B26" s="22"/>
      <c r="C26" s="22" t="s">
        <v>65</v>
      </c>
      <c r="D26" s="23" t="s">
        <v>66</v>
      </c>
      <c r="E26" s="22" t="s">
        <v>39</v>
      </c>
      <c r="F26" s="27">
        <f>0.056/14*6</f>
        <v>0.024</v>
      </c>
      <c r="G26" s="25">
        <v>6721.27</v>
      </c>
      <c r="H26" s="32">
        <f t="shared" si="1"/>
        <v>161.31048</v>
      </c>
    </row>
    <row r="27" s="1" customFormat="1" ht="33" outlineLevel="1" spans="1:8">
      <c r="A27" s="31">
        <v>3.9</v>
      </c>
      <c r="B27" s="22"/>
      <c r="C27" s="22" t="s">
        <v>67</v>
      </c>
      <c r="D27" s="23" t="s">
        <v>68</v>
      </c>
      <c r="E27" s="22" t="s">
        <v>39</v>
      </c>
      <c r="F27" s="27">
        <f>0.317/14*6</f>
        <v>0.135857142857143</v>
      </c>
      <c r="G27" s="25">
        <v>13000</v>
      </c>
      <c r="H27" s="32">
        <f t="shared" si="1"/>
        <v>1766.14285714286</v>
      </c>
    </row>
    <row r="28" ht="45" spans="1:8">
      <c r="A28" s="20" t="s">
        <v>69</v>
      </c>
      <c r="B28" s="15" t="s">
        <v>70</v>
      </c>
      <c r="C28" s="16" t="s">
        <v>71</v>
      </c>
      <c r="D28" s="30"/>
      <c r="E28" s="15"/>
      <c r="F28" s="15"/>
      <c r="G28" s="15"/>
      <c r="H28" s="33">
        <f>SUM(H29)</f>
        <v>19466</v>
      </c>
    </row>
    <row r="29" spans="1:8">
      <c r="A29" s="20" t="s">
        <v>72</v>
      </c>
      <c r="B29" s="21"/>
      <c r="C29" s="28" t="s">
        <v>73</v>
      </c>
      <c r="D29" s="29" t="s">
        <v>74</v>
      </c>
      <c r="E29" s="22" t="s">
        <v>29</v>
      </c>
      <c r="F29" s="22">
        <f>97.33/0.24*1.2</f>
        <v>486.65</v>
      </c>
      <c r="G29" s="22">
        <v>40</v>
      </c>
      <c r="H29" s="26">
        <f t="shared" si="1"/>
        <v>19466</v>
      </c>
    </row>
    <row r="30" ht="30" spans="1:8">
      <c r="A30" s="20" t="s">
        <v>75</v>
      </c>
      <c r="B30" s="15" t="s">
        <v>76</v>
      </c>
      <c r="C30" s="18" t="s">
        <v>77</v>
      </c>
      <c r="D30" s="34"/>
      <c r="E30" s="15"/>
      <c r="F30" s="15"/>
      <c r="G30" s="15"/>
      <c r="H30" s="19">
        <f>SUM(H31)</f>
        <v>1173.567564</v>
      </c>
    </row>
    <row r="31" ht="66" spans="1:8">
      <c r="A31" s="20" t="s">
        <v>78</v>
      </c>
      <c r="B31" s="21"/>
      <c r="C31" s="22" t="s">
        <v>77</v>
      </c>
      <c r="D31" s="23" t="s">
        <v>79</v>
      </c>
      <c r="E31" s="22" t="s">
        <v>24</v>
      </c>
      <c r="F31" s="24">
        <f>28.47*0.12</f>
        <v>3.4164</v>
      </c>
      <c r="G31" s="24">
        <v>343.51</v>
      </c>
      <c r="H31" s="26">
        <f>F31*G31</f>
        <v>1173.567564</v>
      </c>
    </row>
    <row r="32" ht="30" spans="1:8">
      <c r="A32" s="20" t="s">
        <v>80</v>
      </c>
      <c r="B32" s="15" t="s">
        <v>81</v>
      </c>
      <c r="C32" s="16" t="s">
        <v>82</v>
      </c>
      <c r="D32" s="34"/>
      <c r="E32" s="15"/>
      <c r="F32" s="15"/>
      <c r="G32" s="15"/>
      <c r="H32" s="19">
        <f>SUM(H33:H36)</f>
        <v>31163.81396875</v>
      </c>
    </row>
    <row r="33" ht="99" spans="1:8">
      <c r="A33" s="20" t="s">
        <v>83</v>
      </c>
      <c r="B33" s="21"/>
      <c r="C33" s="28" t="s">
        <v>84</v>
      </c>
      <c r="D33" s="23" t="s">
        <v>85</v>
      </c>
      <c r="E33" s="22" t="s">
        <v>24</v>
      </c>
      <c r="F33" s="35">
        <f>0.25*2.1*(4.62+2.37+4.757)+0.3*(1.5*2*2.4+2.7*2.4)+0.25*(1.55*2*1+2.8*1)+0.3*2.7*2.65</f>
        <v>13.892675</v>
      </c>
      <c r="G33" s="21">
        <v>1217.21</v>
      </c>
      <c r="H33" s="36">
        <f>F33*G33</f>
        <v>16910.30293675</v>
      </c>
    </row>
    <row r="34" ht="82.5" spans="1:11">
      <c r="A34" s="20" t="s">
        <v>86</v>
      </c>
      <c r="B34" s="21"/>
      <c r="C34" s="28" t="s">
        <v>87</v>
      </c>
      <c r="D34" s="23" t="s">
        <v>88</v>
      </c>
      <c r="E34" s="21" t="s">
        <v>39</v>
      </c>
      <c r="F34" s="21">
        <f>13.89*60/1000</f>
        <v>0.8334</v>
      </c>
      <c r="G34" s="21">
        <v>6721.27</v>
      </c>
      <c r="H34" s="36">
        <f>F34*G34</f>
        <v>5601.506418</v>
      </c>
      <c r="J34" s="49"/>
      <c r="K34" s="49"/>
    </row>
    <row r="35" ht="66" spans="1:11">
      <c r="A35" s="20" t="s">
        <v>89</v>
      </c>
      <c r="B35" s="21"/>
      <c r="C35" s="28" t="s">
        <v>90</v>
      </c>
      <c r="D35" s="23" t="s">
        <v>91</v>
      </c>
      <c r="E35" s="21" t="s">
        <v>29</v>
      </c>
      <c r="F35" s="35">
        <f>1.35*(4.62+2.37+4.757)+(1.55*2*2.65+2.8*2.65)+2.7*2.65</f>
        <v>38.64845</v>
      </c>
      <c r="G35" s="21">
        <v>55.03</v>
      </c>
      <c r="H35" s="36">
        <f>F35*G35</f>
        <v>2126.8242035</v>
      </c>
      <c r="J35" s="49"/>
      <c r="K35" s="50"/>
    </row>
    <row r="36" ht="66" spans="1:11">
      <c r="A36" s="20" t="s">
        <v>92</v>
      </c>
      <c r="B36" s="21"/>
      <c r="C36" s="28" t="s">
        <v>93</v>
      </c>
      <c r="D36" s="23" t="s">
        <v>94</v>
      </c>
      <c r="E36" s="21" t="s">
        <v>29</v>
      </c>
      <c r="F36" s="35">
        <f>4.45*(4.62+2.37+4.757)+(1.55*2*7.05+2.8*7.05)+2.7*5.6</f>
        <v>108.98915</v>
      </c>
      <c r="G36" s="21">
        <v>59.87</v>
      </c>
      <c r="H36" s="36">
        <f>F36*G36</f>
        <v>6525.1804105</v>
      </c>
      <c r="J36" s="49"/>
      <c r="K36" s="50"/>
    </row>
    <row r="37" ht="30" spans="1:10">
      <c r="A37" s="20" t="s">
        <v>95</v>
      </c>
      <c r="B37" s="15" t="s">
        <v>96</v>
      </c>
      <c r="C37" s="16" t="s">
        <v>97</v>
      </c>
      <c r="D37" s="37"/>
      <c r="E37" s="15"/>
      <c r="F37" s="38"/>
      <c r="G37" s="15"/>
      <c r="H37" s="19">
        <f>SUM(H38:H44)</f>
        <v>4041.18675999999</v>
      </c>
      <c r="J37" s="51"/>
    </row>
    <row r="38" ht="82.5" spans="1:8">
      <c r="A38" s="20" t="s">
        <v>98</v>
      </c>
      <c r="B38" s="21"/>
      <c r="C38" s="22" t="s">
        <v>99</v>
      </c>
      <c r="D38" s="23" t="s">
        <v>100</v>
      </c>
      <c r="E38" s="22" t="s">
        <v>29</v>
      </c>
      <c r="F38" s="35">
        <f>4.05*5.6*2</f>
        <v>45.36</v>
      </c>
      <c r="G38" s="35">
        <v>59.87</v>
      </c>
      <c r="H38" s="36">
        <f t="shared" ref="H38:H44" si="2">F38*G38</f>
        <v>2715.7032</v>
      </c>
    </row>
    <row r="39" ht="33" spans="1:8">
      <c r="A39" s="20" t="s">
        <v>101</v>
      </c>
      <c r="B39" s="21"/>
      <c r="C39" s="22" t="s">
        <v>102</v>
      </c>
      <c r="D39" s="23" t="s">
        <v>103</v>
      </c>
      <c r="E39" s="21" t="s">
        <v>29</v>
      </c>
      <c r="F39" s="35">
        <f>4.05*5.6*2</f>
        <v>45.36</v>
      </c>
      <c r="G39" s="35">
        <v>143.24</v>
      </c>
      <c r="H39" s="36">
        <f t="shared" si="2"/>
        <v>6497.3664</v>
      </c>
    </row>
    <row r="40" ht="49.5" spans="1:8">
      <c r="A40" s="20" t="s">
        <v>104</v>
      </c>
      <c r="B40" s="21"/>
      <c r="C40" s="28" t="s">
        <v>102</v>
      </c>
      <c r="D40" s="39" t="s">
        <v>105</v>
      </c>
      <c r="E40" s="21" t="s">
        <v>29</v>
      </c>
      <c r="F40" s="35">
        <f>4.05*4.58*2</f>
        <v>37.098</v>
      </c>
      <c r="G40" s="35">
        <v>550.62</v>
      </c>
      <c r="H40" s="36">
        <f t="shared" si="2"/>
        <v>20426.90076</v>
      </c>
    </row>
    <row r="41" ht="49.5" spans="1:8">
      <c r="A41" s="20" t="s">
        <v>106</v>
      </c>
      <c r="B41" s="21"/>
      <c r="C41" s="22" t="s">
        <v>102</v>
      </c>
      <c r="D41" s="23" t="s">
        <v>107</v>
      </c>
      <c r="E41" s="22" t="s">
        <v>29</v>
      </c>
      <c r="F41" s="24">
        <f>-1.33*2</f>
        <v>-2.66</v>
      </c>
      <c r="G41" s="25">
        <v>635.13</v>
      </c>
      <c r="H41" s="36">
        <f t="shared" si="2"/>
        <v>-1689.4458</v>
      </c>
    </row>
    <row r="42" ht="49.5" spans="1:8">
      <c r="A42" s="20" t="s">
        <v>108</v>
      </c>
      <c r="B42" s="21"/>
      <c r="C42" s="22" t="s">
        <v>102</v>
      </c>
      <c r="D42" s="23" t="s">
        <v>105</v>
      </c>
      <c r="E42" s="22" t="s">
        <v>29</v>
      </c>
      <c r="F42" s="24">
        <v>-7.19</v>
      </c>
      <c r="G42" s="25">
        <v>550.62</v>
      </c>
      <c r="H42" s="36">
        <f t="shared" si="2"/>
        <v>-3958.9578</v>
      </c>
    </row>
    <row r="43" ht="33" spans="1:8">
      <c r="A43" s="20" t="s">
        <v>109</v>
      </c>
      <c r="B43" s="21"/>
      <c r="C43" s="22" t="s">
        <v>110</v>
      </c>
      <c r="D43" s="23" t="s">
        <v>111</v>
      </c>
      <c r="E43" s="22" t="s">
        <v>29</v>
      </c>
      <c r="F43" s="35">
        <f>-0.87*2</f>
        <v>-1.74</v>
      </c>
      <c r="G43" s="35">
        <v>137</v>
      </c>
      <c r="H43" s="36">
        <f t="shared" si="2"/>
        <v>-238.38</v>
      </c>
    </row>
    <row r="44" ht="99" spans="1:8">
      <c r="A44" s="20" t="s">
        <v>112</v>
      </c>
      <c r="B44" s="21"/>
      <c r="C44" s="28" t="s">
        <v>113</v>
      </c>
      <c r="D44" s="39" t="s">
        <v>114</v>
      </c>
      <c r="E44" s="21" t="s">
        <v>29</v>
      </c>
      <c r="F44" s="35">
        <f>-4*(0.88+3.6)*2</f>
        <v>-35.84</v>
      </c>
      <c r="G44" s="35">
        <v>550</v>
      </c>
      <c r="H44" s="36">
        <f t="shared" si="2"/>
        <v>-19712</v>
      </c>
    </row>
    <row r="45" ht="30" spans="1:8">
      <c r="A45" s="20" t="s">
        <v>115</v>
      </c>
      <c r="B45" s="15" t="s">
        <v>116</v>
      </c>
      <c r="C45" s="16" t="s">
        <v>117</v>
      </c>
      <c r="D45" s="34"/>
      <c r="E45" s="15"/>
      <c r="F45" s="38"/>
      <c r="G45" s="15"/>
      <c r="H45" s="19">
        <f>SUM(H46:H63)</f>
        <v>-6743.7618</v>
      </c>
    </row>
    <row r="46" ht="66" spans="1:8">
      <c r="A46" s="20" t="s">
        <v>118</v>
      </c>
      <c r="B46" s="40" t="s">
        <v>119</v>
      </c>
      <c r="C46" s="41" t="s">
        <v>120</v>
      </c>
      <c r="D46" s="42" t="s">
        <v>121</v>
      </c>
      <c r="E46" s="41" t="s">
        <v>29</v>
      </c>
      <c r="F46" s="41">
        <v>-17.83</v>
      </c>
      <c r="G46" s="43">
        <v>55.03</v>
      </c>
      <c r="H46" s="44">
        <f>F46*G46</f>
        <v>-981.1849</v>
      </c>
    </row>
    <row r="47" ht="66" spans="1:8">
      <c r="A47" s="20" t="s">
        <v>122</v>
      </c>
      <c r="B47" s="21"/>
      <c r="C47" s="22" t="s">
        <v>120</v>
      </c>
      <c r="D47" s="23" t="s">
        <v>123</v>
      </c>
      <c r="E47" s="22" t="s">
        <v>29</v>
      </c>
      <c r="F47" s="22">
        <f>-(5.19+2.83)</f>
        <v>-8.02</v>
      </c>
      <c r="G47" s="25">
        <v>68.41</v>
      </c>
      <c r="H47" s="45">
        <f t="shared" ref="H47:H63" si="3">F47*G47</f>
        <v>-548.6482</v>
      </c>
    </row>
    <row r="48" ht="66" spans="1:8">
      <c r="A48" s="20" t="s">
        <v>124</v>
      </c>
      <c r="B48" s="21"/>
      <c r="C48" s="22" t="s">
        <v>120</v>
      </c>
      <c r="D48" s="23" t="s">
        <v>125</v>
      </c>
      <c r="E48" s="22" t="s">
        <v>29</v>
      </c>
      <c r="F48" s="22">
        <v>-13.23</v>
      </c>
      <c r="G48" s="25">
        <v>55.03</v>
      </c>
      <c r="H48" s="45">
        <f t="shared" si="3"/>
        <v>-728.0469</v>
      </c>
    </row>
    <row r="49" ht="66" spans="1:10">
      <c r="A49" s="20" t="s">
        <v>126</v>
      </c>
      <c r="B49" s="21"/>
      <c r="C49" s="22" t="s">
        <v>127</v>
      </c>
      <c r="D49" s="23" t="s">
        <v>91</v>
      </c>
      <c r="E49" s="22" t="s">
        <v>29</v>
      </c>
      <c r="F49" s="22">
        <v>-48.29</v>
      </c>
      <c r="G49" s="25">
        <v>68.41</v>
      </c>
      <c r="H49" s="45">
        <f t="shared" si="3"/>
        <v>-3303.5189</v>
      </c>
      <c r="J49" s="7">
        <f>G49-G50</f>
        <v>13.38</v>
      </c>
    </row>
    <row r="50" ht="66" spans="1:8">
      <c r="A50" s="20" t="s">
        <v>128</v>
      </c>
      <c r="B50" s="21"/>
      <c r="C50" s="22" t="s">
        <v>120</v>
      </c>
      <c r="D50" s="23" t="s">
        <v>129</v>
      </c>
      <c r="E50" s="22" t="s">
        <v>29</v>
      </c>
      <c r="F50" s="22">
        <v>-2.25</v>
      </c>
      <c r="G50" s="25">
        <v>55.03</v>
      </c>
      <c r="H50" s="45">
        <f t="shared" si="3"/>
        <v>-123.8175</v>
      </c>
    </row>
    <row r="51" ht="66" spans="1:8">
      <c r="A51" s="20" t="s">
        <v>130</v>
      </c>
      <c r="B51" s="21"/>
      <c r="C51" s="22" t="s">
        <v>120</v>
      </c>
      <c r="D51" s="23" t="s">
        <v>131</v>
      </c>
      <c r="E51" s="22" t="s">
        <v>29</v>
      </c>
      <c r="F51" s="22">
        <v>-3.38</v>
      </c>
      <c r="G51" s="25">
        <v>55.03</v>
      </c>
      <c r="H51" s="45">
        <f t="shared" si="3"/>
        <v>-186.0014</v>
      </c>
    </row>
    <row r="52" ht="66" spans="1:8">
      <c r="A52" s="20" t="s">
        <v>132</v>
      </c>
      <c r="B52" s="21"/>
      <c r="C52" s="22" t="s">
        <v>120</v>
      </c>
      <c r="D52" s="23" t="s">
        <v>133</v>
      </c>
      <c r="E52" s="22" t="s">
        <v>29</v>
      </c>
      <c r="F52" s="22">
        <f>-(1.35+0.14)</f>
        <v>-1.49</v>
      </c>
      <c r="G52" s="25">
        <v>55.03</v>
      </c>
      <c r="H52" s="45">
        <f t="shared" si="3"/>
        <v>-81.9947</v>
      </c>
    </row>
    <row r="53" ht="66" spans="1:10">
      <c r="A53" s="20" t="s">
        <v>134</v>
      </c>
      <c r="B53" s="21"/>
      <c r="C53" s="22" t="s">
        <v>120</v>
      </c>
      <c r="D53" s="23" t="s">
        <v>135</v>
      </c>
      <c r="E53" s="22" t="s">
        <v>29</v>
      </c>
      <c r="F53" s="22">
        <v>17.83</v>
      </c>
      <c r="G53" s="46">
        <v>30</v>
      </c>
      <c r="H53" s="45">
        <f t="shared" si="3"/>
        <v>534.9</v>
      </c>
      <c r="J53" s="52"/>
    </row>
    <row r="54" ht="66" spans="1:10">
      <c r="A54" s="20" t="s">
        <v>136</v>
      </c>
      <c r="B54" s="21"/>
      <c r="C54" s="22" t="s">
        <v>120</v>
      </c>
      <c r="D54" s="23" t="s">
        <v>137</v>
      </c>
      <c r="E54" s="22" t="s">
        <v>29</v>
      </c>
      <c r="F54" s="22">
        <f>(5.19+2.83)</f>
        <v>8.02</v>
      </c>
      <c r="G54" s="46">
        <v>30</v>
      </c>
      <c r="H54" s="45">
        <f t="shared" si="3"/>
        <v>240.6</v>
      </c>
      <c r="J54" s="52"/>
    </row>
    <row r="55" ht="66" spans="1:10">
      <c r="A55" s="20" t="s">
        <v>138</v>
      </c>
      <c r="B55" s="21"/>
      <c r="C55" s="22" t="s">
        <v>120</v>
      </c>
      <c r="D55" s="23" t="s">
        <v>139</v>
      </c>
      <c r="E55" s="22" t="s">
        <v>29</v>
      </c>
      <c r="F55" s="22">
        <v>13.23</v>
      </c>
      <c r="G55" s="46">
        <v>30</v>
      </c>
      <c r="H55" s="45">
        <f t="shared" si="3"/>
        <v>396.9</v>
      </c>
      <c r="J55" s="52"/>
    </row>
    <row r="56" ht="66" spans="1:10">
      <c r="A56" s="20" t="s">
        <v>140</v>
      </c>
      <c r="B56" s="21"/>
      <c r="C56" s="22" t="s">
        <v>127</v>
      </c>
      <c r="D56" s="23" t="s">
        <v>141</v>
      </c>
      <c r="E56" s="22" t="s">
        <v>29</v>
      </c>
      <c r="F56" s="22">
        <v>48.29</v>
      </c>
      <c r="G56" s="46">
        <v>43.38</v>
      </c>
      <c r="H56" s="45">
        <f t="shared" si="3"/>
        <v>2094.8202</v>
      </c>
      <c r="J56" s="52"/>
    </row>
    <row r="57" ht="66" spans="1:10">
      <c r="A57" s="20" t="s">
        <v>142</v>
      </c>
      <c r="B57" s="21"/>
      <c r="C57" s="22" t="s">
        <v>120</v>
      </c>
      <c r="D57" s="23" t="s">
        <v>143</v>
      </c>
      <c r="E57" s="22" t="s">
        <v>29</v>
      </c>
      <c r="F57" s="22">
        <v>2.25</v>
      </c>
      <c r="G57" s="46">
        <v>30</v>
      </c>
      <c r="H57" s="45">
        <f t="shared" si="3"/>
        <v>67.5</v>
      </c>
      <c r="J57" s="52"/>
    </row>
    <row r="58" ht="66" spans="1:10">
      <c r="A58" s="20" t="s">
        <v>144</v>
      </c>
      <c r="B58" s="21"/>
      <c r="C58" s="22" t="s">
        <v>120</v>
      </c>
      <c r="D58" s="23" t="s">
        <v>145</v>
      </c>
      <c r="E58" s="22" t="s">
        <v>29</v>
      </c>
      <c r="F58" s="22">
        <v>3.38</v>
      </c>
      <c r="G58" s="46">
        <v>30</v>
      </c>
      <c r="H58" s="45">
        <f t="shared" si="3"/>
        <v>101.4</v>
      </c>
      <c r="J58" s="52"/>
    </row>
    <row r="59" ht="66" spans="1:10">
      <c r="A59" s="20" t="s">
        <v>146</v>
      </c>
      <c r="B59" s="21"/>
      <c r="C59" s="22" t="s">
        <v>120</v>
      </c>
      <c r="D59" s="23" t="s">
        <v>147</v>
      </c>
      <c r="E59" s="22" t="s">
        <v>29</v>
      </c>
      <c r="F59" s="22">
        <f>(1.35+0.14)</f>
        <v>1.49</v>
      </c>
      <c r="G59" s="46">
        <v>30</v>
      </c>
      <c r="H59" s="45">
        <f t="shared" si="3"/>
        <v>44.7</v>
      </c>
      <c r="J59" s="52"/>
    </row>
    <row r="60" ht="66" spans="1:10">
      <c r="A60" s="20" t="s">
        <v>148</v>
      </c>
      <c r="B60" s="47" t="s">
        <v>149</v>
      </c>
      <c r="C60" s="41" t="s">
        <v>150</v>
      </c>
      <c r="D60" s="42" t="s">
        <v>151</v>
      </c>
      <c r="E60" s="41" t="s">
        <v>29</v>
      </c>
      <c r="F60" s="48">
        <v>-64.1</v>
      </c>
      <c r="G60" s="43">
        <v>55.03</v>
      </c>
      <c r="H60" s="44">
        <f t="shared" si="3"/>
        <v>-3527.423</v>
      </c>
      <c r="J60" s="52"/>
    </row>
    <row r="61" ht="66" spans="1:10">
      <c r="A61" s="20" t="s">
        <v>152</v>
      </c>
      <c r="B61" s="21"/>
      <c r="C61" s="22" t="s">
        <v>153</v>
      </c>
      <c r="D61" s="23" t="s">
        <v>154</v>
      </c>
      <c r="E61" s="22" t="s">
        <v>29</v>
      </c>
      <c r="F61" s="24">
        <v>-106.55</v>
      </c>
      <c r="G61" s="25">
        <v>68.41</v>
      </c>
      <c r="H61" s="45">
        <f t="shared" si="3"/>
        <v>-7289.0855</v>
      </c>
      <c r="J61" s="52"/>
    </row>
    <row r="62" ht="66" spans="1:10">
      <c r="A62" s="20" t="s">
        <v>155</v>
      </c>
      <c r="B62" s="21"/>
      <c r="C62" s="22" t="s">
        <v>150</v>
      </c>
      <c r="D62" s="23" t="s">
        <v>156</v>
      </c>
      <c r="E62" s="22" t="s">
        <v>29</v>
      </c>
      <c r="F62" s="24">
        <v>64.1</v>
      </c>
      <c r="G62" s="46">
        <v>30</v>
      </c>
      <c r="H62" s="45">
        <f t="shared" si="3"/>
        <v>1923</v>
      </c>
      <c r="J62" s="52"/>
    </row>
    <row r="63" ht="66" spans="1:10">
      <c r="A63" s="20" t="s">
        <v>157</v>
      </c>
      <c r="B63" s="21"/>
      <c r="C63" s="22" t="s">
        <v>153</v>
      </c>
      <c r="D63" s="23" t="s">
        <v>156</v>
      </c>
      <c r="E63" s="22" t="s">
        <v>29</v>
      </c>
      <c r="F63" s="24">
        <v>106.55</v>
      </c>
      <c r="G63" s="46">
        <v>43.38</v>
      </c>
      <c r="H63" s="45">
        <f t="shared" si="3"/>
        <v>4622.139</v>
      </c>
      <c r="J63" s="52"/>
    </row>
    <row r="64" spans="1:8">
      <c r="A64" s="20" t="s">
        <v>158</v>
      </c>
      <c r="B64" s="15" t="s">
        <v>70</v>
      </c>
      <c r="C64" s="16" t="s">
        <v>159</v>
      </c>
      <c r="D64" s="34"/>
      <c r="E64" s="15"/>
      <c r="F64" s="15"/>
      <c r="G64" s="15"/>
      <c r="H64" s="19">
        <f>SUM(H65:H69)</f>
        <v>84395.28659</v>
      </c>
    </row>
    <row r="65" spans="1:8">
      <c r="A65" s="20" t="s">
        <v>160</v>
      </c>
      <c r="B65" s="21"/>
      <c r="C65" s="22" t="s">
        <v>161</v>
      </c>
      <c r="D65" s="29"/>
      <c r="E65" s="22" t="s">
        <v>24</v>
      </c>
      <c r="F65" s="21">
        <f>54.8-69.1</f>
        <v>-14.3</v>
      </c>
      <c r="G65" s="21">
        <v>635.73</v>
      </c>
      <c r="H65" s="36">
        <f>F65*G65</f>
        <v>-9090.939</v>
      </c>
    </row>
    <row r="66" spans="1:8">
      <c r="A66" s="20" t="s">
        <v>162</v>
      </c>
      <c r="B66" s="21"/>
      <c r="C66" s="22" t="s">
        <v>163</v>
      </c>
      <c r="D66" s="23" t="s">
        <v>163</v>
      </c>
      <c r="E66" s="22" t="s">
        <v>24</v>
      </c>
      <c r="F66" s="21">
        <f>50.92-20.44</f>
        <v>30.48</v>
      </c>
      <c r="G66" s="25">
        <v>650.13</v>
      </c>
      <c r="H66" s="36">
        <f>F66*G66</f>
        <v>19815.9624</v>
      </c>
    </row>
    <row r="67" spans="1:8">
      <c r="A67" s="20" t="s">
        <v>164</v>
      </c>
      <c r="B67" s="21"/>
      <c r="C67" s="22" t="s">
        <v>165</v>
      </c>
      <c r="D67" s="23" t="s">
        <v>166</v>
      </c>
      <c r="E67" s="22" t="s">
        <v>24</v>
      </c>
      <c r="F67" s="21">
        <f>27.22-5.03</f>
        <v>22.19</v>
      </c>
      <c r="G67" s="25">
        <v>1455.74</v>
      </c>
      <c r="H67" s="36">
        <f>F67*G67</f>
        <v>32302.8706</v>
      </c>
    </row>
    <row r="68" spans="1:8">
      <c r="A68" s="20" t="s">
        <v>167</v>
      </c>
      <c r="B68" s="21"/>
      <c r="C68" s="28" t="s">
        <v>37</v>
      </c>
      <c r="D68" s="29"/>
      <c r="E68" s="22" t="s">
        <v>39</v>
      </c>
      <c r="F68" s="21">
        <v>1.317</v>
      </c>
      <c r="G68" s="21">
        <v>6721.27</v>
      </c>
      <c r="H68" s="36">
        <f>F68*G68</f>
        <v>8851.91259</v>
      </c>
    </row>
    <row r="69" spans="1:8">
      <c r="A69" s="20" t="s">
        <v>168</v>
      </c>
      <c r="B69" s="21"/>
      <c r="C69" s="28" t="s">
        <v>169</v>
      </c>
      <c r="D69" s="29" t="s">
        <v>170</v>
      </c>
      <c r="E69" s="22" t="s">
        <v>29</v>
      </c>
      <c r="F69" s="21">
        <v>227</v>
      </c>
      <c r="G69" s="21">
        <v>143.24</v>
      </c>
      <c r="H69" s="36">
        <f>F69*G69</f>
        <v>32515.48</v>
      </c>
    </row>
    <row r="70" spans="1:8">
      <c r="A70" s="20" t="s">
        <v>171</v>
      </c>
      <c r="B70" s="15" t="s">
        <v>172</v>
      </c>
      <c r="C70" s="16" t="s">
        <v>173</v>
      </c>
      <c r="D70" s="34"/>
      <c r="E70" s="15"/>
      <c r="F70" s="15"/>
      <c r="G70" s="15"/>
      <c r="H70" s="19">
        <f>SUM(H71:H72)</f>
        <v>13977</v>
      </c>
    </row>
    <row r="71" ht="66" spans="1:8">
      <c r="A71" s="20" t="s">
        <v>174</v>
      </c>
      <c r="B71" s="21"/>
      <c r="C71" s="53" t="s">
        <v>175</v>
      </c>
      <c r="D71" s="54" t="s">
        <v>176</v>
      </c>
      <c r="E71" s="55" t="s">
        <v>177</v>
      </c>
      <c r="F71" s="56">
        <v>9</v>
      </c>
      <c r="G71" s="56">
        <v>43</v>
      </c>
      <c r="H71" s="36">
        <f>F71*G71</f>
        <v>387</v>
      </c>
    </row>
    <row r="72" ht="66" spans="1:8">
      <c r="A72" s="20" t="s">
        <v>178</v>
      </c>
      <c r="B72" s="21"/>
      <c r="C72" s="53" t="s">
        <v>179</v>
      </c>
      <c r="D72" s="54" t="s">
        <v>180</v>
      </c>
      <c r="E72" s="55" t="s">
        <v>177</v>
      </c>
      <c r="F72" s="56">
        <v>18</v>
      </c>
      <c r="G72" s="56">
        <v>755</v>
      </c>
      <c r="H72" s="36">
        <f>F72*G72</f>
        <v>13590</v>
      </c>
    </row>
    <row r="73" ht="28" customHeight="1" spans="1:8">
      <c r="A73" s="57" t="s">
        <v>181</v>
      </c>
      <c r="B73" s="58" t="s">
        <v>182</v>
      </c>
      <c r="C73" s="59"/>
      <c r="D73" s="60"/>
      <c r="E73" s="58"/>
      <c r="F73" s="58"/>
      <c r="G73" s="58"/>
      <c r="H73" s="61">
        <f>H3+H15+H18+H28+H30+H32+H37+H45+H64+H70</f>
        <v>184431.182406997</v>
      </c>
    </row>
  </sheetData>
  <autoFilter ref="A2:P73">
    <extLst/>
  </autoFilter>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2</vt:i4>
      </vt:variant>
    </vt:vector>
  </HeadingPairs>
  <TitlesOfParts>
    <vt:vector size="2" baseType="lpstr">
      <vt:lpstr>清单报价说明</vt:lpstr>
      <vt:lpstr>金额概算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OLL</cp:lastModifiedBy>
  <dcterms:created xsi:type="dcterms:W3CDTF">2020-11-19T09:45:00Z</dcterms:created>
  <dcterms:modified xsi:type="dcterms:W3CDTF">2021-11-02T07:07:00Z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5348D5507BE34722B16D27BF570D54EB</vt:lpwstr>
  </property>
</Properties>
</file>