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090" tabRatio="817" firstSheet="2" activeTab="3"/>
  </bookViews>
  <sheets>
    <sheet name="目录" sheetId="36" r:id="rId1"/>
    <sheet name="项目概况" sheetId="37" r:id="rId2"/>
    <sheet name="经济指标" sheetId="22" r:id="rId3"/>
    <sheet name="成本测算明细" sheetId="33" r:id="rId4"/>
    <sheet name="税率" sheetId="27" state="hidden" r:id="rId5"/>
    <sheet name="收入及土地测算" sheetId="25" state="hidden" r:id="rId6"/>
    <sheet name="预计销售收入及费用情况表" sheetId="31" r:id="rId7"/>
    <sheet name="项目资金筹措" sheetId="39" r:id="rId8"/>
    <sheet name="税金计算表" sheetId="41" r:id="rId9"/>
    <sheet name="项目利润情况表" sheetId="42" r:id="rId10"/>
    <sheet name="销售计划表" sheetId="43" state="hidden" r:id="rId11"/>
    <sheet name="工程及开发计划" sheetId="44" state="hidden" r:id="rId12"/>
    <sheet name="管理费用" sheetId="46" state="hidden" r:id="rId13"/>
    <sheet name="现金流预测" sheetId="45" state="hidden" r:id="rId14"/>
    <sheet name="数据源（不可删除）" sheetId="38" r:id="rId15"/>
    <sheet name="1" sheetId="47" r:id="rId16"/>
  </sheets>
  <externalReferences>
    <externalReference r:id="rId17"/>
    <externalReference r:id="rId18"/>
  </externalReferences>
  <definedNames>
    <definedName name="_xlnm.Print_Titles" localSheetId="3">成本测算明细!$4:$9</definedName>
    <definedName name="合同编号" localSheetId="8">[1]合同台帐!#REF!</definedName>
    <definedName name="合同编号">[1]合同台帐!#REF!</definedName>
  </definedNames>
  <calcPr calcId="144525"/>
</workbook>
</file>

<file path=xl/sharedStrings.xml><?xml version="1.0" encoding="utf-8"?>
<sst xmlns="http://schemas.openxmlformats.org/spreadsheetml/2006/main" count="1249" uniqueCount="830">
  <si>
    <t>序号</t>
  </si>
  <si>
    <t>名称</t>
  </si>
  <si>
    <t>部门</t>
  </si>
  <si>
    <t>编制人</t>
  </si>
  <si>
    <t>更新日期</t>
  </si>
  <si>
    <t>备注</t>
  </si>
  <si>
    <t>项目概况</t>
  </si>
  <si>
    <t>投拓中心</t>
  </si>
  <si>
    <t>方玉</t>
  </si>
  <si>
    <t>2021.9.7</t>
  </si>
  <si>
    <t>经济指标</t>
  </si>
  <si>
    <t>设计研发中心</t>
  </si>
  <si>
    <t>张志超</t>
  </si>
  <si>
    <t>成本测算明细表</t>
  </si>
  <si>
    <t>成本中心</t>
  </si>
  <si>
    <t>王艳强</t>
  </si>
  <si>
    <t>预计销售收入及费用情况表</t>
  </si>
  <si>
    <t>销售中心</t>
  </si>
  <si>
    <t>王刚</t>
  </si>
  <si>
    <t>项目资金筹措</t>
  </si>
  <si>
    <t>财务中心</t>
  </si>
  <si>
    <t>刘晓旭</t>
  </si>
  <si>
    <t>税金计算表</t>
  </si>
  <si>
    <t>利润情况</t>
  </si>
  <si>
    <t>销售及回款计划明细</t>
  </si>
  <si>
    <t>人员编制及管理费用计划表</t>
  </si>
  <si>
    <t>财务费用计划明细</t>
  </si>
  <si>
    <t>工程及开发计划明细</t>
  </si>
  <si>
    <t>项目现金流明细</t>
  </si>
  <si>
    <t>编制部门</t>
  </si>
  <si>
    <t>返回目录</t>
  </si>
  <si>
    <t>类别</t>
  </si>
  <si>
    <t>内容</t>
  </si>
  <si>
    <t>其他地块情况说明</t>
  </si>
  <si>
    <t>核对</t>
  </si>
  <si>
    <t>项目名称：</t>
  </si>
  <si>
    <t>栾川S1地块</t>
  </si>
  <si>
    <t>地址：</t>
  </si>
  <si>
    <t>洛栾高速以南</t>
  </si>
  <si>
    <t>土地面积(住宅）：</t>
  </si>
  <si>
    <t>亩</t>
  </si>
  <si>
    <t>土地面积(商业）：</t>
  </si>
  <si>
    <t>容积率：</t>
  </si>
  <si>
    <t>限高：</t>
  </si>
  <si>
    <t>无</t>
  </si>
  <si>
    <t>预计成交单价格（住）：</t>
  </si>
  <si>
    <t>米</t>
  </si>
  <si>
    <t>预计成交单价格（商）：</t>
  </si>
  <si>
    <t>万元/亩，直接拨动控制条</t>
  </si>
  <si>
    <t>预计成交总价</t>
  </si>
  <si>
    <t>万元</t>
  </si>
  <si>
    <t>项目位置截图：</t>
  </si>
  <si>
    <t>地块儿及周边情况图片：</t>
  </si>
  <si>
    <t>基础信息资料图片：</t>
  </si>
  <si>
    <t>地质及水位情况</t>
  </si>
  <si>
    <t>临水临电情况</t>
  </si>
  <si>
    <t>其他重要情况</t>
  </si>
  <si>
    <t>总指标</t>
  </si>
  <si>
    <t>业态</t>
  </si>
  <si>
    <t>单位</t>
  </si>
  <si>
    <t>面积</t>
  </si>
  <si>
    <t>亩及户数</t>
  </si>
  <si>
    <t xml:space="preserve">建设用地面积
</t>
  </si>
  <si>
    <t>m2</t>
  </si>
  <si>
    <t>总建筑面积</t>
  </si>
  <si>
    <t>地上计容建筑面积</t>
  </si>
  <si>
    <t>容积率</t>
  </si>
  <si>
    <t>设计容积率</t>
  </si>
  <si>
    <t>地上部分1</t>
  </si>
  <si>
    <t>小高层</t>
  </si>
  <si>
    <t>户</t>
  </si>
  <si>
    <t>13F共2单元</t>
  </si>
  <si>
    <t>地上业态</t>
  </si>
  <si>
    <t xml:space="preserve"> 地下业态</t>
  </si>
  <si>
    <t>地上部分2</t>
  </si>
  <si>
    <t>洋房</t>
  </si>
  <si>
    <t>8F共26单元</t>
  </si>
  <si>
    <t>高层</t>
  </si>
  <si>
    <t>储藏室</t>
  </si>
  <si>
    <t>地上部分3</t>
  </si>
  <si>
    <t>装配式</t>
  </si>
  <si>
    <t>13F层 10单元</t>
  </si>
  <si>
    <t>人防车位</t>
  </si>
  <si>
    <t>地上部分4</t>
  </si>
  <si>
    <t>别墅</t>
  </si>
  <si>
    <t>非人防车位</t>
  </si>
  <si>
    <t>地上部分5</t>
  </si>
  <si>
    <t>商业</t>
  </si>
  <si>
    <t>地上部分6</t>
  </si>
  <si>
    <t>办公</t>
  </si>
  <si>
    <t>公寓</t>
  </si>
  <si>
    <t>地上部分7</t>
  </si>
  <si>
    <t>地上部分8</t>
  </si>
  <si>
    <t>社区服务中心</t>
  </si>
  <si>
    <t>地上部分9</t>
  </si>
  <si>
    <t>幼儿园</t>
  </si>
  <si>
    <t>地上部分10</t>
  </si>
  <si>
    <t>配套</t>
  </si>
  <si>
    <t>地上部分11</t>
  </si>
  <si>
    <t>社区卫生服务站</t>
  </si>
  <si>
    <t>物业用房</t>
  </si>
  <si>
    <t>地下建筑面积</t>
  </si>
  <si>
    <t>共计955，地下90%</t>
  </si>
  <si>
    <t>文化活动站</t>
  </si>
  <si>
    <t>地下部分1</t>
  </si>
  <si>
    <t>含105个s2地块车位</t>
  </si>
  <si>
    <t>地下部分2</t>
  </si>
  <si>
    <t>个</t>
  </si>
  <si>
    <t>老年日间照料中心</t>
  </si>
  <si>
    <t>地下部分3</t>
  </si>
  <si>
    <t>建筑密度</t>
  </si>
  <si>
    <t>%</t>
  </si>
  <si>
    <t>绿地率</t>
  </si>
  <si>
    <t>合计</t>
  </si>
  <si>
    <t>单元数</t>
  </si>
  <si>
    <t>基地面积</t>
  </si>
  <si>
    <t>其他配套</t>
  </si>
  <si>
    <t>项     目</t>
  </si>
  <si>
    <t>综合</t>
  </si>
  <si>
    <t>地上建筑面积</t>
  </si>
  <si>
    <t>备  注</t>
  </si>
  <si>
    <t>核对量</t>
  </si>
  <si>
    <t>计算总量</t>
  </si>
  <si>
    <t>类型</t>
  </si>
  <si>
    <t>产品业态</t>
  </si>
  <si>
    <t>建筑面积</t>
  </si>
  <si>
    <t>万M3（销面）</t>
  </si>
  <si>
    <t>万M2（销面）</t>
  </si>
  <si>
    <t>万M4（销面）</t>
  </si>
  <si>
    <t>万M5（销面）</t>
  </si>
  <si>
    <t>万M6（销面）</t>
  </si>
  <si>
    <t>万M7（销面）</t>
  </si>
  <si>
    <t>万M8（销面）</t>
  </si>
  <si>
    <t>万M9（销面）</t>
  </si>
  <si>
    <t>指标</t>
  </si>
  <si>
    <r>
      <rPr>
        <b/>
        <sz val="8"/>
        <rFont val="宋体"/>
        <charset val="134"/>
      </rPr>
      <t>控制指标</t>
    </r>
    <r>
      <rPr>
        <b/>
        <sz val="8"/>
        <rFont val="Times New Roman"/>
        <charset val="134"/>
      </rPr>
      <t xml:space="preserve">                  </t>
    </r>
    <r>
      <rPr>
        <b/>
        <sz val="8"/>
        <rFont val="宋体"/>
        <charset val="134"/>
      </rPr>
      <t>（元</t>
    </r>
    <r>
      <rPr>
        <b/>
        <sz val="8"/>
        <rFont val="Times New Roman"/>
        <charset val="134"/>
      </rPr>
      <t>/m</t>
    </r>
    <r>
      <rPr>
        <b/>
        <vertAlign val="superscript"/>
        <sz val="8"/>
        <rFont val="Times New Roman"/>
        <charset val="134"/>
      </rPr>
      <t>2</t>
    </r>
    <r>
      <rPr>
        <b/>
        <sz val="8"/>
        <rFont val="宋体"/>
        <charset val="134"/>
      </rPr>
      <t>）</t>
    </r>
  </si>
  <si>
    <r>
      <rPr>
        <b/>
        <sz val="8"/>
        <rFont val="宋体"/>
        <charset val="134"/>
      </rPr>
      <t>总投资</t>
    </r>
    <r>
      <rPr>
        <b/>
        <sz val="8"/>
        <rFont val="Times New Roman"/>
        <charset val="134"/>
      </rPr>
      <t xml:space="preserve">                     </t>
    </r>
    <r>
      <rPr>
        <b/>
        <sz val="8"/>
        <rFont val="宋体"/>
        <charset val="134"/>
      </rPr>
      <t>（万元）</t>
    </r>
  </si>
  <si>
    <r>
      <rPr>
        <b/>
        <sz val="8"/>
        <rFont val="宋体"/>
        <charset val="134"/>
      </rPr>
      <t>控制指标</t>
    </r>
    <r>
      <rPr>
        <b/>
        <sz val="8"/>
        <rFont val="Times New Roman"/>
        <charset val="134"/>
      </rPr>
      <t xml:space="preserve">                  </t>
    </r>
    <r>
      <rPr>
        <b/>
        <sz val="8"/>
        <rFont val="宋体"/>
        <charset val="134"/>
      </rPr>
      <t>（元</t>
    </r>
    <r>
      <rPr>
        <b/>
        <sz val="8"/>
        <rFont val="Times New Roman"/>
        <charset val="134"/>
      </rPr>
      <t>/m</t>
    </r>
    <r>
      <rPr>
        <b/>
        <vertAlign val="superscript"/>
        <sz val="8"/>
        <rFont val="Times New Roman"/>
        <charset val="134"/>
      </rPr>
      <t>1）</t>
    </r>
  </si>
  <si>
    <r>
      <rPr>
        <b/>
        <sz val="8"/>
        <rFont val="宋体"/>
        <charset val="134"/>
      </rPr>
      <t>总投资</t>
    </r>
    <r>
      <rPr>
        <b/>
        <sz val="8"/>
        <rFont val="Times New Roman"/>
        <charset val="134"/>
      </rPr>
      <t xml:space="preserve">                                  </t>
    </r>
    <r>
      <rPr>
        <b/>
        <sz val="8"/>
        <rFont val="宋体"/>
        <charset val="134"/>
      </rPr>
      <t>（万元）</t>
    </r>
  </si>
  <si>
    <r>
      <rPr>
        <b/>
        <sz val="8"/>
        <rFont val="宋体"/>
        <charset val="134"/>
      </rPr>
      <t>控制指标</t>
    </r>
    <r>
      <rPr>
        <b/>
        <sz val="8"/>
        <rFont val="Times New Roman"/>
        <charset val="134"/>
      </rPr>
      <t xml:space="preserve">                  </t>
    </r>
    <r>
      <rPr>
        <b/>
        <sz val="8"/>
        <rFont val="宋体"/>
        <charset val="134"/>
      </rPr>
      <t>（元</t>
    </r>
    <r>
      <rPr>
        <b/>
        <sz val="8"/>
        <rFont val="Times New Roman"/>
        <charset val="134"/>
      </rPr>
      <t>/m</t>
    </r>
    <r>
      <rPr>
        <b/>
        <vertAlign val="superscript"/>
        <sz val="8"/>
        <rFont val="Times New Roman"/>
        <charset val="134"/>
      </rPr>
      <t>3）</t>
    </r>
  </si>
  <si>
    <r>
      <rPr>
        <b/>
        <sz val="8"/>
        <rFont val="宋体"/>
        <charset val="134"/>
      </rPr>
      <t>控制指标</t>
    </r>
    <r>
      <rPr>
        <b/>
        <sz val="8"/>
        <rFont val="Times New Roman"/>
        <charset val="134"/>
      </rPr>
      <t xml:space="preserve">                  </t>
    </r>
    <r>
      <rPr>
        <b/>
        <sz val="8"/>
        <rFont val="宋体"/>
        <charset val="134"/>
      </rPr>
      <t>（元</t>
    </r>
    <r>
      <rPr>
        <b/>
        <sz val="8"/>
        <rFont val="Times New Roman"/>
        <charset val="134"/>
      </rPr>
      <t>/m</t>
    </r>
    <r>
      <rPr>
        <b/>
        <vertAlign val="superscript"/>
        <sz val="8"/>
        <rFont val="Times New Roman"/>
        <charset val="134"/>
      </rPr>
      <t>4）</t>
    </r>
  </si>
  <si>
    <r>
      <rPr>
        <b/>
        <sz val="8"/>
        <rFont val="宋体"/>
        <charset val="134"/>
      </rPr>
      <t>控制指标</t>
    </r>
    <r>
      <rPr>
        <b/>
        <sz val="8"/>
        <rFont val="Times New Roman"/>
        <charset val="134"/>
      </rPr>
      <t xml:space="preserve">                  </t>
    </r>
    <r>
      <rPr>
        <b/>
        <sz val="8"/>
        <rFont val="宋体"/>
        <charset val="134"/>
      </rPr>
      <t>（元</t>
    </r>
    <r>
      <rPr>
        <b/>
        <sz val="8"/>
        <rFont val="Times New Roman"/>
        <charset val="134"/>
      </rPr>
      <t>/m</t>
    </r>
    <r>
      <rPr>
        <b/>
        <vertAlign val="superscript"/>
        <sz val="8"/>
        <rFont val="Times New Roman"/>
        <charset val="134"/>
      </rPr>
      <t>5）</t>
    </r>
  </si>
  <si>
    <r>
      <rPr>
        <b/>
        <sz val="8"/>
        <rFont val="宋体"/>
        <charset val="134"/>
      </rPr>
      <t>控制指标</t>
    </r>
    <r>
      <rPr>
        <b/>
        <sz val="8"/>
        <rFont val="Times New Roman"/>
        <charset val="134"/>
      </rPr>
      <t xml:space="preserve">                  </t>
    </r>
    <r>
      <rPr>
        <b/>
        <sz val="8"/>
        <rFont val="宋体"/>
        <charset val="134"/>
      </rPr>
      <t>（元</t>
    </r>
    <r>
      <rPr>
        <b/>
        <sz val="8"/>
        <rFont val="Times New Roman"/>
        <charset val="134"/>
      </rPr>
      <t>/m</t>
    </r>
    <r>
      <rPr>
        <b/>
        <vertAlign val="superscript"/>
        <sz val="8"/>
        <rFont val="Times New Roman"/>
        <charset val="134"/>
      </rPr>
      <t>6）</t>
    </r>
  </si>
  <si>
    <r>
      <rPr>
        <b/>
        <sz val="8"/>
        <rFont val="宋体"/>
        <charset val="134"/>
      </rPr>
      <t>控制指标</t>
    </r>
    <r>
      <rPr>
        <b/>
        <sz val="8"/>
        <rFont val="Times New Roman"/>
        <charset val="134"/>
      </rPr>
      <t xml:space="preserve">                  </t>
    </r>
    <r>
      <rPr>
        <b/>
        <sz val="8"/>
        <rFont val="宋体"/>
        <charset val="134"/>
      </rPr>
      <t>（元</t>
    </r>
    <r>
      <rPr>
        <b/>
        <sz val="8"/>
        <rFont val="Times New Roman"/>
        <charset val="134"/>
      </rPr>
      <t>/m</t>
    </r>
    <r>
      <rPr>
        <b/>
        <vertAlign val="superscript"/>
        <sz val="8"/>
        <rFont val="Times New Roman"/>
        <charset val="134"/>
      </rPr>
      <t>7）</t>
    </r>
  </si>
  <si>
    <r>
      <rPr>
        <b/>
        <sz val="8"/>
        <rFont val="宋体"/>
        <charset val="134"/>
      </rPr>
      <t>控制指标</t>
    </r>
    <r>
      <rPr>
        <b/>
        <sz val="8"/>
        <rFont val="Times New Roman"/>
        <charset val="134"/>
      </rPr>
      <t xml:space="preserve">                  </t>
    </r>
    <r>
      <rPr>
        <b/>
        <sz val="8"/>
        <rFont val="宋体"/>
        <charset val="134"/>
      </rPr>
      <t>（元</t>
    </r>
    <r>
      <rPr>
        <b/>
        <sz val="8"/>
        <rFont val="Times New Roman"/>
        <charset val="134"/>
      </rPr>
      <t>/m</t>
    </r>
    <r>
      <rPr>
        <b/>
        <vertAlign val="superscript"/>
        <sz val="8"/>
        <rFont val="Times New Roman"/>
        <charset val="134"/>
      </rPr>
      <t>8）</t>
    </r>
  </si>
  <si>
    <t>01</t>
  </si>
  <si>
    <t>土地款及土地相关费用</t>
  </si>
  <si>
    <t>0101</t>
  </si>
  <si>
    <t>土地款</t>
  </si>
  <si>
    <t>0102</t>
  </si>
  <si>
    <t>土地契税</t>
  </si>
  <si>
    <t>0103</t>
  </si>
  <si>
    <t>拆迁费</t>
  </si>
  <si>
    <t>0104</t>
  </si>
  <si>
    <t>土地交易费</t>
  </si>
  <si>
    <t>0105</t>
  </si>
  <si>
    <t>拍卖佣金</t>
  </si>
  <si>
    <t>0106</t>
  </si>
  <si>
    <t>耕地占用税</t>
  </si>
  <si>
    <t>按正常政策为22元/m2，拿地面积，经沟通确认交税按4.662元/m2</t>
  </si>
  <si>
    <t>0107</t>
  </si>
  <si>
    <t>土地使用税</t>
  </si>
  <si>
    <t>0108</t>
  </si>
  <si>
    <t>其他土地类支出</t>
  </si>
  <si>
    <t>02</t>
  </si>
  <si>
    <t>前期费用</t>
  </si>
  <si>
    <t>0201</t>
  </si>
  <si>
    <t>三通一平费</t>
  </si>
  <si>
    <t>020101</t>
  </si>
  <si>
    <t>临电工程费</t>
  </si>
  <si>
    <t>折相应建筑面为5元/m2</t>
  </si>
  <si>
    <t>020102</t>
  </si>
  <si>
    <t>临水工程费</t>
  </si>
  <si>
    <t>相应建筑面为3元/m3</t>
  </si>
  <si>
    <t>020103</t>
  </si>
  <si>
    <t>临路工程费</t>
  </si>
  <si>
    <r>
      <rPr>
        <sz val="8"/>
        <rFont val="宋体"/>
        <charset val="134"/>
      </rPr>
      <t>暂按2元</t>
    </r>
    <r>
      <rPr>
        <sz val="8"/>
        <rFont val="宋体"/>
        <charset val="134"/>
      </rPr>
      <t>/m2考虑</t>
    </r>
  </si>
  <si>
    <t>020104</t>
  </si>
  <si>
    <t>填土及平整场地费</t>
  </si>
  <si>
    <t>0202</t>
  </si>
  <si>
    <t>临时设施</t>
  </si>
  <si>
    <t>020201</t>
  </si>
  <si>
    <t>临时围墙</t>
  </si>
  <si>
    <t>5.5围挡，暂按1100元/m考虑，3m围挡（300元/m）一般安全文明施工费中，但甲方要求增加高度围挡适当考虑，暂按50%计</t>
  </si>
  <si>
    <t>020202</t>
  </si>
  <si>
    <t>临时办公室</t>
  </si>
  <si>
    <t>020203</t>
  </si>
  <si>
    <t>临时场地占用费</t>
  </si>
  <si>
    <t>0203</t>
  </si>
  <si>
    <t>设计费</t>
  </si>
  <si>
    <t>020301</t>
  </si>
  <si>
    <t>方案规划设计费</t>
  </si>
  <si>
    <t>020302</t>
  </si>
  <si>
    <t>建筑施工图设计费</t>
  </si>
  <si>
    <t>020303</t>
  </si>
  <si>
    <t>装修设计费</t>
  </si>
  <si>
    <t>营销中心按考3000m2，设计费用按500元/m2，折算面积10元/m2，设计费用按500元/m2，2套样板间考虑，装配式精装设计按15元/m2（根据目前已经投保价格）</t>
  </si>
  <si>
    <t>020304</t>
  </si>
  <si>
    <t>环境设计费</t>
  </si>
  <si>
    <t>按照绿化面积25元/M2考虑，</t>
  </si>
  <si>
    <t>020305</t>
  </si>
  <si>
    <t>综合管网设计费</t>
  </si>
  <si>
    <t>按4元/考虑，含电力设计、给水、燃气设计</t>
  </si>
  <si>
    <t>020306</t>
  </si>
  <si>
    <t>人防设计费</t>
  </si>
  <si>
    <t>020307</t>
  </si>
  <si>
    <t>设计咨询费</t>
  </si>
  <si>
    <t>020308</t>
  </si>
  <si>
    <t>其他设计费</t>
  </si>
  <si>
    <t>0204</t>
  </si>
  <si>
    <t>服务咨询费</t>
  </si>
  <si>
    <t>020401</t>
  </si>
  <si>
    <t>可研编制费</t>
  </si>
  <si>
    <t>已取消</t>
  </si>
  <si>
    <t>招投标费</t>
  </si>
  <si>
    <t>直接发包，不需要招标</t>
  </si>
  <si>
    <t>020403</t>
  </si>
  <si>
    <t>环境评估费</t>
  </si>
  <si>
    <t>备案制，暂时不需要交</t>
  </si>
  <si>
    <t>020404</t>
  </si>
  <si>
    <t>交通评估费</t>
  </si>
  <si>
    <t>县区不需要做</t>
  </si>
  <si>
    <t>020405</t>
  </si>
  <si>
    <t>施工图审查费、抗震审查服务费</t>
  </si>
  <si>
    <r>
      <rPr>
        <sz val="8"/>
        <rFont val="宋体"/>
        <charset val="134"/>
      </rPr>
      <t>按建筑面积1</t>
    </r>
    <r>
      <rPr>
        <sz val="8"/>
        <rFont val="宋体"/>
        <charset val="134"/>
      </rPr>
      <t>.5</t>
    </r>
    <r>
      <rPr>
        <sz val="8"/>
        <rFont val="宋体"/>
        <charset val="134"/>
      </rPr>
      <t>元/m2考虑</t>
    </r>
  </si>
  <si>
    <t>020406</t>
  </si>
  <si>
    <t>合同审查费</t>
  </si>
  <si>
    <t>020407</t>
  </si>
  <si>
    <t>文物勘探</t>
  </si>
  <si>
    <t>文物勘探按用地10元/m2，经协商4地块文堪费用为41万元，折算地块面积单方为3.02</t>
  </si>
  <si>
    <t>020408</t>
  </si>
  <si>
    <t>地质勘查</t>
  </si>
  <si>
    <t>地质勘查，招标12.8万元，折算建筑面积单方为1元。</t>
  </si>
  <si>
    <t>测绘费</t>
  </si>
  <si>
    <t>根据一期资料2.5元/M2，</t>
  </si>
  <si>
    <t>020410</t>
  </si>
  <si>
    <t>工程造价咨询费</t>
  </si>
  <si>
    <t>造价不按全过程考虑，暂定3元/m2</t>
  </si>
  <si>
    <t>工程监理费</t>
  </si>
  <si>
    <t>暂按7元/M2，人防监理按10元/m2预估</t>
  </si>
  <si>
    <t>020412</t>
  </si>
  <si>
    <t>工程建设咨询服务费</t>
  </si>
  <si>
    <t>020413</t>
  </si>
  <si>
    <t>定额外专项检测费</t>
  </si>
  <si>
    <t>暂时不考虑</t>
  </si>
  <si>
    <t>0205</t>
  </si>
  <si>
    <t>行政收费</t>
  </si>
  <si>
    <t>020501</t>
  </si>
  <si>
    <t>规划管理费</t>
  </si>
  <si>
    <t>含办理规划许可证所需要全部费用如：规划测绘、日照分析、规划公示、规划验收等费用，综合按5/m2</t>
  </si>
  <si>
    <t>020502</t>
  </si>
  <si>
    <t>墙改费</t>
  </si>
  <si>
    <t>020503</t>
  </si>
  <si>
    <t>地名费</t>
  </si>
  <si>
    <t>暂时按0.3元/m2考虑</t>
  </si>
  <si>
    <t>020504</t>
  </si>
  <si>
    <t>产权登记费</t>
  </si>
  <si>
    <r>
      <rPr>
        <sz val="8"/>
        <rFont val="宋体"/>
        <charset val="134"/>
      </rPr>
      <t>房屋登记费成套住房80元/套,商业房按宗计取</t>
    </r>
    <r>
      <rPr>
        <sz val="8"/>
        <rFont val="宋体"/>
        <charset val="134"/>
      </rPr>
      <t>550</t>
    </r>
    <r>
      <rPr>
        <sz val="8"/>
        <rFont val="宋体"/>
        <charset val="134"/>
      </rPr>
      <t>元/户</t>
    </r>
    <r>
      <rPr>
        <sz val="8"/>
        <rFont val="宋体"/>
        <charset val="134"/>
      </rPr>
      <t>.</t>
    </r>
  </si>
  <si>
    <t>销售许可证及面积测量</t>
  </si>
  <si>
    <r>
      <rPr>
        <sz val="8"/>
        <rFont val="宋体"/>
        <charset val="134"/>
      </rPr>
      <t>销售面积预测、实测</t>
    </r>
    <r>
      <rPr>
        <sz val="8"/>
        <rFont val="宋体"/>
        <charset val="134"/>
      </rPr>
      <t>3.6元/M2，</t>
    </r>
  </si>
  <si>
    <t>020506</t>
  </si>
  <si>
    <t>分户土地登记费</t>
  </si>
  <si>
    <r>
      <rPr>
        <sz val="8"/>
        <rFont val="宋体"/>
        <charset val="134"/>
      </rPr>
      <t>暂按建筑面积1</t>
    </r>
    <r>
      <rPr>
        <sz val="8"/>
        <rFont val="宋体"/>
        <charset val="134"/>
      </rPr>
      <t>.5元计算</t>
    </r>
  </si>
  <si>
    <t>020507</t>
  </si>
  <si>
    <t>地籍地形图、核地</t>
  </si>
  <si>
    <r>
      <rPr>
        <sz val="8"/>
        <rFont val="宋体"/>
        <charset val="134"/>
      </rPr>
      <t>按洛阳市标准：4</t>
    </r>
    <r>
      <rPr>
        <sz val="8"/>
        <rFont val="宋体"/>
        <charset val="134"/>
      </rPr>
      <t>00元/点。根据地块情况，每栋楼4个点、车库4点，共计16点。折算建筑单方：0.2元。</t>
    </r>
  </si>
  <si>
    <t>020508</t>
  </si>
  <si>
    <t>水土保持补偿费、技术咨询服务费、土地评估咨询服务费</t>
  </si>
  <si>
    <t>水土保持补偿费1.2元/m2（土地面积），水土保持技术咨询服务费（方案）10万元、验收费10万元</t>
  </si>
  <si>
    <t>020509</t>
  </si>
  <si>
    <t>公告费</t>
  </si>
  <si>
    <t>规划公示费3万元</t>
  </si>
  <si>
    <t>020510</t>
  </si>
  <si>
    <t>质量监督费</t>
  </si>
  <si>
    <t>020511</t>
  </si>
  <si>
    <t>氡气检测费等检测费</t>
  </si>
  <si>
    <t xml:space="preserve">按建筑物每个楼16点，每个点200元，可以跟政府沟通 </t>
  </si>
  <si>
    <t>020512</t>
  </si>
  <si>
    <t>档案费</t>
  </si>
  <si>
    <t>档案费暂估0.1元/M2，包括扫描费用1元/m2，可谈</t>
  </si>
  <si>
    <t>020513</t>
  </si>
  <si>
    <t>证照费</t>
  </si>
  <si>
    <t>取得各种证照缴纳的费用，暂按1元/m2</t>
  </si>
  <si>
    <t>020514</t>
  </si>
  <si>
    <t>养老保险费</t>
  </si>
  <si>
    <t>综合在建安成本</t>
  </si>
  <si>
    <t>020515</t>
  </si>
  <si>
    <t>农民工工资保障金</t>
  </si>
  <si>
    <t>按保函费用考虑2元/m2</t>
  </si>
  <si>
    <t>020516</t>
  </si>
  <si>
    <t>建筑垃圾管理费</t>
  </si>
  <si>
    <t>建筑面积0.3元/㎡；按洛阳市标准5元/t，折算后8元/m3，</t>
  </si>
  <si>
    <t>020517</t>
  </si>
  <si>
    <t>其它规费</t>
  </si>
  <si>
    <t>暂按3元/M2</t>
  </si>
  <si>
    <t>0206</t>
  </si>
  <si>
    <t>工程保险费</t>
  </si>
  <si>
    <t>暂按2元/M2预估</t>
  </si>
  <si>
    <t>大市政配套费</t>
  </si>
  <si>
    <t>暂按120元/m2</t>
  </si>
  <si>
    <t>0208</t>
  </si>
  <si>
    <t>其他前期费用</t>
  </si>
  <si>
    <t>暂按3元/M2预估</t>
  </si>
  <si>
    <t>03</t>
  </si>
  <si>
    <t>建安工程费</t>
  </si>
  <si>
    <t>0301</t>
  </si>
  <si>
    <t>地基处理</t>
  </si>
  <si>
    <t>030101</t>
  </si>
  <si>
    <t>桩基工程费</t>
  </si>
  <si>
    <t>小高层、装配式采用混凝土灌注桩 根据16#楼桩基图，基地面积按0.32根/m2，桩长12m，桩长造价为600元/m</t>
  </si>
  <si>
    <t>030102</t>
  </si>
  <si>
    <t>地基检测费</t>
  </si>
  <si>
    <t>每栋楼3根桩检测、桩检测1万元</t>
  </si>
  <si>
    <t>地基处理工程费</t>
  </si>
  <si>
    <t>暂按50万考虑</t>
  </si>
  <si>
    <t>030104</t>
  </si>
  <si>
    <t>基坑开挖及边坡支护、降水</t>
  </si>
  <si>
    <t>根据一期，土方挖运30元/M2，基坑支护200元/M2，垃圾清标费用200万</t>
  </si>
  <si>
    <t>0302</t>
  </si>
  <si>
    <t>建筑工程费</t>
  </si>
  <si>
    <t>030201</t>
  </si>
  <si>
    <t>土建</t>
  </si>
  <si>
    <t>包含开关插座、电线电缆等</t>
  </si>
  <si>
    <t>030202</t>
  </si>
  <si>
    <t>安装</t>
  </si>
  <si>
    <t>030203</t>
  </si>
  <si>
    <t>甲供材</t>
  </si>
  <si>
    <t>03020301</t>
  </si>
  <si>
    <t>墙地砖</t>
  </si>
  <si>
    <t>按每层地面18m2，墙面52m2考虑，每层每个单元为70m2，墙地砖按50元/m2考虑</t>
  </si>
  <si>
    <t>03020302</t>
  </si>
  <si>
    <t>电线电缆</t>
  </si>
  <si>
    <t>在总包范围内不分包</t>
  </si>
  <si>
    <t>03020303</t>
  </si>
  <si>
    <t>配电箱</t>
  </si>
  <si>
    <t>03020304</t>
  </si>
  <si>
    <t>开关插座</t>
  </si>
  <si>
    <t>开关插座暂时按3元/m2考虑</t>
  </si>
  <si>
    <t>03020305</t>
  </si>
  <si>
    <t>其他</t>
  </si>
  <si>
    <t>030204</t>
  </si>
  <si>
    <t>门窗工程、幕墙</t>
  </si>
  <si>
    <r>
      <rPr>
        <sz val="8"/>
        <rFont val="宋体"/>
        <charset val="134"/>
      </rPr>
      <t>住宅门窗面积按0.20M2/M2预估，按断桥铝平米按照550元/M2预估，</t>
    </r>
    <r>
      <rPr>
        <sz val="8"/>
        <rFont val="宋体"/>
        <charset val="134"/>
      </rPr>
      <t>酒店按幕墙考虑</t>
    </r>
  </si>
  <si>
    <t>030205</t>
  </si>
  <si>
    <t>防火门</t>
  </si>
  <si>
    <t>高层住宅防火门面积0.044M2/M2预估，洋房按0.02M2/M2预估，2每平米按照320元/M2预估，</t>
  </si>
  <si>
    <t>030206</t>
  </si>
  <si>
    <t>入户门</t>
  </si>
  <si>
    <t>高层住宅暂按1500元/樘预估，配指纹锁</t>
  </si>
  <si>
    <t>030207</t>
  </si>
  <si>
    <t>外墙石材</t>
  </si>
  <si>
    <t>考虑门头石材，按600元/m2计算，</t>
  </si>
  <si>
    <t>030208</t>
  </si>
  <si>
    <t>外檐涂料</t>
  </si>
  <si>
    <t>住宅外墙涂料面积0.9-1.2M2/M2，按开元壹号合同80元/M2。</t>
  </si>
  <si>
    <t>030209</t>
  </si>
  <si>
    <t>散热器</t>
  </si>
  <si>
    <t>030210</t>
  </si>
  <si>
    <t>栏杆</t>
  </si>
  <si>
    <t>030211</t>
  </si>
  <si>
    <t>百叶窗</t>
  </si>
  <si>
    <t>030212</t>
  </si>
  <si>
    <t>电梯</t>
  </si>
  <si>
    <t xml:space="preserve">洋房电梯按16万/台，高层按28万元/台 </t>
  </si>
  <si>
    <t>030213</t>
  </si>
  <si>
    <t>消防报警、消防水、喷淋</t>
  </si>
  <si>
    <t>030214</t>
  </si>
  <si>
    <t>空调、新风</t>
  </si>
  <si>
    <t>030215</t>
  </si>
  <si>
    <t>楼体亮化</t>
  </si>
  <si>
    <t>030216</t>
  </si>
  <si>
    <t>标识标牌</t>
  </si>
  <si>
    <t>楼梯、园区</t>
  </si>
  <si>
    <t>030217</t>
  </si>
  <si>
    <t>人防门</t>
  </si>
  <si>
    <t>030218</t>
  </si>
  <si>
    <t>人防设备</t>
  </si>
  <si>
    <t>0303</t>
  </si>
  <si>
    <t>精装修工程</t>
  </si>
  <si>
    <t>030301</t>
  </si>
  <si>
    <t>楼内公共部位装修</t>
  </si>
  <si>
    <t>精装大堂暂按2000元平米预估，一层大堂精装洋房按45m2，高层按60m2</t>
  </si>
  <si>
    <t>030302</t>
  </si>
  <si>
    <t>室内精装修</t>
  </si>
  <si>
    <t>按简单装修800元/m2考虑</t>
  </si>
  <si>
    <t>030303</t>
  </si>
  <si>
    <t>售楼处装修</t>
  </si>
  <si>
    <t>按建筑面积折算38.5元/m2，</t>
  </si>
  <si>
    <t>030304</t>
  </si>
  <si>
    <t>实楼样板间装修</t>
  </si>
  <si>
    <t>100m2两套，</t>
  </si>
  <si>
    <t>030305</t>
  </si>
  <si>
    <t>会所装修</t>
  </si>
  <si>
    <t>0304</t>
  </si>
  <si>
    <t>建筑工程检测费用</t>
  </si>
  <si>
    <t>030401</t>
  </si>
  <si>
    <t>沉降观测费</t>
  </si>
  <si>
    <t>按1元/m2</t>
  </si>
  <si>
    <t>030402</t>
  </si>
  <si>
    <t>消防检测费</t>
  </si>
  <si>
    <t>含在消防中</t>
  </si>
  <si>
    <t>030403</t>
  </si>
  <si>
    <t>电气安全检测费</t>
  </si>
  <si>
    <t>暂时未征收</t>
  </si>
  <si>
    <t>030404</t>
  </si>
  <si>
    <t>环境检测费</t>
  </si>
  <si>
    <t>前期费用1.6元/m2</t>
  </si>
  <si>
    <t>030405</t>
  </si>
  <si>
    <t>避雷监测费</t>
  </si>
  <si>
    <t>建面1元/M2</t>
  </si>
  <si>
    <t>030406</t>
  </si>
  <si>
    <t>其他检测费</t>
  </si>
  <si>
    <t>0305</t>
  </si>
  <si>
    <t>其他建安费用</t>
  </si>
  <si>
    <t>其他费用等</t>
  </si>
  <si>
    <t>04</t>
  </si>
  <si>
    <t>市政基础设施费</t>
  </si>
  <si>
    <t>0401</t>
  </si>
  <si>
    <t>电力基础设施费</t>
  </si>
  <si>
    <t>040101</t>
  </si>
  <si>
    <t>红线外电力工程费</t>
  </si>
  <si>
    <t>已经含在配套费用中</t>
  </si>
  <si>
    <t>040102</t>
  </si>
  <si>
    <t>红线内电力工程费</t>
  </si>
  <si>
    <t>电力配套费按建筑面积85元/m2计入</t>
  </si>
  <si>
    <t>040103</t>
  </si>
  <si>
    <t>土建站、箱式站</t>
  </si>
  <si>
    <t>040104</t>
  </si>
  <si>
    <t>一户一表费</t>
  </si>
  <si>
    <t>040105</t>
  </si>
  <si>
    <t>发电机组及安装费用</t>
  </si>
  <si>
    <t>0402</t>
  </si>
  <si>
    <t>给水基础设施费</t>
  </si>
  <si>
    <t>040201</t>
  </si>
  <si>
    <t>红线外自来水工程费</t>
  </si>
  <si>
    <t>040202</t>
  </si>
  <si>
    <t>红线内自来水工程费</t>
  </si>
  <si>
    <t>按照地上建面50元/M2预估.</t>
  </si>
  <si>
    <t>040203</t>
  </si>
  <si>
    <t>水表费（自来水系统）</t>
  </si>
  <si>
    <t>0403</t>
  </si>
  <si>
    <t>中水基础设施费</t>
  </si>
  <si>
    <t>040301</t>
  </si>
  <si>
    <t>红线外中水系统工程费</t>
  </si>
  <si>
    <t>040302</t>
  </si>
  <si>
    <t>红线内中水系统工程费</t>
  </si>
  <si>
    <t>040303</t>
  </si>
  <si>
    <t>水表费（中水系统）</t>
  </si>
  <si>
    <t>0404</t>
  </si>
  <si>
    <t>消防给水基础设施费</t>
  </si>
  <si>
    <t>040401</t>
  </si>
  <si>
    <t>消防给水工程费</t>
  </si>
  <si>
    <t>0405</t>
  </si>
  <si>
    <t>热水基础设施</t>
  </si>
  <si>
    <t>040501</t>
  </si>
  <si>
    <t>热水工程费</t>
  </si>
  <si>
    <t>040502</t>
  </si>
  <si>
    <r>
      <rPr>
        <sz val="8"/>
        <rFont val="宋体"/>
        <charset val="134"/>
      </rPr>
      <t>设备费</t>
    </r>
    <r>
      <rPr>
        <sz val="8"/>
        <rFont val="Times New Roman"/>
        <charset val="134"/>
      </rPr>
      <t xml:space="preserve"> </t>
    </r>
  </si>
  <si>
    <t>0406</t>
  </si>
  <si>
    <t>纯净水基础设非</t>
  </si>
  <si>
    <t>0407</t>
  </si>
  <si>
    <t>排水基础设施费</t>
  </si>
  <si>
    <t>040701</t>
  </si>
  <si>
    <t>雨水、污水排水工程</t>
  </si>
  <si>
    <t>按10元/M2预估</t>
  </si>
  <si>
    <t>040702</t>
  </si>
  <si>
    <t>红线外排水（排水开口费）</t>
  </si>
  <si>
    <t>0408</t>
  </si>
  <si>
    <t>燃气基础设施费</t>
  </si>
  <si>
    <t>040801</t>
  </si>
  <si>
    <t>红线外煤气工程费</t>
  </si>
  <si>
    <t>040802</t>
  </si>
  <si>
    <t>红线内煤气工程费</t>
  </si>
  <si>
    <t>按2800元/户</t>
  </si>
  <si>
    <t>040803</t>
  </si>
  <si>
    <r>
      <rPr>
        <sz val="8"/>
        <rFont val="宋体"/>
        <charset val="134"/>
      </rPr>
      <t>通气费</t>
    </r>
    <r>
      <rPr>
        <sz val="8"/>
        <rFont val="Times New Roman"/>
        <charset val="134"/>
      </rPr>
      <t>(</t>
    </r>
    <r>
      <rPr>
        <sz val="8"/>
        <rFont val="宋体"/>
        <charset val="134"/>
      </rPr>
      <t>点火费</t>
    </r>
    <r>
      <rPr>
        <sz val="8"/>
        <rFont val="Times New Roman"/>
        <charset val="134"/>
      </rPr>
      <t>)</t>
    </r>
  </si>
  <si>
    <t>040804</t>
  </si>
  <si>
    <t>气源发展基金</t>
  </si>
  <si>
    <t>040805</t>
  </si>
  <si>
    <t>表灶费</t>
  </si>
  <si>
    <t>0409</t>
  </si>
  <si>
    <t>电视</t>
  </si>
  <si>
    <t>040901</t>
  </si>
  <si>
    <t>电视线路安装费</t>
  </si>
  <si>
    <t>按240元/户</t>
  </si>
  <si>
    <t>040902</t>
  </si>
  <si>
    <t>电视外网工程费</t>
  </si>
  <si>
    <t>040903</t>
  </si>
  <si>
    <t>卫星电视</t>
  </si>
  <si>
    <t>0410</t>
  </si>
  <si>
    <t>通讯线路安装</t>
  </si>
  <si>
    <t>0411</t>
  </si>
  <si>
    <t>智能化系统</t>
  </si>
  <si>
    <t>按照建面10元/M2预估</t>
  </si>
  <si>
    <t>0412</t>
  </si>
  <si>
    <t>供热基础设施费</t>
  </si>
  <si>
    <t>考虑供电面积130元/m2</t>
  </si>
  <si>
    <t>041201</t>
  </si>
  <si>
    <t>热源费</t>
  </si>
  <si>
    <t>041202</t>
  </si>
  <si>
    <t>内网费</t>
  </si>
  <si>
    <t>开发部了解无热力</t>
  </si>
  <si>
    <t>041203</t>
  </si>
  <si>
    <t>换热站</t>
  </si>
  <si>
    <t>041204</t>
  </si>
  <si>
    <t>热计量表</t>
  </si>
  <si>
    <t>0413</t>
  </si>
  <si>
    <t>环境工程</t>
  </si>
  <si>
    <t>综合按360元/m2</t>
  </si>
  <si>
    <t>041301</t>
  </si>
  <si>
    <t>绿化工程费</t>
  </si>
  <si>
    <t>景观示范区、提升改造区域分摊25元/m2</t>
  </si>
  <si>
    <t>04130101</t>
  </si>
  <si>
    <t>园林建筑工程</t>
  </si>
  <si>
    <t>04130102</t>
  </si>
  <si>
    <t>园林绿化工程</t>
  </si>
  <si>
    <t>04130103</t>
  </si>
  <si>
    <t>园林安装工程</t>
  </si>
  <si>
    <t>041302</t>
  </si>
  <si>
    <t>区内道路</t>
  </si>
  <si>
    <t>041303</t>
  </si>
  <si>
    <t>区内路灯</t>
  </si>
  <si>
    <t>041304</t>
  </si>
  <si>
    <t>围墙大门</t>
  </si>
  <si>
    <t>041305</t>
  </si>
  <si>
    <t>车棚</t>
  </si>
  <si>
    <t>0414</t>
  </si>
  <si>
    <t>环卫</t>
  </si>
  <si>
    <t>0415</t>
  </si>
  <si>
    <t>邮政</t>
  </si>
  <si>
    <t>0416</t>
  </si>
  <si>
    <t>其他市政基础工程费</t>
  </si>
  <si>
    <t>05</t>
  </si>
  <si>
    <t>公用配套设施</t>
  </si>
  <si>
    <t>0501</t>
  </si>
  <si>
    <t>公建</t>
  </si>
  <si>
    <t>050101</t>
  </si>
  <si>
    <t>会所</t>
  </si>
  <si>
    <t>050102</t>
  </si>
  <si>
    <t>样板间、艺术馆（不可售）</t>
  </si>
  <si>
    <t>050103</t>
  </si>
  <si>
    <t>0502</t>
  </si>
  <si>
    <t>独立车库</t>
  </si>
  <si>
    <t>环氧地坪，5mm找平在总包范围内</t>
  </si>
  <si>
    <t>0503</t>
  </si>
  <si>
    <t>人防地库</t>
  </si>
  <si>
    <t>0504</t>
  </si>
  <si>
    <t>小配套费</t>
  </si>
  <si>
    <t>0505</t>
  </si>
  <si>
    <t>物业费用</t>
  </si>
  <si>
    <t>050501</t>
  </si>
  <si>
    <t>前期开办费</t>
  </si>
  <si>
    <t>050502</t>
  </si>
  <si>
    <t>验房费</t>
  </si>
  <si>
    <t>050503</t>
  </si>
  <si>
    <t>前期组建筹备费</t>
  </si>
  <si>
    <t>050504</t>
  </si>
  <si>
    <t>空房管理费</t>
  </si>
  <si>
    <t>0506</t>
  </si>
  <si>
    <t>空房采暖费</t>
  </si>
  <si>
    <t>0507</t>
  </si>
  <si>
    <t>公共设施维修基金</t>
  </si>
  <si>
    <t>0508</t>
  </si>
  <si>
    <t>停车场、体育及游乐场设施</t>
  </si>
  <si>
    <t>0509</t>
  </si>
  <si>
    <t>其他公用配套设施</t>
  </si>
  <si>
    <t>06</t>
  </si>
  <si>
    <t>不可预见费</t>
  </si>
  <si>
    <t>0601</t>
  </si>
  <si>
    <t>小业主赔付</t>
  </si>
  <si>
    <t>0602</t>
  </si>
  <si>
    <t>质保金外维修费用</t>
  </si>
  <si>
    <t>0603</t>
  </si>
  <si>
    <t>临时水、电费（入住后未接通正式水电）</t>
  </si>
  <si>
    <t>0604</t>
  </si>
  <si>
    <t>一</t>
  </si>
  <si>
    <t>直接成本小计（含土地）</t>
  </si>
  <si>
    <t>07</t>
  </si>
  <si>
    <t>开发间接费</t>
  </si>
  <si>
    <t>0701</t>
  </si>
  <si>
    <t>工资薪金</t>
  </si>
  <si>
    <t>0702</t>
  </si>
  <si>
    <t>劳动保护费</t>
  </si>
  <si>
    <t>0703</t>
  </si>
  <si>
    <t>办公费</t>
  </si>
  <si>
    <t>0704</t>
  </si>
  <si>
    <t>水电费</t>
  </si>
  <si>
    <t>0705</t>
  </si>
  <si>
    <t>利息</t>
  </si>
  <si>
    <t>0706</t>
  </si>
  <si>
    <t>通讯费</t>
  </si>
  <si>
    <t>0707</t>
  </si>
  <si>
    <t>物料费</t>
  </si>
  <si>
    <t>0708</t>
  </si>
  <si>
    <t>修理费</t>
  </si>
  <si>
    <t>0709</t>
  </si>
  <si>
    <t>咨询费</t>
  </si>
  <si>
    <t>0710</t>
  </si>
  <si>
    <t>差旅费</t>
  </si>
  <si>
    <t>0711</t>
  </si>
  <si>
    <t>社会保险费</t>
  </si>
  <si>
    <t>0712</t>
  </si>
  <si>
    <t>职工福利费</t>
  </si>
  <si>
    <t>0713</t>
  </si>
  <si>
    <t>招待费</t>
  </si>
  <si>
    <t>0714</t>
  </si>
  <si>
    <t>折旧费</t>
  </si>
  <si>
    <t>0799</t>
  </si>
  <si>
    <t>其他开发间接费</t>
  </si>
  <si>
    <t>08</t>
  </si>
  <si>
    <t>销售费用</t>
  </si>
  <si>
    <t>09</t>
  </si>
  <si>
    <t>管理费用</t>
  </si>
  <si>
    <t>10</t>
  </si>
  <si>
    <t>财务费用</t>
  </si>
  <si>
    <t>二</t>
  </si>
  <si>
    <t>期间费用</t>
  </si>
  <si>
    <t>项目</t>
  </si>
  <si>
    <r>
      <rPr>
        <sz val="12"/>
        <rFont val="宋体"/>
        <charset val="134"/>
      </rPr>
      <t>L</t>
    </r>
    <r>
      <rPr>
        <sz val="12"/>
        <rFont val="宋体"/>
        <charset val="134"/>
      </rPr>
      <t>YTD-2018-19</t>
    </r>
  </si>
  <si>
    <r>
      <rPr>
        <sz val="12"/>
        <rFont val="宋体"/>
        <charset val="134"/>
      </rPr>
      <t>LYTD-2018-2</t>
    </r>
    <r>
      <rPr>
        <sz val="12"/>
        <rFont val="宋体"/>
        <charset val="134"/>
      </rPr>
      <t>1</t>
    </r>
  </si>
  <si>
    <t>规划指标</t>
  </si>
  <si>
    <t>单价万元</t>
  </si>
  <si>
    <t>总价万元</t>
  </si>
  <si>
    <t>第1季度</t>
  </si>
  <si>
    <t>第2季度</t>
  </si>
  <si>
    <t>第3季度</t>
  </si>
  <si>
    <t>第4季度</t>
  </si>
  <si>
    <t>第5季度</t>
  </si>
  <si>
    <t>第6季度</t>
  </si>
  <si>
    <t>第7季度</t>
  </si>
  <si>
    <t>第8季度</t>
  </si>
  <si>
    <t>第9季度</t>
  </si>
  <si>
    <t>第10季度</t>
  </si>
  <si>
    <t>第11季度</t>
  </si>
  <si>
    <t>第12季度</t>
  </si>
  <si>
    <t>单价</t>
  </si>
  <si>
    <t>土地面积（亩）</t>
  </si>
  <si>
    <t>土地面积（平方米）</t>
  </si>
  <si>
    <t>住宅</t>
  </si>
  <si>
    <t>公租房</t>
  </si>
  <si>
    <t>其它（配套）</t>
  </si>
  <si>
    <t>地下建筑面积（㎡）</t>
  </si>
  <si>
    <t>总建筑面积（㎡）</t>
  </si>
  <si>
    <t>车位数</t>
  </si>
  <si>
    <t>收入</t>
  </si>
  <si>
    <t>费用控制指标</t>
  </si>
  <si>
    <t>已销售面积</t>
  </si>
  <si>
    <t>已销售单价</t>
  </si>
  <si>
    <t>已销售金额（万元）</t>
  </si>
  <si>
    <t>未销售面积</t>
  </si>
  <si>
    <t>未销售单价</t>
  </si>
  <si>
    <t>未销售金额（万元）</t>
  </si>
  <si>
    <t>金额</t>
  </si>
  <si>
    <t>地块均价</t>
  </si>
  <si>
    <t>地上/地下</t>
  </si>
  <si>
    <t>总价（万元）</t>
  </si>
  <si>
    <t>收入占比</t>
  </si>
  <si>
    <t>单价控制条</t>
  </si>
  <si>
    <t xml:space="preserve"> 管理费用</t>
  </si>
  <si>
    <t>—</t>
  </si>
  <si>
    <t>双首层面积</t>
  </si>
  <si>
    <t>地上小计</t>
  </si>
  <si>
    <t>双首层地下</t>
  </si>
  <si>
    <t>地下山铺</t>
  </si>
  <si>
    <t>地下商铺面积</t>
  </si>
  <si>
    <t>地下部分4</t>
  </si>
  <si>
    <t>子母标准车位</t>
  </si>
  <si>
    <t>地下部分5</t>
  </si>
  <si>
    <t>子母微型车位</t>
  </si>
  <si>
    <t>地下部分6</t>
  </si>
  <si>
    <t>微型车位</t>
  </si>
  <si>
    <t>地下部分7</t>
  </si>
  <si>
    <t>无法销售车位</t>
  </si>
  <si>
    <t>地下小计</t>
  </si>
  <si>
    <t>备注：预计销售价格请通过数据控制条选择。</t>
  </si>
  <si>
    <t>其他备注说明</t>
  </si>
  <si>
    <t>项目投资总额</t>
  </si>
  <si>
    <t>土地投资（含契税）</t>
  </si>
  <si>
    <t>运营资金</t>
  </si>
  <si>
    <t>2+3</t>
  </si>
  <si>
    <t>资金峰值</t>
  </si>
  <si>
    <t>自有资金投入</t>
  </si>
  <si>
    <t>前期配资</t>
  </si>
  <si>
    <t>配资利率</t>
  </si>
  <si>
    <t>年利率</t>
  </si>
  <si>
    <t>配资期限</t>
  </si>
  <si>
    <t>月</t>
  </si>
  <si>
    <t>配资成本</t>
  </si>
  <si>
    <t>后期融资</t>
  </si>
  <si>
    <t>融资利率</t>
  </si>
  <si>
    <t>使用期限</t>
  </si>
  <si>
    <t>融资成本</t>
  </si>
  <si>
    <t>项目财务费用合计</t>
  </si>
  <si>
    <t>土地及建安得票率</t>
  </si>
  <si>
    <t>期间费用得票</t>
  </si>
  <si>
    <t>销项税率</t>
  </si>
  <si>
    <t>销售单价</t>
  </si>
  <si>
    <t>土地及
建安成本</t>
  </si>
  <si>
    <t>增值税</t>
  </si>
  <si>
    <t>增值税预交</t>
  </si>
  <si>
    <t>清算补</t>
  </si>
  <si>
    <t>附加税</t>
  </si>
  <si>
    <t>土增可扣除金额</t>
  </si>
  <si>
    <t>增值额</t>
  </si>
  <si>
    <t>增值率</t>
  </si>
  <si>
    <t>土地增值税</t>
  </si>
  <si>
    <t>预交</t>
  </si>
  <si>
    <t>清算</t>
  </si>
  <si>
    <t>流转税合计</t>
  </si>
  <si>
    <t>收款总额（万）</t>
  </si>
  <si>
    <t>土地及
建安成本（万）</t>
  </si>
  <si>
    <t>销售收款</t>
  </si>
  <si>
    <t>总收入</t>
  </si>
  <si>
    <t>土地成本</t>
  </si>
  <si>
    <t>建安成本</t>
  </si>
  <si>
    <t>毛利</t>
  </si>
  <si>
    <t>土地增值税金及附加</t>
  </si>
  <si>
    <t>利润</t>
  </si>
  <si>
    <t>所得税</t>
  </si>
  <si>
    <t>净利润</t>
  </si>
  <si>
    <t>利润率</t>
  </si>
  <si>
    <t>总税额</t>
  </si>
  <si>
    <t>税负</t>
  </si>
  <si>
    <t>单方土地成本</t>
  </si>
  <si>
    <t>单方建安</t>
  </si>
  <si>
    <t>单方毛利</t>
  </si>
  <si>
    <t>产品类型</t>
  </si>
  <si>
    <t>时间</t>
  </si>
  <si>
    <t>第1月</t>
  </si>
  <si>
    <t>第2月</t>
  </si>
  <si>
    <t>第3月</t>
  </si>
  <si>
    <t>第4月</t>
  </si>
  <si>
    <t>第5月</t>
  </si>
  <si>
    <t>第6月</t>
  </si>
  <si>
    <t>第7月</t>
  </si>
  <si>
    <t>第8月</t>
  </si>
  <si>
    <t>第9月</t>
  </si>
  <si>
    <t>第10月</t>
  </si>
  <si>
    <t>第11月</t>
  </si>
  <si>
    <t>第12月</t>
  </si>
  <si>
    <t>第13月</t>
  </si>
  <si>
    <t>第14月</t>
  </si>
  <si>
    <t>第15月</t>
  </si>
  <si>
    <t>第16月</t>
  </si>
  <si>
    <t>第17月</t>
  </si>
  <si>
    <t>第18月</t>
  </si>
  <si>
    <t>第19月</t>
  </si>
  <si>
    <t>第20月</t>
  </si>
  <si>
    <t>第21月</t>
  </si>
  <si>
    <t>第22月</t>
  </si>
  <si>
    <t>第23月</t>
  </si>
  <si>
    <t>第24月</t>
  </si>
  <si>
    <t>第25月</t>
  </si>
  <si>
    <t>第26月</t>
  </si>
  <si>
    <t>第27月</t>
  </si>
  <si>
    <t>第28月</t>
  </si>
  <si>
    <t>第29月</t>
  </si>
  <si>
    <t>第30月</t>
  </si>
  <si>
    <t>第31月</t>
  </si>
  <si>
    <t>第32月</t>
  </si>
  <si>
    <t>第33月</t>
  </si>
  <si>
    <t>第34月</t>
  </si>
  <si>
    <t>第35月</t>
  </si>
  <si>
    <t>第36月</t>
  </si>
  <si>
    <t>推盘套数</t>
  </si>
  <si>
    <t>推盘面积</t>
  </si>
  <si>
    <t>推盘均价</t>
  </si>
  <si>
    <t>推盘总金额</t>
  </si>
  <si>
    <t>销售金额</t>
  </si>
  <si>
    <t>销售套数</t>
  </si>
  <si>
    <t>现场回款</t>
  </si>
  <si>
    <t>按揭回款</t>
  </si>
  <si>
    <t>回款合计</t>
  </si>
  <si>
    <t>剩余金额</t>
  </si>
  <si>
    <t>税款</t>
  </si>
  <si>
    <t>费用支出</t>
  </si>
  <si>
    <t>工资</t>
  </si>
  <si>
    <t>sss</t>
  </si>
  <si>
    <t>节点</t>
  </si>
  <si>
    <t>土增税税率</t>
  </si>
  <si>
    <t>行政人力</t>
  </si>
  <si>
    <t>自动生成</t>
  </si>
  <si>
    <t>酒店</t>
  </si>
  <si>
    <t>项目名称</t>
  </si>
  <si>
    <t>建筑层数</t>
  </si>
  <si>
    <t>建筑面积（平方米）</t>
  </si>
  <si>
    <t>基底面积</t>
  </si>
  <si>
    <t>建筑高</t>
  </si>
  <si>
    <t>建筑功能</t>
  </si>
  <si>
    <t>度（米）</t>
  </si>
  <si>
    <t>地下</t>
  </si>
  <si>
    <t>地上</t>
  </si>
  <si>
    <t>总面积</t>
  </si>
  <si>
    <t>洋房 地上合计</t>
  </si>
  <si>
    <t>1#</t>
  </si>
  <si>
    <t>计入地下室部分</t>
  </si>
  <si>
    <t>地上为住宅,地下1层为储藏间</t>
  </si>
  <si>
    <t>2#</t>
  </si>
  <si>
    <t>地上为住宅，地下1层为储藏间</t>
  </si>
  <si>
    <t>3#</t>
  </si>
  <si>
    <t>5#</t>
  </si>
  <si>
    <t>6#</t>
  </si>
  <si>
    <r>
      <rPr>
        <sz val="8"/>
        <color rgb="FF000000"/>
        <rFont val="宋体"/>
        <charset val="134"/>
      </rPr>
      <t>地上为住宅,地下1层为储藏间，地下</t>
    </r>
    <r>
      <rPr>
        <sz val="8"/>
        <color rgb="FF000000"/>
        <rFont val="宋体"/>
        <charset val="134"/>
      </rPr>
      <t>2</t>
    </r>
    <r>
      <rPr>
        <sz val="8"/>
        <color rgb="FF000000"/>
        <rFont val="宋体"/>
        <charset val="134"/>
      </rPr>
      <t>层为车库</t>
    </r>
  </si>
  <si>
    <t>7#</t>
  </si>
  <si>
    <t>地上为住宅,地下1层为储藏间，地下2层为车库</t>
  </si>
  <si>
    <t>8#</t>
  </si>
  <si>
    <t>9#</t>
  </si>
  <si>
    <t>10#</t>
  </si>
  <si>
    <t>地上为住宅,地下1层为车库</t>
  </si>
  <si>
    <t>11#</t>
  </si>
  <si>
    <t>12#</t>
  </si>
  <si>
    <r>
      <rPr>
        <sz val="8"/>
        <color rgb="FF000000"/>
        <rFont val="宋体"/>
        <charset val="134"/>
      </rPr>
      <t>地上为住宅,地下1层为储藏</t>
    </r>
    <r>
      <rPr>
        <sz val="8"/>
        <color rgb="FF000000"/>
        <rFont val="宋体"/>
        <charset val="134"/>
      </rPr>
      <t>间</t>
    </r>
    <r>
      <rPr>
        <sz val="8"/>
        <color rgb="FF000000"/>
        <rFont val="宋体"/>
        <charset val="134"/>
      </rPr>
      <t>，地下2层为车库</t>
    </r>
  </si>
  <si>
    <t>13#</t>
  </si>
  <si>
    <t>15#</t>
  </si>
  <si>
    <r>
      <rPr>
        <sz val="8"/>
        <color rgb="FF000000"/>
        <rFont val="宋体"/>
        <charset val="134"/>
      </rPr>
      <t>地上为住宅,地下1层为储藏</t>
    </r>
    <r>
      <rPr>
        <sz val="8"/>
        <color rgb="FF000000"/>
        <rFont val="宋体"/>
        <charset val="134"/>
      </rPr>
      <t>间</t>
    </r>
    <r>
      <rPr>
        <sz val="8"/>
        <color rgb="FF000000"/>
        <rFont val="宋体"/>
        <charset val="134"/>
      </rPr>
      <t>，地下2层为配套设施</t>
    </r>
  </si>
  <si>
    <t>配套用房</t>
  </si>
  <si>
    <t>16#</t>
  </si>
  <si>
    <r>
      <rPr>
        <sz val="8"/>
        <color rgb="FF000000"/>
        <rFont val="宋体"/>
        <charset val="134"/>
      </rPr>
      <t>地上为住宅,地下1层为储藏</t>
    </r>
    <r>
      <rPr>
        <sz val="8"/>
        <color rgb="FF000000"/>
        <rFont val="宋体"/>
        <charset val="134"/>
      </rPr>
      <t>间</t>
    </r>
    <r>
      <rPr>
        <sz val="8"/>
        <color rgb="FF000000"/>
        <rFont val="宋体"/>
        <charset val="134"/>
      </rPr>
      <t>，地下二层为车库</t>
    </r>
  </si>
  <si>
    <t>17#</t>
  </si>
  <si>
    <t>18#</t>
  </si>
  <si>
    <t>计入地下部分</t>
  </si>
  <si>
    <t>19#</t>
  </si>
  <si>
    <t>20#</t>
  </si>
  <si>
    <t>小高层地上</t>
  </si>
  <si>
    <r>
      <rPr>
        <sz val="9"/>
        <color rgb="FF000000"/>
        <rFont val="宋体"/>
        <charset val="134"/>
      </rPr>
      <t>587.25</t>
    </r>
    <r>
      <rPr>
        <sz val="9"/>
        <color rgb="FF000000"/>
        <rFont val="宋体"/>
        <charset val="134"/>
      </rPr>
      <t>（</t>
    </r>
    <r>
      <rPr>
        <sz val="9"/>
        <color rgb="FF000000"/>
        <rFont val="宋体"/>
        <charset val="134"/>
      </rPr>
      <t>包含17#.20#楼配套用房</t>
    </r>
    <r>
      <rPr>
        <sz val="9"/>
        <color rgb="FF000000"/>
        <rFont val="宋体"/>
        <charset val="134"/>
      </rPr>
      <t>）</t>
    </r>
  </si>
  <si>
    <t>地下室</t>
  </si>
  <si>
    <t>（含人防面积6581.55）</t>
  </si>
  <si>
    <t>停车场、储藏间及人防工程</t>
  </si>
  <si>
    <t>普通车库</t>
  </si>
  <si>
    <t>人防车库</t>
  </si>
</sst>
</file>

<file path=xl/styles.xml><?xml version="1.0" encoding="utf-8"?>
<styleSheet xmlns="http://schemas.openxmlformats.org/spreadsheetml/2006/main">
  <numFmts count="12">
    <numFmt numFmtId="44" formatCode="_ &quot;￥&quot;* #,##0.00_ ;_ &quot;￥&quot;* \-#,##0.00_ ;_ &quot;￥&quot;* &quot;-&quot;??_ ;_ @_ "/>
    <numFmt numFmtId="176" formatCode="yyyy&quot;年&quot;m&quot;月&quot;d&quot;日&quot;;@"/>
    <numFmt numFmtId="42" formatCode="_ &quot;￥&quot;* #,##0_ ;_ &quot;￥&quot;* \-#,##0_ ;_ &quot;￥&quot;* &quot;-&quot;_ ;_ @_ "/>
    <numFmt numFmtId="43" formatCode="_ * #,##0.00_ ;_ * \-#,##0.00_ ;_ * &quot;-&quot;??_ ;_ @_ "/>
    <numFmt numFmtId="177" formatCode="0.00_);[Red]\(0.00\)"/>
    <numFmt numFmtId="41" formatCode="_ * #,##0_ ;_ * \-#,##0_ ;_ * &quot;-&quot;_ ;_ @_ "/>
    <numFmt numFmtId="178" formatCode="#,##0.00_ "/>
    <numFmt numFmtId="179" formatCode="_ * #,##0_ ;_ * \-#,##0_ ;_ * &quot;-&quot;??_ ;_ @_ "/>
    <numFmt numFmtId="180" formatCode="0.00_ "/>
    <numFmt numFmtId="181" formatCode="#&quot;个&quot;"/>
    <numFmt numFmtId="182" formatCode="#.00&quot;万&quot;&quot;元&quot;"/>
    <numFmt numFmtId="183" formatCode="0_ "/>
  </numFmts>
  <fonts count="68">
    <font>
      <sz val="12"/>
      <name val="宋体"/>
      <charset val="134"/>
    </font>
    <font>
      <sz val="10.5"/>
      <color rgb="FF009900"/>
      <name val="宋体"/>
      <charset val="134"/>
    </font>
    <font>
      <sz val="10.5"/>
      <color rgb="FF000000"/>
      <name val="宋体"/>
      <charset val="134"/>
    </font>
    <font>
      <sz val="9"/>
      <color rgb="FF000000"/>
      <name val="宋体"/>
      <charset val="134"/>
    </font>
    <font>
      <sz val="9"/>
      <name val="宋体"/>
      <charset val="134"/>
    </font>
    <font>
      <sz val="8"/>
      <color rgb="FF000000"/>
      <name val="宋体"/>
      <charset val="134"/>
    </font>
    <font>
      <b/>
      <sz val="12"/>
      <name val="宋体"/>
      <charset val="134"/>
    </font>
    <font>
      <u/>
      <sz val="12"/>
      <color theme="1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b/>
      <sz val="14"/>
      <name val="宋体"/>
      <charset val="134"/>
    </font>
    <font>
      <sz val="12"/>
      <color theme="1"/>
      <name val="仿宋"/>
      <charset val="134"/>
    </font>
    <font>
      <b/>
      <sz val="12"/>
      <color theme="1"/>
      <name val="仿宋"/>
      <charset val="134"/>
    </font>
    <font>
      <sz val="12"/>
      <name val="仿宋"/>
      <charset val="134"/>
    </font>
    <font>
      <b/>
      <sz val="12"/>
      <name val="仿宋"/>
      <charset val="134"/>
    </font>
    <font>
      <sz val="8"/>
      <name val="宋体"/>
      <charset val="134"/>
    </font>
    <font>
      <b/>
      <sz val="8"/>
      <name val="宋体"/>
      <charset val="134"/>
    </font>
    <font>
      <sz val="8"/>
      <name val="Times New Roman"/>
      <charset val="134"/>
    </font>
    <font>
      <sz val="8"/>
      <color indexed="8"/>
      <name val="宋体"/>
      <charset val="134"/>
    </font>
    <font>
      <sz val="8"/>
      <color theme="1"/>
      <name val="宋体"/>
      <charset val="134"/>
    </font>
    <font>
      <sz val="14"/>
      <color rgb="FF0000FF"/>
      <name val="Microsoft YaHei"/>
      <charset val="134"/>
    </font>
    <font>
      <b/>
      <sz val="8"/>
      <color indexed="8"/>
      <name val="宋体"/>
      <charset val="134"/>
    </font>
    <font>
      <sz val="10"/>
      <color indexed="8"/>
      <name val="黑体"/>
      <charset val="134"/>
    </font>
    <font>
      <sz val="8"/>
      <color rgb="FFFF0000"/>
      <name val="宋体"/>
      <charset val="134"/>
    </font>
    <font>
      <b/>
      <sz val="8"/>
      <name val="Times New Roman"/>
      <charset val="134"/>
    </font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8"/>
      <color rgb="FFFF0000"/>
      <name val="宋体"/>
      <charset val="134"/>
    </font>
    <font>
      <sz val="12"/>
      <color theme="1"/>
      <name val="宋体"/>
      <charset val="134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indexed="52"/>
      <name val="宋体"/>
      <charset val="134"/>
    </font>
    <font>
      <sz val="11"/>
      <color rgb="FF9C0006"/>
      <name val="宋体"/>
      <charset val="0"/>
      <scheme val="minor"/>
    </font>
    <font>
      <b/>
      <sz val="11"/>
      <color indexed="9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indexed="60"/>
      <name val="宋体"/>
      <charset val="134"/>
    </font>
    <font>
      <u/>
      <sz val="12"/>
      <color indexed="12"/>
      <name val="宋体"/>
      <charset val="134"/>
    </font>
    <font>
      <sz val="11"/>
      <color indexed="17"/>
      <name val="宋体"/>
      <charset val="134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indexed="62"/>
      <name val="宋体"/>
      <charset val="134"/>
    </font>
    <font>
      <b/>
      <sz val="11"/>
      <color rgb="FFFFFFFF"/>
      <name val="宋体"/>
      <charset val="0"/>
      <scheme val="minor"/>
    </font>
    <font>
      <b/>
      <sz val="11"/>
      <color indexed="63"/>
      <name val="宋体"/>
      <charset val="134"/>
    </font>
    <font>
      <b/>
      <sz val="18"/>
      <color indexed="56"/>
      <name val="宋体"/>
      <charset val="134"/>
    </font>
    <font>
      <b/>
      <sz val="11"/>
      <color indexed="56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sz val="11"/>
      <color indexed="20"/>
      <name val="宋体"/>
      <charset val="134"/>
    </font>
    <font>
      <b/>
      <sz val="11"/>
      <color indexed="8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b/>
      <vertAlign val="superscript"/>
      <sz val="8"/>
      <name val="Times New Roman"/>
      <charset val="134"/>
    </font>
  </fonts>
  <fills count="8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39930417798394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304177983947"/>
        <bgColor indexed="64"/>
      </patternFill>
    </fill>
    <fill>
      <patternFill patternType="solid">
        <fgColor theme="3" tint="0.599993896298105"/>
        <bgColor indexed="64"/>
      </patternFill>
    </fill>
    <fill>
      <patternFill patternType="solid">
        <fgColor theme="0" tint="-0.149327066866054"/>
        <bgColor indexed="64"/>
      </patternFill>
    </fill>
    <fill>
      <patternFill patternType="solid">
        <fgColor theme="2" tint="-0.0999786370433668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7993408001953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340800195319"/>
        <bgColor indexed="64"/>
      </patternFill>
    </fill>
    <fill>
      <patternFill patternType="solid">
        <fgColor theme="9" tint="0.7993408001953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3" tint="0.399365215002899"/>
        <bgColor indexed="64"/>
      </patternFill>
    </fill>
    <fill>
      <patternFill patternType="solid">
        <fgColor theme="3" tint="0.399304177983947"/>
        <bgColor indexed="64"/>
      </patternFill>
    </fill>
    <fill>
      <patternFill patternType="solid">
        <fgColor theme="5" tint="0.398907437360759"/>
        <bgColor indexed="64"/>
      </patternFill>
    </fill>
    <fill>
      <patternFill patternType="solid">
        <fgColor theme="7" tint="0.39890743736075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3993041779839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399304177983947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5" tint="0.399853511154515"/>
        <bgColor indexed="64"/>
      </patternFill>
    </fill>
    <fill>
      <patternFill patternType="solid">
        <fgColor theme="7" tint="0.399182103946043"/>
        <bgColor indexed="64"/>
      </patternFill>
    </fill>
    <fill>
      <patternFill patternType="solid">
        <fgColor theme="9" tint="0.399273659474471"/>
        <bgColor indexed="64"/>
      </patternFill>
    </fill>
    <fill>
      <patternFill patternType="solid">
        <fgColor theme="5" tint="0.399914548173467"/>
        <bgColor indexed="64"/>
      </patternFill>
    </fill>
    <fill>
      <patternFill patternType="solid">
        <fgColor theme="0" tint="-0.14935758537553"/>
        <bgColor indexed="64"/>
      </patternFill>
    </fill>
    <fill>
      <patternFill patternType="solid">
        <fgColor theme="6" tint="0.399334696493423"/>
        <bgColor indexed="64"/>
      </patternFill>
    </fill>
    <fill>
      <patternFill patternType="solid">
        <fgColor theme="7" tint="0.399334696493423"/>
        <bgColor indexed="64"/>
      </patternFill>
    </fill>
    <fill>
      <patternFill patternType="solid">
        <fgColor theme="3" tint="0.399334696493423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6"/>
        <bgColor indexed="64"/>
      </patternFill>
    </fill>
  </fills>
  <borders count="38">
    <border>
      <left/>
      <right/>
      <top/>
      <bottom/>
      <diagonal/>
    </border>
    <border>
      <left style="medium">
        <color rgb="FF678F00"/>
      </left>
      <right style="medium">
        <color rgb="FF678F00"/>
      </right>
      <top style="medium">
        <color rgb="FF678F00"/>
      </top>
      <bottom style="medium">
        <color rgb="FF678F00"/>
      </bottom>
      <diagonal/>
    </border>
    <border>
      <left/>
      <right style="medium">
        <color rgb="FF678F00"/>
      </right>
      <top style="medium">
        <color rgb="FF678F00"/>
      </top>
      <bottom style="medium">
        <color rgb="FF678F00"/>
      </bottom>
      <diagonal/>
    </border>
    <border>
      <left/>
      <right style="medium">
        <color rgb="FF678F00"/>
      </right>
      <top style="medium">
        <color rgb="FF678F00"/>
      </top>
      <bottom/>
      <diagonal/>
    </border>
    <border>
      <left/>
      <right style="medium">
        <color rgb="FF678F00"/>
      </right>
      <top/>
      <bottom style="medium">
        <color rgb="FF678F00"/>
      </bottom>
      <diagonal/>
    </border>
    <border>
      <left style="medium">
        <color rgb="FF678F00"/>
      </left>
      <right style="medium">
        <color rgb="FF678F00"/>
      </right>
      <top/>
      <bottom style="medium">
        <color rgb="FF678F00"/>
      </bottom>
      <diagonal/>
    </border>
    <border>
      <left/>
      <right style="medium">
        <color rgb="FF678F00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07">
    <xf numFmtId="0" fontId="0" fillId="0" borderId="0"/>
    <xf numFmtId="42" fontId="27" fillId="0" borderId="0" applyFont="0" applyFill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1" fillId="37" borderId="21" applyNumberFormat="0" applyAlignment="0" applyProtection="0">
      <alignment vertical="center"/>
    </xf>
    <xf numFmtId="44" fontId="27" fillId="0" borderId="0" applyFont="0" applyFill="0" applyBorder="0" applyAlignment="0" applyProtection="0">
      <alignment vertical="center"/>
    </xf>
    <xf numFmtId="41" fontId="27" fillId="0" borderId="0" applyFont="0" applyFill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40" fillId="52" borderId="25" applyNumberFormat="0" applyAlignment="0" applyProtection="0">
      <alignment vertical="center"/>
    </xf>
    <xf numFmtId="0" fontId="0" fillId="0" borderId="0"/>
    <xf numFmtId="0" fontId="41" fillId="5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/>
    <xf numFmtId="9" fontId="0" fillId="0" borderId="0" applyFon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27" fillId="57" borderId="27" applyNumberFormat="0" applyFont="0" applyAlignment="0" applyProtection="0">
      <alignment vertical="center"/>
    </xf>
    <xf numFmtId="0" fontId="33" fillId="60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23" applyNumberFormat="0" applyFill="0" applyAlignment="0" applyProtection="0">
      <alignment vertical="center"/>
    </xf>
    <xf numFmtId="0" fontId="37" fillId="0" borderId="23" applyNumberFormat="0" applyFill="0" applyAlignment="0" applyProtection="0">
      <alignment vertical="center"/>
    </xf>
    <xf numFmtId="0" fontId="33" fillId="59" borderId="0" applyNumberFormat="0" applyBorder="0" applyAlignment="0" applyProtection="0">
      <alignment vertical="center"/>
    </xf>
    <xf numFmtId="0" fontId="45" fillId="0" borderId="28" applyNumberFormat="0" applyFill="0" applyAlignment="0" applyProtection="0">
      <alignment vertical="center"/>
    </xf>
    <xf numFmtId="0" fontId="33" fillId="67" borderId="0" applyNumberFormat="0" applyBorder="0" applyAlignment="0" applyProtection="0">
      <alignment vertical="center"/>
    </xf>
    <xf numFmtId="0" fontId="36" fillId="45" borderId="22" applyNumberFormat="0" applyAlignment="0" applyProtection="0">
      <alignment vertical="center"/>
    </xf>
    <xf numFmtId="0" fontId="0" fillId="0" borderId="0"/>
    <xf numFmtId="0" fontId="53" fillId="45" borderId="21" applyNumberFormat="0" applyAlignment="0" applyProtection="0">
      <alignment vertical="center"/>
    </xf>
    <xf numFmtId="0" fontId="56" fillId="70" borderId="30" applyNumberFormat="0" applyAlignment="0" applyProtection="0">
      <alignment vertical="center"/>
    </xf>
    <xf numFmtId="0" fontId="35" fillId="55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3" fillId="46" borderId="0" applyNumberFormat="0" applyBorder="0" applyAlignment="0" applyProtection="0">
      <alignment vertical="center"/>
    </xf>
    <xf numFmtId="0" fontId="54" fillId="0" borderId="29" applyNumberFormat="0" applyFill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8" fillId="0" borderId="24" applyNumberFormat="0" applyFill="0" applyAlignment="0" applyProtection="0">
      <alignment vertical="center"/>
    </xf>
    <xf numFmtId="0" fontId="0" fillId="0" borderId="0"/>
    <xf numFmtId="0" fontId="44" fillId="58" borderId="0" applyNumberFormat="0" applyBorder="0" applyAlignment="0" applyProtection="0">
      <alignment vertical="center"/>
    </xf>
    <xf numFmtId="0" fontId="35" fillId="62" borderId="0" applyNumberFormat="0" applyBorder="0" applyAlignment="0" applyProtection="0">
      <alignment vertical="center"/>
    </xf>
    <xf numFmtId="0" fontId="39" fillId="51" borderId="0" applyNumberFormat="0" applyBorder="0" applyAlignment="0" applyProtection="0">
      <alignment vertical="center"/>
    </xf>
    <xf numFmtId="0" fontId="32" fillId="74" borderId="0" applyNumberFormat="0" applyBorder="0" applyAlignment="0" applyProtection="0">
      <alignment vertical="center"/>
    </xf>
    <xf numFmtId="0" fontId="33" fillId="6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2" fillId="66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57" fillId="52" borderId="31" applyNumberFormat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65" borderId="0" applyNumberFormat="0" applyBorder="0" applyAlignment="0" applyProtection="0">
      <alignment vertical="center"/>
    </xf>
    <xf numFmtId="0" fontId="33" fillId="73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72" borderId="0" applyNumberFormat="0" applyBorder="0" applyAlignment="0" applyProtection="0">
      <alignment vertical="center"/>
    </xf>
    <xf numFmtId="0" fontId="33" fillId="50" borderId="0" applyNumberFormat="0" applyBorder="0" applyAlignment="0" applyProtection="0">
      <alignment vertical="center"/>
    </xf>
    <xf numFmtId="0" fontId="32" fillId="71" borderId="0" applyNumberFormat="0" applyBorder="0" applyAlignment="0" applyProtection="0">
      <alignment vertical="center"/>
    </xf>
    <xf numFmtId="0" fontId="48" fillId="61" borderId="0" applyNumberFormat="0" applyBorder="0" applyAlignment="0" applyProtection="0">
      <alignment vertical="center"/>
    </xf>
    <xf numFmtId="0" fontId="35" fillId="75" borderId="0" applyNumberFormat="0" applyBorder="0" applyAlignment="0" applyProtection="0">
      <alignment vertical="center"/>
    </xf>
    <xf numFmtId="0" fontId="33" fillId="49" borderId="0" applyNumberFormat="0" applyBorder="0" applyAlignment="0" applyProtection="0">
      <alignment vertical="center"/>
    </xf>
    <xf numFmtId="0" fontId="35" fillId="68" borderId="0" applyNumberFormat="0" applyBorder="0" applyAlignment="0" applyProtection="0">
      <alignment vertical="center"/>
    </xf>
    <xf numFmtId="0" fontId="35" fillId="63" borderId="0" applyNumberFormat="0" applyBorder="0" applyAlignment="0" applyProtection="0">
      <alignment vertical="center"/>
    </xf>
    <xf numFmtId="0" fontId="35" fillId="55" borderId="0" applyNumberFormat="0" applyBorder="0" applyAlignment="0" applyProtection="0">
      <alignment vertical="center"/>
    </xf>
    <xf numFmtId="0" fontId="35" fillId="76" borderId="0" applyNumberFormat="0" applyBorder="0" applyAlignment="0" applyProtection="0">
      <alignment vertical="center"/>
    </xf>
    <xf numFmtId="0" fontId="35" fillId="69" borderId="0" applyNumberFormat="0" applyBorder="0" applyAlignment="0" applyProtection="0">
      <alignment vertical="center"/>
    </xf>
    <xf numFmtId="0" fontId="0" fillId="0" borderId="0"/>
    <xf numFmtId="0" fontId="35" fillId="77" borderId="0" applyNumberFormat="0" applyBorder="0" applyAlignment="0" applyProtection="0">
      <alignment vertical="center"/>
    </xf>
    <xf numFmtId="0" fontId="34" fillId="78" borderId="0" applyNumberFormat="0" applyBorder="0" applyAlignment="0" applyProtection="0">
      <alignment vertical="center"/>
    </xf>
    <xf numFmtId="0" fontId="34" fillId="62" borderId="0" applyNumberFormat="0" applyBorder="0" applyAlignment="0" applyProtection="0">
      <alignment vertical="center"/>
    </xf>
    <xf numFmtId="0" fontId="34" fillId="77" borderId="0" applyNumberFormat="0" applyBorder="0" applyAlignment="0" applyProtection="0">
      <alignment vertical="center"/>
    </xf>
    <xf numFmtId="0" fontId="34" fillId="79" borderId="0" applyNumberFormat="0" applyBorder="0" applyAlignment="0" applyProtection="0">
      <alignment vertical="center"/>
    </xf>
    <xf numFmtId="0" fontId="34" fillId="47" borderId="0" applyNumberFormat="0" applyBorder="0" applyAlignment="0" applyProtection="0">
      <alignment vertical="center"/>
    </xf>
    <xf numFmtId="0" fontId="34" fillId="80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60" fillId="0" borderId="33" applyNumberFormat="0" applyFill="0" applyAlignment="0" applyProtection="0">
      <alignment vertical="center"/>
    </xf>
    <xf numFmtId="0" fontId="61" fillId="0" borderId="34" applyNumberFormat="0" applyFill="0" applyAlignment="0" applyProtection="0">
      <alignment vertical="center"/>
    </xf>
    <xf numFmtId="0" fontId="59" fillId="0" borderId="32" applyNumberFormat="0" applyFill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62" fillId="6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49" fillId="0" borderId="0" applyNumberFormat="0" applyFill="0" applyBorder="0" applyAlignment="0" applyProtection="0">
      <alignment vertical="top"/>
      <protection locked="0"/>
    </xf>
    <xf numFmtId="0" fontId="50" fillId="63" borderId="0" applyNumberFormat="0" applyBorder="0" applyAlignment="0" applyProtection="0">
      <alignment vertical="center"/>
    </xf>
    <xf numFmtId="0" fontId="63" fillId="0" borderId="35" applyNumberFormat="0" applyFill="0" applyAlignment="0" applyProtection="0">
      <alignment vertical="center"/>
    </xf>
    <xf numFmtId="0" fontId="42" fillId="56" borderId="26" applyNumberFormat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6" fillId="0" borderId="36" applyNumberFormat="0" applyFill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0" fontId="34" fillId="54" borderId="0" applyNumberFormat="0" applyBorder="0" applyAlignment="0" applyProtection="0">
      <alignment vertical="center"/>
    </xf>
    <xf numFmtId="0" fontId="34" fillId="81" borderId="0" applyNumberFormat="0" applyBorder="0" applyAlignment="0" applyProtection="0">
      <alignment vertical="center"/>
    </xf>
    <xf numFmtId="0" fontId="34" fillId="82" borderId="0" applyNumberFormat="0" applyBorder="0" applyAlignment="0" applyProtection="0">
      <alignment vertical="center"/>
    </xf>
    <xf numFmtId="0" fontId="34" fillId="79" borderId="0" applyNumberFormat="0" applyBorder="0" applyAlignment="0" applyProtection="0">
      <alignment vertical="center"/>
    </xf>
    <xf numFmtId="0" fontId="34" fillId="47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55" fillId="69" borderId="25" applyNumberFormat="0" applyAlignment="0" applyProtection="0">
      <alignment vertical="center"/>
    </xf>
    <xf numFmtId="0" fontId="0" fillId="83" borderId="37" applyNumberFormat="0" applyFont="0" applyAlignment="0" applyProtection="0">
      <alignment vertical="center"/>
    </xf>
  </cellStyleXfs>
  <cellXfs count="424">
    <xf numFmtId="0" fontId="0" fillId="0" borderId="0" xfId="0" applyAlignment="1">
      <alignment vertical="center"/>
    </xf>
    <xf numFmtId="0" fontId="0" fillId="0" borderId="0" xfId="84" applyAlignment="1">
      <alignment vertical="center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justify" wrapText="1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3" fillId="0" borderId="5" xfId="0" applyFont="1" applyBorder="1" applyAlignment="1">
      <alignment horizontal="justify" wrapText="1"/>
    </xf>
    <xf numFmtId="0" fontId="3" fillId="0" borderId="4" xfId="0" applyFont="1" applyBorder="1" applyAlignment="1">
      <alignment horizontal="left" wrapText="1" indent="1"/>
    </xf>
    <xf numFmtId="0" fontId="2" fillId="0" borderId="4" xfId="0" applyFont="1" applyBorder="1" applyAlignment="1">
      <alignment horizontal="left" wrapText="1"/>
    </xf>
    <xf numFmtId="0" fontId="3" fillId="2" borderId="4" xfId="0" applyFont="1" applyFill="1" applyBorder="1" applyAlignment="1">
      <alignment horizontal="left" wrapText="1" indent="1"/>
    </xf>
    <xf numFmtId="0" fontId="3" fillId="0" borderId="4" xfId="0" applyFont="1" applyBorder="1" applyAlignment="1">
      <alignment horizontal="left" wrapText="1"/>
    </xf>
    <xf numFmtId="0" fontId="5" fillId="0" borderId="4" xfId="0" applyFont="1" applyBorder="1" applyAlignment="1">
      <alignment horizontal="left" wrapText="1"/>
    </xf>
    <xf numFmtId="0" fontId="1" fillId="0" borderId="2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0" fillId="0" borderId="4" xfId="0" applyBorder="1"/>
    <xf numFmtId="0" fontId="2" fillId="0" borderId="6" xfId="0" applyFont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7" xfId="0" applyBorder="1" applyAlignment="1">
      <alignment vertical="center"/>
    </xf>
    <xf numFmtId="0" fontId="0" fillId="3" borderId="7" xfId="0" applyFont="1" applyFill="1" applyBorder="1" applyAlignment="1">
      <alignment horizontal="center" vertical="center"/>
    </xf>
    <xf numFmtId="0" fontId="0" fillId="4" borderId="7" xfId="0" applyFont="1" applyFill="1" applyBorder="1" applyAlignment="1">
      <alignment horizontal="center" vertical="center"/>
    </xf>
    <xf numFmtId="0" fontId="0" fillId="4" borderId="0" xfId="0" applyFont="1" applyFill="1" applyAlignment="1">
      <alignment horizontal="center" vertical="center"/>
    </xf>
    <xf numFmtId="0" fontId="0" fillId="0" borderId="7" xfId="0" applyFont="1" applyBorder="1" applyAlignment="1">
      <alignment vertical="center"/>
    </xf>
    <xf numFmtId="0" fontId="0" fillId="3" borderId="7" xfId="0" applyFill="1" applyBorder="1" applyAlignment="1">
      <alignment vertical="center"/>
    </xf>
    <xf numFmtId="0" fontId="6" fillId="4" borderId="7" xfId="0" applyFont="1" applyFill="1" applyBorder="1" applyAlignment="1">
      <alignment horizontal="center" vertical="center"/>
    </xf>
    <xf numFmtId="0" fontId="0" fillId="4" borderId="0" xfId="0" applyFill="1" applyAlignment="1">
      <alignment vertical="center"/>
    </xf>
    <xf numFmtId="0" fontId="0" fillId="4" borderId="7" xfId="0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43" fontId="0" fillId="0" borderId="0" xfId="11" applyFont="1" applyAlignment="1">
      <alignment vertical="center"/>
    </xf>
    <xf numFmtId="43" fontId="0" fillId="0" borderId="7" xfId="11" applyFont="1" applyBorder="1" applyAlignment="1">
      <alignment vertical="center"/>
    </xf>
    <xf numFmtId="43" fontId="0" fillId="5" borderId="8" xfId="11" applyFont="1" applyFill="1" applyBorder="1" applyAlignment="1">
      <alignment horizontal="center" vertical="center"/>
    </xf>
    <xf numFmtId="43" fontId="0" fillId="5" borderId="7" xfId="11" applyFont="1" applyFill="1" applyBorder="1" applyAlignment="1">
      <alignment vertical="center"/>
    </xf>
    <xf numFmtId="43" fontId="0" fillId="0" borderId="7" xfId="11" applyFont="1" applyBorder="1" applyAlignment="1">
      <alignment horizontal="center" vertical="center"/>
    </xf>
    <xf numFmtId="43" fontId="0" fillId="2" borderId="7" xfId="11" applyFont="1" applyFill="1" applyBorder="1" applyAlignment="1">
      <alignment vertical="center"/>
    </xf>
    <xf numFmtId="43" fontId="0" fillId="5" borderId="9" xfId="11" applyFont="1" applyFill="1" applyBorder="1" applyAlignment="1">
      <alignment horizontal="center" vertical="center"/>
    </xf>
    <xf numFmtId="43" fontId="0" fillId="5" borderId="10" xfId="11" applyFont="1" applyFill="1" applyBorder="1" applyAlignment="1">
      <alignment horizontal="center" vertical="center"/>
    </xf>
    <xf numFmtId="43" fontId="0" fillId="6" borderId="8" xfId="11" applyFont="1" applyFill="1" applyBorder="1" applyAlignment="1">
      <alignment horizontal="center" vertical="center"/>
    </xf>
    <xf numFmtId="43" fontId="0" fillId="6" borderId="7" xfId="11" applyFont="1" applyFill="1" applyBorder="1" applyAlignment="1">
      <alignment vertical="center"/>
    </xf>
    <xf numFmtId="43" fontId="0" fillId="6" borderId="9" xfId="11" applyFont="1" applyFill="1" applyBorder="1" applyAlignment="1">
      <alignment horizontal="center" vertical="center"/>
    </xf>
    <xf numFmtId="43" fontId="0" fillId="6" borderId="10" xfId="11" applyFont="1" applyFill="1" applyBorder="1" applyAlignment="1">
      <alignment horizontal="center" vertical="center"/>
    </xf>
    <xf numFmtId="43" fontId="0" fillId="7" borderId="8" xfId="11" applyFont="1" applyFill="1" applyBorder="1" applyAlignment="1">
      <alignment horizontal="center" vertical="center"/>
    </xf>
    <xf numFmtId="43" fontId="0" fillId="7" borderId="7" xfId="11" applyFont="1" applyFill="1" applyBorder="1" applyAlignment="1">
      <alignment vertical="center"/>
    </xf>
    <xf numFmtId="43" fontId="0" fillId="7" borderId="9" xfId="11" applyFont="1" applyFill="1" applyBorder="1" applyAlignment="1">
      <alignment horizontal="center" vertical="center"/>
    </xf>
    <xf numFmtId="43" fontId="0" fillId="7" borderId="10" xfId="11" applyFont="1" applyFill="1" applyBorder="1" applyAlignment="1">
      <alignment horizontal="center" vertical="center"/>
    </xf>
    <xf numFmtId="43" fontId="0" fillId="4" borderId="8" xfId="11" applyFont="1" applyFill="1" applyBorder="1" applyAlignment="1">
      <alignment horizontal="center" vertical="center"/>
    </xf>
    <xf numFmtId="43" fontId="0" fillId="4" borderId="7" xfId="11" applyFont="1" applyFill="1" applyBorder="1" applyAlignment="1">
      <alignment vertical="center"/>
    </xf>
    <xf numFmtId="43" fontId="0" fillId="4" borderId="9" xfId="11" applyFont="1" applyFill="1" applyBorder="1" applyAlignment="1">
      <alignment horizontal="center" vertical="center"/>
    </xf>
    <xf numFmtId="43" fontId="0" fillId="4" borderId="10" xfId="11" applyFont="1" applyFill="1" applyBorder="1" applyAlignment="1">
      <alignment horizontal="center" vertical="center"/>
    </xf>
    <xf numFmtId="43" fontId="0" fillId="0" borderId="9" xfId="11" applyFont="1" applyBorder="1" applyAlignment="1">
      <alignment horizontal="center" vertical="center"/>
    </xf>
    <xf numFmtId="43" fontId="0" fillId="0" borderId="10" xfId="11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Alignment="1">
      <alignment vertical="center" wrapText="1"/>
    </xf>
    <xf numFmtId="0" fontId="0" fillId="7" borderId="7" xfId="0" applyFont="1" applyFill="1" applyBorder="1" applyAlignment="1">
      <alignment horizontal="center" vertical="center"/>
    </xf>
    <xf numFmtId="0" fontId="0" fillId="7" borderId="7" xfId="0" applyFill="1" applyBorder="1" applyAlignment="1">
      <alignment horizontal="center" vertical="center"/>
    </xf>
    <xf numFmtId="0" fontId="7" fillId="0" borderId="7" xfId="13" applyBorder="1" applyAlignment="1">
      <alignment horizontal="center" vertical="center"/>
    </xf>
    <xf numFmtId="176" fontId="0" fillId="7" borderId="7" xfId="0" applyNumberFormat="1" applyFill="1" applyBorder="1" applyAlignment="1">
      <alignment horizontal="center" vertical="center"/>
    </xf>
    <xf numFmtId="0" fontId="0" fillId="0" borderId="11" xfId="0" applyFont="1" applyFill="1" applyBorder="1" applyAlignment="1">
      <alignment horizontal="center" vertical="center"/>
    </xf>
    <xf numFmtId="176" fontId="0" fillId="0" borderId="11" xfId="0" applyNumberFormat="1" applyFill="1" applyBorder="1" applyAlignment="1">
      <alignment horizontal="center" vertical="center"/>
    </xf>
    <xf numFmtId="0" fontId="7" fillId="0" borderId="11" xfId="13" applyFill="1" applyBorder="1" applyAlignment="1">
      <alignment horizontal="center" vertical="center"/>
    </xf>
    <xf numFmtId="0" fontId="6" fillId="8" borderId="12" xfId="0" applyFont="1" applyFill="1" applyBorder="1" applyAlignment="1">
      <alignment horizontal="center" vertical="center"/>
    </xf>
    <xf numFmtId="0" fontId="6" fillId="0" borderId="8" xfId="0" applyFont="1" applyBorder="1" applyAlignment="1">
      <alignment horizontal="center" vertical="center" wrapText="1"/>
    </xf>
    <xf numFmtId="0" fontId="6" fillId="9" borderId="7" xfId="13" applyFont="1" applyFill="1" applyBorder="1" applyAlignment="1">
      <alignment horizontal="center" vertical="center"/>
    </xf>
    <xf numFmtId="0" fontId="6" fillId="9" borderId="7" xfId="0" applyFont="1" applyFill="1" applyBorder="1" applyAlignment="1">
      <alignment vertical="center"/>
    </xf>
    <xf numFmtId="0" fontId="6" fillId="0" borderId="10" xfId="0" applyFont="1" applyBorder="1" applyAlignment="1">
      <alignment horizontal="center" vertical="center" wrapText="1"/>
    </xf>
    <xf numFmtId="0" fontId="6" fillId="9" borderId="7" xfId="0" applyFont="1" applyFill="1" applyBorder="1" applyAlignment="1">
      <alignment vertical="center" wrapText="1"/>
    </xf>
    <xf numFmtId="0" fontId="6" fillId="0" borderId="7" xfId="0" applyFont="1" applyBorder="1" applyAlignment="1">
      <alignment vertical="center"/>
    </xf>
    <xf numFmtId="43" fontId="6" fillId="2" borderId="7" xfId="0" applyNumberFormat="1" applyFont="1" applyFill="1" applyBorder="1" applyAlignment="1">
      <alignment vertical="center"/>
    </xf>
    <xf numFmtId="0" fontId="6" fillId="0" borderId="7" xfId="0" applyFont="1" applyFill="1" applyBorder="1" applyAlignment="1">
      <alignment vertical="center"/>
    </xf>
    <xf numFmtId="43" fontId="6" fillId="2" borderId="7" xfId="11" applyFont="1" applyFill="1" applyBorder="1" applyAlignment="1">
      <alignment vertical="center"/>
    </xf>
    <xf numFmtId="10" fontId="6" fillId="2" borderId="7" xfId="14" applyNumberFormat="1" applyFont="1" applyFill="1" applyBorder="1" applyAlignment="1">
      <alignment vertical="center"/>
    </xf>
    <xf numFmtId="43" fontId="6" fillId="0" borderId="7" xfId="11" applyFont="1" applyBorder="1" applyAlignment="1">
      <alignment vertical="center"/>
    </xf>
    <xf numFmtId="0" fontId="6" fillId="0" borderId="7" xfId="0" applyFont="1" applyBorder="1" applyAlignment="1">
      <alignment vertical="center" wrapText="1"/>
    </xf>
    <xf numFmtId="0" fontId="6" fillId="2" borderId="7" xfId="0" applyFont="1" applyFill="1" applyBorder="1" applyAlignment="1">
      <alignment vertical="center"/>
    </xf>
    <xf numFmtId="0" fontId="8" fillId="8" borderId="7" xfId="0" applyFont="1" applyFill="1" applyBorder="1" applyAlignment="1">
      <alignment vertical="center"/>
    </xf>
    <xf numFmtId="43" fontId="8" fillId="8" borderId="7" xfId="14" applyNumberFormat="1" applyFont="1" applyFill="1" applyBorder="1" applyAlignment="1">
      <alignment vertical="center"/>
    </xf>
    <xf numFmtId="43" fontId="8" fillId="8" borderId="7" xfId="11" applyFont="1" applyFill="1" applyBorder="1" applyAlignment="1">
      <alignment vertical="center"/>
    </xf>
    <xf numFmtId="0" fontId="8" fillId="8" borderId="7" xfId="0" applyFont="1" applyFill="1" applyBorder="1" applyAlignment="1">
      <alignment vertical="center" wrapText="1"/>
    </xf>
    <xf numFmtId="43" fontId="0" fillId="0" borderId="0" xfId="0" applyNumberFormat="1" applyAlignment="1">
      <alignment vertical="center"/>
    </xf>
    <xf numFmtId="0" fontId="6" fillId="10" borderId="7" xfId="0" applyFont="1" applyFill="1" applyBorder="1" applyAlignment="1">
      <alignment vertical="center"/>
    </xf>
    <xf numFmtId="0" fontId="6" fillId="10" borderId="7" xfId="0" applyFont="1" applyFill="1" applyBorder="1" applyAlignment="1">
      <alignment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11" borderId="0" xfId="0" applyFont="1" applyFill="1" applyAlignment="1">
      <alignment vertical="center" wrapText="1"/>
    </xf>
    <xf numFmtId="0" fontId="0" fillId="0" borderId="0" xfId="0" applyAlignment="1">
      <alignment horizontal="center" vertical="center" wrapText="1"/>
    </xf>
    <xf numFmtId="43" fontId="0" fillId="11" borderId="0" xfId="0" applyNumberFormat="1" applyFill="1" applyAlignment="1">
      <alignment vertical="center"/>
    </xf>
    <xf numFmtId="178" fontId="0" fillId="0" borderId="0" xfId="0" applyNumberFormat="1" applyAlignment="1">
      <alignment horizontal="center" vertical="center"/>
    </xf>
    <xf numFmtId="43" fontId="0" fillId="0" borderId="0" xfId="0" applyNumberFormat="1" applyFill="1" applyAlignment="1">
      <alignment vertical="center"/>
    </xf>
    <xf numFmtId="43" fontId="0" fillId="11" borderId="0" xfId="11" applyNumberFormat="1" applyFont="1" applyFill="1" applyAlignment="1">
      <alignment vertical="center"/>
    </xf>
    <xf numFmtId="43" fontId="0" fillId="0" borderId="0" xfId="11" applyFont="1" applyFill="1" applyAlignment="1">
      <alignment vertical="center"/>
    </xf>
    <xf numFmtId="178" fontId="0" fillId="0" borderId="0" xfId="0" applyNumberFormat="1" applyAlignment="1">
      <alignment vertical="center"/>
    </xf>
    <xf numFmtId="179" fontId="0" fillId="11" borderId="0" xfId="11" applyNumberFormat="1" applyFont="1" applyFill="1" applyAlignment="1">
      <alignment vertical="center"/>
    </xf>
    <xf numFmtId="10" fontId="0" fillId="0" borderId="0" xfId="14" applyNumberFormat="1" applyFont="1" applyAlignment="1">
      <alignment vertical="center"/>
    </xf>
    <xf numFmtId="43" fontId="9" fillId="0" borderId="0" xfId="11" applyFont="1" applyAlignment="1">
      <alignment horizontal="center" vertical="center"/>
    </xf>
    <xf numFmtId="0" fontId="9" fillId="11" borderId="0" xfId="0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177" fontId="9" fillId="0" borderId="0" xfId="0" applyNumberFormat="1" applyFont="1" applyAlignment="1">
      <alignment horizontal="center" vertical="center"/>
    </xf>
    <xf numFmtId="0" fontId="8" fillId="0" borderId="7" xfId="0" applyFont="1" applyBorder="1" applyAlignment="1">
      <alignment vertical="center"/>
    </xf>
    <xf numFmtId="9" fontId="8" fillId="0" borderId="7" xfId="0" applyNumberFormat="1" applyFont="1" applyBorder="1" applyAlignment="1">
      <alignment vertical="center"/>
    </xf>
    <xf numFmtId="9" fontId="0" fillId="0" borderId="7" xfId="14" applyFont="1" applyBorder="1" applyAlignment="1">
      <alignment vertical="center"/>
    </xf>
    <xf numFmtId="9" fontId="0" fillId="0" borderId="0" xfId="14" applyFont="1" applyBorder="1" applyAlignment="1">
      <alignment vertical="center"/>
    </xf>
    <xf numFmtId="0" fontId="10" fillId="4" borderId="7" xfId="0" applyFont="1" applyFill="1" applyBorder="1" applyAlignment="1">
      <alignment horizontal="center" vertical="center"/>
    </xf>
    <xf numFmtId="43" fontId="10" fillId="4" borderId="7" xfId="11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/>
    </xf>
    <xf numFmtId="0" fontId="8" fillId="12" borderId="7" xfId="0" applyFont="1" applyFill="1" applyBorder="1" applyAlignment="1">
      <alignment horizontal="center" vertical="center"/>
    </xf>
    <xf numFmtId="43" fontId="11" fillId="12" borderId="7" xfId="11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 wrapText="1"/>
    </xf>
    <xf numFmtId="43" fontId="10" fillId="4" borderId="7" xfId="0" applyNumberFormat="1" applyFont="1" applyFill="1" applyBorder="1" applyAlignment="1">
      <alignment horizontal="center" vertical="center" wrapText="1"/>
    </xf>
    <xf numFmtId="43" fontId="10" fillId="4" borderId="7" xfId="11" applyFont="1" applyFill="1" applyBorder="1" applyAlignment="1">
      <alignment horizontal="center" vertical="center"/>
    </xf>
    <xf numFmtId="43" fontId="8" fillId="4" borderId="7" xfId="11" applyFont="1" applyFill="1" applyBorder="1" applyAlignment="1">
      <alignment horizontal="center" vertical="center"/>
    </xf>
    <xf numFmtId="180" fontId="8" fillId="12" borderId="7" xfId="0" applyNumberFormat="1" applyFont="1" applyFill="1" applyBorder="1" applyAlignment="1">
      <alignment horizontal="center" vertical="center"/>
    </xf>
    <xf numFmtId="180" fontId="9" fillId="12" borderId="7" xfId="0" applyNumberFormat="1" applyFont="1" applyFill="1" applyBorder="1" applyAlignment="1">
      <alignment horizontal="center" vertical="center"/>
    </xf>
    <xf numFmtId="43" fontId="10" fillId="4" borderId="7" xfId="11" applyNumberFormat="1" applyFont="1" applyFill="1" applyBorder="1" applyAlignment="1">
      <alignment horizontal="center" vertical="center"/>
    </xf>
    <xf numFmtId="0" fontId="8" fillId="13" borderId="7" xfId="0" applyFont="1" applyFill="1" applyBorder="1" applyAlignment="1">
      <alignment horizontal="center" vertical="center"/>
    </xf>
    <xf numFmtId="43" fontId="8" fillId="13" borderId="7" xfId="11" applyFont="1" applyFill="1" applyBorder="1" applyAlignment="1">
      <alignment horizontal="center" vertical="center"/>
    </xf>
    <xf numFmtId="0" fontId="10" fillId="14" borderId="7" xfId="0" applyFont="1" applyFill="1" applyBorder="1" applyAlignment="1">
      <alignment horizontal="center" vertical="center"/>
    </xf>
    <xf numFmtId="43" fontId="10" fillId="14" borderId="7" xfId="0" applyNumberFormat="1" applyFont="1" applyFill="1" applyBorder="1" applyAlignment="1">
      <alignment horizontal="center" vertical="center"/>
    </xf>
    <xf numFmtId="43" fontId="9" fillId="2" borderId="0" xfId="11" applyFont="1" applyFill="1" applyAlignment="1">
      <alignment horizontal="center" vertical="center"/>
    </xf>
    <xf numFmtId="43" fontId="9" fillId="11" borderId="0" xfId="0" applyNumberFormat="1" applyFont="1" applyFill="1" applyAlignment="1">
      <alignment horizontal="center" vertical="center"/>
    </xf>
    <xf numFmtId="43" fontId="9" fillId="0" borderId="0" xfId="0" applyNumberFormat="1" applyFont="1" applyAlignment="1">
      <alignment horizontal="center" vertical="center"/>
    </xf>
    <xf numFmtId="178" fontId="9" fillId="0" borderId="0" xfId="0" applyNumberFormat="1" applyFont="1" applyAlignment="1">
      <alignment horizontal="center" vertical="center"/>
    </xf>
    <xf numFmtId="177" fontId="0" fillId="0" borderId="0" xfId="0" applyNumberFormat="1" applyAlignment="1">
      <alignment vertical="center"/>
    </xf>
    <xf numFmtId="0" fontId="12" fillId="0" borderId="0" xfId="0" applyFont="1" applyBorder="1" applyAlignment="1">
      <alignment vertical="center"/>
    </xf>
    <xf numFmtId="0" fontId="9" fillId="12" borderId="7" xfId="0" applyFont="1" applyFill="1" applyBorder="1" applyAlignment="1">
      <alignment horizontal="center" vertical="center"/>
    </xf>
    <xf numFmtId="0" fontId="9" fillId="15" borderId="7" xfId="0" applyFont="1" applyFill="1" applyBorder="1" applyAlignment="1">
      <alignment horizontal="center" vertical="center"/>
    </xf>
    <xf numFmtId="0" fontId="9" fillId="16" borderId="7" xfId="0" applyFont="1" applyFill="1" applyBorder="1" applyAlignment="1">
      <alignment horizontal="center" vertical="center" wrapText="1"/>
    </xf>
    <xf numFmtId="0" fontId="9" fillId="16" borderId="7" xfId="0" applyFont="1" applyFill="1" applyBorder="1" applyAlignment="1">
      <alignment horizontal="center" vertical="center"/>
    </xf>
    <xf numFmtId="0" fontId="8" fillId="16" borderId="7" xfId="0" applyFont="1" applyFill="1" applyBorder="1" applyAlignment="1">
      <alignment horizontal="center" vertical="center"/>
    </xf>
    <xf numFmtId="177" fontId="9" fillId="16" borderId="7" xfId="0" applyNumberFormat="1" applyFont="1" applyFill="1" applyBorder="1" applyAlignment="1">
      <alignment horizontal="center" vertical="center"/>
    </xf>
    <xf numFmtId="43" fontId="9" fillId="12" borderId="7" xfId="0" applyNumberFormat="1" applyFont="1" applyFill="1" applyBorder="1" applyAlignment="1">
      <alignment horizontal="center" vertical="center"/>
    </xf>
    <xf numFmtId="43" fontId="9" fillId="15" borderId="7" xfId="0" applyNumberFormat="1" applyFont="1" applyFill="1" applyBorder="1" applyAlignment="1">
      <alignment horizontal="center" vertical="center"/>
    </xf>
    <xf numFmtId="43" fontId="9" fillId="16" borderId="7" xfId="0" applyNumberFormat="1" applyFont="1" applyFill="1" applyBorder="1" applyAlignment="1">
      <alignment horizontal="center" vertical="center"/>
    </xf>
    <xf numFmtId="180" fontId="8" fillId="16" borderId="7" xfId="0" applyNumberFormat="1" applyFont="1" applyFill="1" applyBorder="1" applyAlignment="1">
      <alignment horizontal="center" vertical="center"/>
    </xf>
    <xf numFmtId="180" fontId="9" fillId="16" borderId="7" xfId="0" applyNumberFormat="1" applyFont="1" applyFill="1" applyBorder="1" applyAlignment="1">
      <alignment horizontal="center" vertical="center"/>
    </xf>
    <xf numFmtId="0" fontId="8" fillId="15" borderId="7" xfId="0" applyFont="1" applyFill="1" applyBorder="1" applyAlignment="1">
      <alignment horizontal="center" vertical="center"/>
    </xf>
    <xf numFmtId="43" fontId="10" fillId="16" borderId="7" xfId="11" applyFont="1" applyFill="1" applyBorder="1" applyAlignment="1">
      <alignment horizontal="center" vertical="center" wrapText="1"/>
    </xf>
    <xf numFmtId="43" fontId="8" fillId="15" borderId="7" xfId="11" applyFont="1" applyFill="1" applyBorder="1" applyAlignment="1">
      <alignment horizontal="center" vertical="center"/>
    </xf>
    <xf numFmtId="43" fontId="8" fillId="16" borderId="7" xfId="11" applyFont="1" applyFill="1" applyBorder="1" applyAlignment="1">
      <alignment horizontal="center" vertical="center"/>
    </xf>
    <xf numFmtId="177" fontId="8" fillId="16" borderId="7" xfId="11" applyNumberFormat="1" applyFont="1" applyFill="1" applyBorder="1" applyAlignment="1">
      <alignment horizontal="center" vertical="center"/>
    </xf>
    <xf numFmtId="178" fontId="9" fillId="11" borderId="0" xfId="0" applyNumberFormat="1" applyFont="1" applyFill="1" applyAlignment="1">
      <alignment horizontal="center" vertical="center"/>
    </xf>
    <xf numFmtId="177" fontId="9" fillId="11" borderId="0" xfId="0" applyNumberFormat="1" applyFont="1" applyFill="1" applyAlignment="1">
      <alignment horizontal="center" vertical="center"/>
    </xf>
    <xf numFmtId="0" fontId="8" fillId="17" borderId="7" xfId="0" applyFont="1" applyFill="1" applyBorder="1" applyAlignment="1">
      <alignment horizontal="center" vertical="center"/>
    </xf>
    <xf numFmtId="43" fontId="9" fillId="11" borderId="13" xfId="11" applyFont="1" applyFill="1" applyBorder="1" applyAlignment="1">
      <alignment horizontal="center" vertical="center"/>
    </xf>
    <xf numFmtId="43" fontId="8" fillId="17" borderId="7" xfId="0" applyNumberFormat="1" applyFont="1" applyFill="1" applyBorder="1" applyAlignment="1">
      <alignment horizontal="center" vertical="center"/>
    </xf>
    <xf numFmtId="43" fontId="9" fillId="11" borderId="0" xfId="11" applyFont="1" applyFill="1" applyAlignment="1">
      <alignment horizontal="center" vertical="center"/>
    </xf>
    <xf numFmtId="0" fontId="9" fillId="17" borderId="7" xfId="0" applyFont="1" applyFill="1" applyBorder="1" applyAlignment="1">
      <alignment horizontal="center" vertical="center"/>
    </xf>
    <xf numFmtId="43" fontId="8" fillId="17" borderId="7" xfId="11" applyFont="1" applyFill="1" applyBorder="1" applyAlignment="1">
      <alignment horizontal="center" vertical="center"/>
    </xf>
    <xf numFmtId="180" fontId="0" fillId="0" borderId="0" xfId="66" applyNumberFormat="1" applyFont="1"/>
    <xf numFmtId="0" fontId="6" fillId="4" borderId="7" xfId="0" applyFont="1" applyFill="1" applyBorder="1" applyAlignment="1">
      <alignment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9" fontId="6" fillId="0" borderId="7" xfId="14" applyNumberFormat="1" applyFont="1" applyBorder="1" applyAlignment="1">
      <alignment vertical="center"/>
    </xf>
    <xf numFmtId="180" fontId="6" fillId="2" borderId="7" xfId="0" applyNumberFormat="1" applyFont="1" applyFill="1" applyBorder="1" applyAlignment="1">
      <alignment vertical="center"/>
    </xf>
    <xf numFmtId="180" fontId="6" fillId="0" borderId="7" xfId="0" applyNumberFormat="1" applyFont="1" applyBorder="1" applyAlignment="1">
      <alignment vertical="center"/>
    </xf>
    <xf numFmtId="178" fontId="6" fillId="2" borderId="7" xfId="0" applyNumberFormat="1" applyFont="1" applyFill="1" applyBorder="1" applyAlignment="1">
      <alignment vertical="center"/>
    </xf>
    <xf numFmtId="0" fontId="6" fillId="0" borderId="10" xfId="0" applyFont="1" applyBorder="1" applyAlignment="1">
      <alignment horizontal="center" vertical="center"/>
    </xf>
    <xf numFmtId="180" fontId="0" fillId="5" borderId="0" xfId="66" applyNumberFormat="1" applyFont="1" applyFill="1"/>
    <xf numFmtId="0" fontId="8" fillId="0" borderId="14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0" fillId="4" borderId="7" xfId="0" applyFont="1" applyFill="1" applyBorder="1" applyAlignment="1">
      <alignment vertical="center"/>
    </xf>
    <xf numFmtId="10" fontId="0" fillId="4" borderId="7" xfId="14" applyNumberFormat="1" applyFont="1" applyFill="1" applyBorder="1" applyAlignment="1">
      <alignment vertical="center"/>
    </xf>
    <xf numFmtId="0" fontId="0" fillId="0" borderId="12" xfId="0" applyFont="1" applyFill="1" applyBorder="1" applyAlignment="1">
      <alignment horizontal="center" vertical="center"/>
    </xf>
    <xf numFmtId="176" fontId="0" fillId="0" borderId="12" xfId="0" applyNumberFormat="1" applyFill="1" applyBorder="1" applyAlignment="1">
      <alignment horizontal="center" vertical="center"/>
    </xf>
    <xf numFmtId="0" fontId="7" fillId="0" borderId="12" xfId="13" applyFill="1" applyBorder="1" applyAlignment="1">
      <alignment horizontal="center" vertical="center"/>
    </xf>
    <xf numFmtId="0" fontId="0" fillId="0" borderId="12" xfId="0" applyFont="1" applyFill="1" applyBorder="1" applyAlignment="1">
      <alignment vertical="center"/>
    </xf>
    <xf numFmtId="10" fontId="0" fillId="0" borderId="12" xfId="14" applyNumberFormat="1" applyFont="1" applyFill="1" applyBorder="1" applyAlignment="1">
      <alignment vertical="center"/>
    </xf>
    <xf numFmtId="0" fontId="0" fillId="0" borderId="12" xfId="0" applyFill="1" applyBorder="1" applyAlignment="1">
      <alignment vertical="center"/>
    </xf>
    <xf numFmtId="0" fontId="6" fillId="18" borderId="12" xfId="0" applyFont="1" applyFill="1" applyBorder="1" applyAlignment="1">
      <alignment horizontal="center" vertical="center"/>
    </xf>
    <xf numFmtId="10" fontId="8" fillId="4" borderId="7" xfId="14" applyNumberFormat="1" applyFont="1" applyFill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8" fillId="19" borderId="15" xfId="0" applyFont="1" applyFill="1" applyBorder="1" applyAlignment="1">
      <alignment horizontal="center" vertical="center"/>
    </xf>
    <xf numFmtId="0" fontId="8" fillId="19" borderId="16" xfId="0" applyFont="1" applyFill="1" applyBorder="1" applyAlignment="1">
      <alignment horizontal="center" vertical="center"/>
    </xf>
    <xf numFmtId="43" fontId="8" fillId="19" borderId="7" xfId="0" applyNumberFormat="1" applyFont="1" applyFill="1" applyBorder="1" applyAlignment="1">
      <alignment horizontal="center" vertical="center"/>
    </xf>
    <xf numFmtId="43" fontId="10" fillId="19" borderId="7" xfId="11" applyFont="1" applyFill="1" applyBorder="1" applyAlignment="1">
      <alignment horizontal="center" vertical="center"/>
    </xf>
    <xf numFmtId="10" fontId="8" fillId="19" borderId="7" xfId="14" applyNumberFormat="1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43" fontId="8" fillId="2" borderId="7" xfId="11" applyFont="1" applyFill="1" applyBorder="1" applyAlignment="1">
      <alignment horizontal="center" vertical="center"/>
    </xf>
    <xf numFmtId="10" fontId="8" fillId="2" borderId="7" xfId="14" applyNumberFormat="1" applyFont="1" applyFill="1" applyBorder="1" applyAlignment="1">
      <alignment horizontal="center" vertical="center"/>
    </xf>
    <xf numFmtId="181" fontId="8" fillId="4" borderId="7" xfId="11" applyNumberFormat="1" applyFont="1" applyFill="1" applyBorder="1" applyAlignment="1">
      <alignment horizontal="center" vertical="center"/>
    </xf>
    <xf numFmtId="182" fontId="8" fillId="4" borderId="7" xfId="11" applyNumberFormat="1" applyFont="1" applyFill="1" applyBorder="1" applyAlignment="1">
      <alignment horizontal="center" vertical="center"/>
    </xf>
    <xf numFmtId="181" fontId="8" fillId="2" borderId="7" xfId="11" applyNumberFormat="1" applyFont="1" applyFill="1" applyBorder="1" applyAlignment="1">
      <alignment horizontal="center" vertical="center"/>
    </xf>
    <xf numFmtId="182" fontId="8" fillId="2" borderId="7" xfId="11" applyNumberFormat="1" applyFont="1" applyFill="1" applyBorder="1" applyAlignment="1">
      <alignment horizontal="center" vertical="center"/>
    </xf>
    <xf numFmtId="0" fontId="8" fillId="19" borderId="11" xfId="0" applyFont="1" applyFill="1" applyBorder="1" applyAlignment="1">
      <alignment horizontal="center" vertical="center"/>
    </xf>
    <xf numFmtId="0" fontId="8" fillId="19" borderId="17" xfId="0" applyFont="1" applyFill="1" applyBorder="1" applyAlignment="1">
      <alignment horizontal="center" vertical="center"/>
    </xf>
    <xf numFmtId="43" fontId="8" fillId="19" borderId="7" xfId="11" applyFont="1" applyFill="1" applyBorder="1" applyAlignment="1">
      <alignment horizontal="center" vertical="center"/>
    </xf>
    <xf numFmtId="0" fontId="8" fillId="19" borderId="7" xfId="0" applyFont="1" applyFill="1" applyBorder="1" applyAlignment="1">
      <alignment horizontal="center" vertical="center"/>
    </xf>
    <xf numFmtId="0" fontId="8" fillId="7" borderId="12" xfId="0" applyFont="1" applyFill="1" applyBorder="1" applyAlignment="1">
      <alignment horizontal="center" vertical="center"/>
    </xf>
    <xf numFmtId="0" fontId="8" fillId="7" borderId="18" xfId="0" applyFont="1" applyFill="1" applyBorder="1" applyAlignment="1">
      <alignment horizontal="center" vertical="center"/>
    </xf>
    <xf numFmtId="43" fontId="8" fillId="7" borderId="7" xfId="0" applyNumberFormat="1" applyFont="1" applyFill="1" applyBorder="1" applyAlignment="1">
      <alignment horizontal="center" vertical="center"/>
    </xf>
    <xf numFmtId="43" fontId="8" fillId="7" borderId="7" xfId="11" applyFont="1" applyFill="1" applyBorder="1" applyAlignment="1">
      <alignment horizontal="center" vertical="center"/>
    </xf>
    <xf numFmtId="10" fontId="8" fillId="7" borderId="7" xfId="14" applyNumberFormat="1" applyFont="1" applyFill="1" applyBorder="1" applyAlignment="1">
      <alignment horizontal="center" vertical="center"/>
    </xf>
    <xf numFmtId="0" fontId="8" fillId="7" borderId="7" xfId="0" applyFont="1" applyFill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 wrapText="1"/>
    </xf>
    <xf numFmtId="4" fontId="9" fillId="0" borderId="7" xfId="0" applyNumberFormat="1" applyFont="1" applyBorder="1" applyAlignment="1">
      <alignment horizontal="center" vertical="center"/>
    </xf>
    <xf numFmtId="2" fontId="9" fillId="0" borderId="7" xfId="0" applyNumberFormat="1" applyFont="1" applyBorder="1" applyAlignment="1">
      <alignment horizontal="center" vertical="center"/>
    </xf>
    <xf numFmtId="43" fontId="9" fillId="0" borderId="7" xfId="0" applyNumberFormat="1" applyFont="1" applyBorder="1" applyAlignment="1">
      <alignment horizontal="center" vertical="center"/>
    </xf>
    <xf numFmtId="10" fontId="0" fillId="0" borderId="0" xfId="0" applyNumberFormat="1" applyAlignment="1">
      <alignment vertical="center"/>
    </xf>
    <xf numFmtId="0" fontId="9" fillId="0" borderId="0" xfId="0" applyFont="1" applyAlignment="1">
      <alignment horizontal="center" vertical="center" wrapText="1"/>
    </xf>
    <xf numFmtId="0" fontId="0" fillId="5" borderId="0" xfId="0" applyFill="1" applyAlignment="1">
      <alignment vertical="center"/>
    </xf>
    <xf numFmtId="0" fontId="0" fillId="8" borderId="7" xfId="0" applyFill="1" applyBorder="1" applyAlignment="1">
      <alignment vertical="center"/>
    </xf>
    <xf numFmtId="0" fontId="0" fillId="8" borderId="14" xfId="0" applyFill="1" applyBorder="1" applyAlignment="1">
      <alignment horizontal="center" vertical="center"/>
    </xf>
    <xf numFmtId="0" fontId="0" fillId="8" borderId="12" xfId="0" applyFill="1" applyBorder="1" applyAlignment="1">
      <alignment horizontal="center" vertical="center"/>
    </xf>
    <xf numFmtId="43" fontId="13" fillId="8" borderId="7" xfId="11" applyFont="1" applyFill="1" applyBorder="1">
      <alignment vertical="center"/>
    </xf>
    <xf numFmtId="43" fontId="13" fillId="2" borderId="7" xfId="11" applyFont="1" applyFill="1" applyBorder="1" applyAlignment="1"/>
    <xf numFmtId="43" fontId="13" fillId="2" borderId="7" xfId="11" applyFont="1" applyFill="1" applyBorder="1" applyAlignment="1">
      <alignment horizontal="right"/>
    </xf>
    <xf numFmtId="43" fontId="14" fillId="2" borderId="7" xfId="11" applyFont="1" applyFill="1" applyBorder="1" applyAlignment="1"/>
    <xf numFmtId="43" fontId="13" fillId="2" borderId="7" xfId="11" applyFont="1" applyFill="1" applyBorder="1" applyAlignment="1">
      <alignment horizontal="center" vertical="center"/>
    </xf>
    <xf numFmtId="43" fontId="14" fillId="2" borderId="7" xfId="11" applyFont="1" applyFill="1" applyBorder="1" applyAlignment="1">
      <alignment horizontal="center" vertical="center"/>
    </xf>
    <xf numFmtId="43" fontId="13" fillId="2" borderId="7" xfId="11" applyFont="1" applyFill="1" applyBorder="1">
      <alignment vertical="center"/>
    </xf>
    <xf numFmtId="0" fontId="0" fillId="2" borderId="7" xfId="0" applyFill="1" applyBorder="1" applyAlignment="1">
      <alignment vertical="center"/>
    </xf>
    <xf numFmtId="0" fontId="0" fillId="8" borderId="18" xfId="0" applyFill="1" applyBorder="1" applyAlignment="1">
      <alignment horizontal="center" vertical="center"/>
    </xf>
    <xf numFmtId="0" fontId="0" fillId="20" borderId="14" xfId="0" applyFill="1" applyBorder="1" applyAlignment="1">
      <alignment horizontal="center" vertical="center"/>
    </xf>
    <xf numFmtId="0" fontId="0" fillId="20" borderId="12" xfId="0" applyFill="1" applyBorder="1" applyAlignment="1">
      <alignment horizontal="center" vertical="center"/>
    </xf>
    <xf numFmtId="43" fontId="13" fillId="20" borderId="7" xfId="11" applyFont="1" applyFill="1" applyBorder="1">
      <alignment vertical="center"/>
    </xf>
    <xf numFmtId="0" fontId="0" fillId="20" borderId="7" xfId="0" applyFill="1" applyBorder="1" applyAlignment="1">
      <alignment horizontal="center" vertical="center"/>
    </xf>
    <xf numFmtId="43" fontId="13" fillId="5" borderId="7" xfId="11" applyFont="1" applyFill="1" applyBorder="1" applyAlignment="1"/>
    <xf numFmtId="43" fontId="14" fillId="5" borderId="7" xfId="11" applyFont="1" applyFill="1" applyBorder="1" applyAlignment="1"/>
    <xf numFmtId="43" fontId="15" fillId="2" borderId="7" xfId="11" applyFont="1" applyFill="1" applyBorder="1">
      <alignment vertical="center"/>
    </xf>
    <xf numFmtId="43" fontId="16" fillId="2" borderId="7" xfId="11" applyFont="1" applyFill="1" applyBorder="1">
      <alignment vertical="center"/>
    </xf>
    <xf numFmtId="43" fontId="16" fillId="5" borderId="7" xfId="11" applyFont="1" applyFill="1" applyBorder="1">
      <alignment vertical="center"/>
    </xf>
    <xf numFmtId="43" fontId="13" fillId="5" borderId="7" xfId="11" applyFont="1" applyFill="1" applyBorder="1">
      <alignment vertical="center"/>
    </xf>
    <xf numFmtId="0" fontId="0" fillId="20" borderId="18" xfId="0" applyFill="1" applyBorder="1" applyAlignment="1">
      <alignment horizontal="center" vertical="center"/>
    </xf>
    <xf numFmtId="0" fontId="0" fillId="21" borderId="14" xfId="0" applyFill="1" applyBorder="1" applyAlignment="1">
      <alignment horizontal="center" vertical="center"/>
    </xf>
    <xf numFmtId="43" fontId="13" fillId="21" borderId="7" xfId="11" applyFont="1" applyFill="1" applyBorder="1">
      <alignment vertical="center"/>
    </xf>
    <xf numFmtId="0" fontId="0" fillId="21" borderId="12" xfId="0" applyFill="1" applyBorder="1" applyAlignment="1">
      <alignment horizontal="center" vertical="center"/>
    </xf>
    <xf numFmtId="43" fontId="0" fillId="5" borderId="7" xfId="0" applyNumberFormat="1" applyFill="1" applyBorder="1" applyAlignment="1">
      <alignment vertical="center"/>
    </xf>
    <xf numFmtId="0" fontId="0" fillId="5" borderId="7" xfId="0" applyFill="1" applyBorder="1" applyAlignment="1">
      <alignment vertical="center"/>
    </xf>
    <xf numFmtId="43" fontId="15" fillId="5" borderId="7" xfId="11" applyFont="1" applyFill="1" applyBorder="1">
      <alignment vertical="center"/>
    </xf>
    <xf numFmtId="180" fontId="9" fillId="0" borderId="0" xfId="66" applyNumberFormat="1" applyFont="1"/>
    <xf numFmtId="180" fontId="6" fillId="0" borderId="0" xfId="66" applyNumberFormat="1" applyFont="1"/>
    <xf numFmtId="180" fontId="0" fillId="22" borderId="0" xfId="66" applyNumberFormat="1" applyFont="1" applyFill="1"/>
    <xf numFmtId="180" fontId="17" fillId="22" borderId="0" xfId="66" applyNumberFormat="1" applyFont="1" applyFill="1"/>
    <xf numFmtId="180" fontId="0" fillId="0" borderId="0" xfId="66" applyNumberFormat="1" applyFont="1" applyAlignment="1">
      <alignment horizontal="center" vertical="center"/>
    </xf>
    <xf numFmtId="180" fontId="0" fillId="0" borderId="0" xfId="0" applyNumberFormat="1" applyAlignment="1">
      <alignment horizontal="center" vertical="center" wrapText="1"/>
    </xf>
    <xf numFmtId="180" fontId="18" fillId="23" borderId="7" xfId="88" applyNumberFormat="1" applyFont="1" applyFill="1" applyBorder="1" applyAlignment="1">
      <alignment horizontal="center" vertical="center" wrapText="1"/>
    </xf>
    <xf numFmtId="180" fontId="18" fillId="24" borderId="7" xfId="88" applyNumberFormat="1" applyFont="1" applyFill="1" applyBorder="1" applyAlignment="1">
      <alignment horizontal="center" wrapText="1"/>
    </xf>
    <xf numFmtId="180" fontId="18" fillId="23" borderId="7" xfId="88" applyNumberFormat="1" applyFont="1" applyFill="1" applyBorder="1" applyAlignment="1">
      <alignment horizontal="center" wrapText="1"/>
    </xf>
    <xf numFmtId="180" fontId="10" fillId="23" borderId="7" xfId="66" applyNumberFormat="1" applyFont="1" applyFill="1" applyBorder="1" applyAlignment="1">
      <alignment horizontal="center" vertical="center"/>
    </xf>
    <xf numFmtId="180" fontId="18" fillId="2" borderId="7" xfId="88" applyNumberFormat="1" applyFont="1" applyFill="1" applyBorder="1" applyAlignment="1">
      <alignment horizontal="center" vertical="center" wrapText="1"/>
    </xf>
    <xf numFmtId="180" fontId="17" fillId="23" borderId="7" xfId="88" applyNumberFormat="1" applyFont="1" applyFill="1" applyBorder="1" applyAlignment="1">
      <alignment horizontal="center" vertical="center" wrapText="1"/>
    </xf>
    <xf numFmtId="180" fontId="17" fillId="2" borderId="7" xfId="88" applyNumberFormat="1" applyFont="1" applyFill="1" applyBorder="1" applyAlignment="1">
      <alignment horizontal="center" vertical="center" wrapText="1"/>
    </xf>
    <xf numFmtId="180" fontId="18" fillId="3" borderId="7" xfId="88" applyNumberFormat="1" applyFont="1" applyFill="1" applyBorder="1" applyAlignment="1">
      <alignment horizontal="left" vertical="center" wrapText="1"/>
    </xf>
    <xf numFmtId="180" fontId="18" fillId="3" borderId="7" xfId="88" applyNumberFormat="1" applyFont="1" applyFill="1" applyBorder="1" applyAlignment="1">
      <alignment horizontal="center" vertical="center" wrapText="1"/>
    </xf>
    <xf numFmtId="180" fontId="18" fillId="25" borderId="7" xfId="88" applyNumberFormat="1" applyFont="1" applyFill="1" applyBorder="1" applyAlignment="1">
      <alignment horizontal="left" vertical="center" wrapText="1"/>
    </xf>
    <xf numFmtId="180" fontId="18" fillId="5" borderId="7" xfId="88" applyNumberFormat="1" applyFont="1" applyFill="1" applyBorder="1" applyAlignment="1">
      <alignment horizontal="center" vertical="center" wrapText="1"/>
    </xf>
    <xf numFmtId="180" fontId="18" fillId="19" borderId="7" xfId="88" applyNumberFormat="1" applyFont="1" applyFill="1" applyBorder="1" applyAlignment="1">
      <alignment horizontal="left" vertical="center" wrapText="1"/>
    </xf>
    <xf numFmtId="180" fontId="18" fillId="19" borderId="7" xfId="88" applyNumberFormat="1" applyFont="1" applyFill="1" applyBorder="1" applyAlignment="1">
      <alignment horizontal="center" vertical="center" wrapText="1"/>
    </xf>
    <xf numFmtId="180" fontId="17" fillId="0" borderId="7" xfId="88" applyNumberFormat="1" applyFont="1" applyBorder="1" applyAlignment="1">
      <alignment horizontal="left" vertical="center" wrapText="1"/>
    </xf>
    <xf numFmtId="180" fontId="18" fillId="0" borderId="7" xfId="88" applyNumberFormat="1" applyFont="1" applyBorder="1" applyAlignment="1">
      <alignment horizontal="center" vertical="center" wrapText="1"/>
    </xf>
    <xf numFmtId="180" fontId="19" fillId="0" borderId="7" xfId="11" applyNumberFormat="1" applyFont="1" applyBorder="1" applyAlignment="1">
      <alignment horizontal="center" vertical="center" wrapText="1"/>
    </xf>
    <xf numFmtId="180" fontId="19" fillId="0" borderId="7" xfId="11" applyNumberFormat="1" applyFont="1" applyFill="1" applyBorder="1" applyAlignment="1">
      <alignment horizontal="center" vertical="center" wrapText="1"/>
    </xf>
    <xf numFmtId="180" fontId="17" fillId="26" borderId="7" xfId="88" applyNumberFormat="1" applyFont="1" applyFill="1" applyBorder="1" applyAlignment="1">
      <alignment horizontal="left" vertical="center" wrapText="1"/>
    </xf>
    <xf numFmtId="180" fontId="17" fillId="22" borderId="7" xfId="88" applyNumberFormat="1" applyFont="1" applyFill="1" applyBorder="1" applyAlignment="1">
      <alignment horizontal="left" vertical="center" wrapText="1"/>
    </xf>
    <xf numFmtId="49" fontId="17" fillId="0" borderId="7" xfId="88" applyNumberFormat="1" applyFont="1" applyBorder="1" applyAlignment="1">
      <alignment horizontal="left" vertical="center" wrapText="1"/>
    </xf>
    <xf numFmtId="180" fontId="17" fillId="5" borderId="7" xfId="88" applyNumberFormat="1" applyFont="1" applyFill="1" applyBorder="1" applyAlignment="1">
      <alignment horizontal="left" vertical="center" wrapText="1"/>
    </xf>
    <xf numFmtId="180" fontId="17" fillId="0" borderId="9" xfId="88" applyNumberFormat="1" applyFont="1" applyBorder="1" applyAlignment="1">
      <alignment horizontal="left" vertical="center" wrapText="1"/>
    </xf>
    <xf numFmtId="180" fontId="17" fillId="0" borderId="8" xfId="88" applyNumberFormat="1" applyFont="1" applyBorder="1" applyAlignment="1">
      <alignment horizontal="left" vertical="center" wrapText="1"/>
    </xf>
    <xf numFmtId="180" fontId="20" fillId="0" borderId="7" xfId="88" applyNumberFormat="1" applyFont="1" applyBorder="1" applyAlignment="1">
      <alignment horizontal="left" vertical="center" wrapText="1"/>
    </xf>
    <xf numFmtId="180" fontId="20" fillId="22" borderId="7" xfId="88" applyNumberFormat="1" applyFont="1" applyFill="1" applyBorder="1" applyAlignment="1">
      <alignment horizontal="left" vertical="center" wrapText="1"/>
    </xf>
    <xf numFmtId="180" fontId="19" fillId="22" borderId="7" xfId="11" applyNumberFormat="1" applyFont="1" applyFill="1" applyBorder="1" applyAlignment="1">
      <alignment horizontal="center" vertical="center" wrapText="1"/>
    </xf>
    <xf numFmtId="180" fontId="20" fillId="26" borderId="7" xfId="88" applyNumberFormat="1" applyFont="1" applyFill="1" applyBorder="1" applyAlignment="1">
      <alignment horizontal="left" vertical="center" wrapText="1"/>
    </xf>
    <xf numFmtId="180" fontId="21" fillId="0" borderId="7" xfId="88" applyNumberFormat="1" applyFont="1" applyBorder="1" applyAlignment="1">
      <alignment horizontal="left" vertical="center" wrapText="1"/>
    </xf>
    <xf numFmtId="180" fontId="18" fillId="23" borderId="19" xfId="88" applyNumberFormat="1" applyFont="1" applyFill="1" applyBorder="1" applyAlignment="1">
      <alignment horizontal="center" wrapText="1"/>
    </xf>
    <xf numFmtId="180" fontId="18" fillId="23" borderId="16" xfId="88" applyNumberFormat="1" applyFont="1" applyFill="1" applyBorder="1" applyAlignment="1">
      <alignment horizontal="center" wrapText="1"/>
    </xf>
    <xf numFmtId="180" fontId="18" fillId="23" borderId="7" xfId="66" applyNumberFormat="1" applyFont="1" applyFill="1" applyBorder="1" applyAlignment="1">
      <alignment horizontal="center" vertical="center"/>
    </xf>
    <xf numFmtId="180" fontId="18" fillId="23" borderId="19" xfId="66" applyNumberFormat="1" applyFont="1" applyFill="1" applyBorder="1" applyAlignment="1">
      <alignment horizontal="center" vertical="center"/>
    </xf>
    <xf numFmtId="180" fontId="18" fillId="23" borderId="16" xfId="66" applyNumberFormat="1" applyFont="1" applyFill="1" applyBorder="1" applyAlignment="1">
      <alignment horizontal="center" vertical="center"/>
    </xf>
    <xf numFmtId="180" fontId="10" fillId="23" borderId="19" xfId="88" applyNumberFormat="1" applyFont="1" applyFill="1" applyBorder="1" applyAlignment="1">
      <alignment horizontal="center" wrapText="1"/>
    </xf>
    <xf numFmtId="180" fontId="10" fillId="23" borderId="16" xfId="88" applyNumberFormat="1" applyFont="1" applyFill="1" applyBorder="1" applyAlignment="1">
      <alignment horizontal="center" wrapText="1"/>
    </xf>
    <xf numFmtId="180" fontId="18" fillId="6" borderId="7" xfId="88" applyNumberFormat="1" applyFont="1" applyFill="1" applyBorder="1" applyAlignment="1">
      <alignment horizontal="center" wrapText="1"/>
    </xf>
    <xf numFmtId="0" fontId="6" fillId="5" borderId="7" xfId="0" applyFont="1" applyFill="1" applyBorder="1" applyAlignment="1">
      <alignment vertical="center" wrapText="1"/>
    </xf>
    <xf numFmtId="180" fontId="0" fillId="0" borderId="7" xfId="66" applyNumberFormat="1" applyFont="1" applyBorder="1"/>
    <xf numFmtId="180" fontId="18" fillId="5" borderId="8" xfId="88" applyNumberFormat="1" applyFont="1" applyFill="1" applyBorder="1" applyAlignment="1">
      <alignment horizontal="center" vertical="center" wrapText="1"/>
    </xf>
    <xf numFmtId="180" fontId="9" fillId="0" borderId="7" xfId="88" applyNumberFormat="1" applyFont="1" applyBorder="1" applyAlignment="1">
      <alignment horizontal="center" vertical="center"/>
    </xf>
    <xf numFmtId="180" fontId="18" fillId="5" borderId="9" xfId="88" applyNumberFormat="1" applyFont="1" applyFill="1" applyBorder="1" applyAlignment="1">
      <alignment horizontal="center" vertical="center" wrapText="1"/>
    </xf>
    <xf numFmtId="180" fontId="9" fillId="0" borderId="0" xfId="88" applyNumberFormat="1" applyFont="1"/>
    <xf numFmtId="180" fontId="0" fillId="0" borderId="0" xfId="88" applyNumberFormat="1" applyFont="1"/>
    <xf numFmtId="180" fontId="18" fillId="5" borderId="10" xfId="88" applyNumberFormat="1" applyFont="1" applyFill="1" applyBorder="1" applyAlignment="1">
      <alignment horizontal="center" vertical="center" wrapText="1"/>
    </xf>
    <xf numFmtId="180" fontId="0" fillId="0" borderId="7" xfId="88" applyNumberFormat="1" applyFont="1" applyBorder="1"/>
    <xf numFmtId="180" fontId="18" fillId="5" borderId="19" xfId="88" applyNumberFormat="1" applyFont="1" applyFill="1" applyBorder="1" applyAlignment="1">
      <alignment horizontal="center" vertical="center" wrapText="1"/>
    </xf>
    <xf numFmtId="180" fontId="18" fillId="0" borderId="7" xfId="88" applyNumberFormat="1" applyFont="1" applyBorder="1" applyAlignment="1">
      <alignment vertical="center"/>
    </xf>
    <xf numFmtId="180" fontId="6" fillId="0" borderId="7" xfId="88" applyNumberFormat="1" applyFont="1" applyBorder="1"/>
    <xf numFmtId="180" fontId="6" fillId="0" borderId="0" xfId="88" applyNumberFormat="1" applyFont="1"/>
    <xf numFmtId="180" fontId="17" fillId="5" borderId="19" xfId="88" applyNumberFormat="1" applyFont="1" applyFill="1" applyBorder="1" applyAlignment="1">
      <alignment horizontal="center" vertical="center" wrapText="1"/>
    </xf>
    <xf numFmtId="180" fontId="0" fillId="22" borderId="7" xfId="88" applyNumberFormat="1" applyFont="1" applyFill="1" applyBorder="1"/>
    <xf numFmtId="180" fontId="0" fillId="22" borderId="0" xfId="88" applyNumberFormat="1" applyFont="1" applyFill="1"/>
    <xf numFmtId="180" fontId="17" fillId="0" borderId="7" xfId="88" applyNumberFormat="1" applyFont="1" applyBorder="1" applyAlignment="1">
      <alignment horizontal="center" vertical="center" wrapText="1"/>
    </xf>
    <xf numFmtId="180" fontId="17" fillId="5" borderId="19" xfId="88" applyNumberFormat="1" applyFont="1" applyFill="1" applyBorder="1" applyAlignment="1">
      <alignment horizontal="left" vertical="center" wrapText="1"/>
    </xf>
    <xf numFmtId="0" fontId="22" fillId="0" borderId="7" xfId="0" applyFont="1" applyBorder="1"/>
    <xf numFmtId="180" fontId="0" fillId="0" borderId="0" xfId="88" applyNumberFormat="1" applyFont="1" applyAlignment="1">
      <alignment wrapText="1"/>
    </xf>
    <xf numFmtId="0" fontId="22" fillId="0" borderId="0" xfId="0" applyFont="1"/>
    <xf numFmtId="180" fontId="17" fillId="0" borderId="7" xfId="66" applyNumberFormat="1" applyFont="1" applyBorder="1" applyAlignment="1">
      <alignment horizontal="left" vertical="center"/>
    </xf>
    <xf numFmtId="180" fontId="17" fillId="26" borderId="7" xfId="66" applyNumberFormat="1" applyFont="1" applyFill="1" applyBorder="1" applyAlignment="1">
      <alignment horizontal="left" vertical="center"/>
    </xf>
    <xf numFmtId="180" fontId="23" fillId="25" borderId="7" xfId="88" applyNumberFormat="1" applyFont="1" applyFill="1" applyBorder="1" applyAlignment="1">
      <alignment horizontal="left" vertical="center" wrapText="1"/>
    </xf>
    <xf numFmtId="180" fontId="18" fillId="8" borderId="7" xfId="88" applyNumberFormat="1" applyFont="1" applyFill="1" applyBorder="1" applyAlignment="1">
      <alignment horizontal="center" vertical="center" wrapText="1"/>
    </xf>
    <xf numFmtId="43" fontId="18" fillId="5" borderId="7" xfId="88" applyNumberFormat="1" applyFont="1" applyFill="1" applyBorder="1" applyAlignment="1">
      <alignment horizontal="center" vertical="center" wrapText="1"/>
    </xf>
    <xf numFmtId="49" fontId="17" fillId="5" borderId="7" xfId="88" applyNumberFormat="1" applyFont="1" applyFill="1" applyBorder="1" applyAlignment="1">
      <alignment horizontal="left" vertical="center" wrapText="1"/>
    </xf>
    <xf numFmtId="180" fontId="18" fillId="27" borderId="7" xfId="88" applyNumberFormat="1" applyFont="1" applyFill="1" applyBorder="1" applyAlignment="1">
      <alignment horizontal="center" vertical="center" wrapText="1"/>
    </xf>
    <xf numFmtId="180" fontId="17" fillId="28" borderId="7" xfId="88" applyNumberFormat="1" applyFont="1" applyFill="1" applyBorder="1" applyAlignment="1">
      <alignment horizontal="left" vertical="center" wrapText="1"/>
    </xf>
    <xf numFmtId="180" fontId="19" fillId="5" borderId="7" xfId="11" applyNumberFormat="1" applyFont="1" applyFill="1" applyBorder="1" applyAlignment="1">
      <alignment horizontal="center" vertical="center" wrapText="1"/>
    </xf>
    <xf numFmtId="180" fontId="21" fillId="5" borderId="7" xfId="88" applyNumberFormat="1" applyFont="1" applyFill="1" applyBorder="1" applyAlignment="1">
      <alignment horizontal="left" vertical="center" wrapText="1"/>
    </xf>
    <xf numFmtId="180" fontId="18" fillId="27" borderId="7" xfId="88" applyNumberFormat="1" applyFont="1" applyFill="1" applyBorder="1" applyAlignment="1">
      <alignment horizontal="left" vertical="center" wrapText="1"/>
    </xf>
    <xf numFmtId="49" fontId="24" fillId="5" borderId="7" xfId="66" applyNumberFormat="1" applyFont="1" applyFill="1" applyBorder="1" applyAlignment="1">
      <alignment horizontal="left" vertical="center" wrapText="1"/>
    </xf>
    <xf numFmtId="180" fontId="18" fillId="25" borderId="9" xfId="88" applyNumberFormat="1" applyFont="1" applyFill="1" applyBorder="1" applyAlignment="1">
      <alignment horizontal="left" vertical="center" wrapText="1"/>
    </xf>
    <xf numFmtId="180" fontId="18" fillId="8" borderId="7" xfId="88" applyNumberFormat="1" applyFont="1" applyFill="1" applyBorder="1" applyAlignment="1">
      <alignment horizontal="left" vertical="center" wrapText="1"/>
    </xf>
    <xf numFmtId="180" fontId="19" fillId="0" borderId="19" xfId="11" applyNumberFormat="1" applyFont="1" applyBorder="1" applyAlignment="1">
      <alignment horizontal="right" vertical="center" wrapText="1"/>
    </xf>
    <xf numFmtId="180" fontId="19" fillId="5" borderId="7" xfId="11" applyNumberFormat="1" applyFont="1" applyFill="1" applyBorder="1" applyAlignment="1">
      <alignment horizontal="right" vertical="center" wrapText="1"/>
    </xf>
    <xf numFmtId="180" fontId="19" fillId="2" borderId="7" xfId="11" applyNumberFormat="1" applyFont="1" applyFill="1" applyBorder="1" applyAlignment="1">
      <alignment horizontal="center" vertical="center" wrapText="1"/>
    </xf>
    <xf numFmtId="180" fontId="17" fillId="0" borderId="7" xfId="88" applyNumberFormat="1" applyFont="1" applyBorder="1"/>
    <xf numFmtId="180" fontId="17" fillId="22" borderId="0" xfId="88" applyNumberFormat="1" applyFont="1" applyFill="1"/>
    <xf numFmtId="180" fontId="0" fillId="5" borderId="7" xfId="88" applyNumberFormat="1" applyFont="1" applyFill="1" applyBorder="1"/>
    <xf numFmtId="180" fontId="0" fillId="5" borderId="0" xfId="88" applyNumberFormat="1" applyFont="1" applyFill="1"/>
    <xf numFmtId="180" fontId="17" fillId="5" borderId="19" xfId="88" applyNumberFormat="1" applyFont="1" applyFill="1" applyBorder="1" applyAlignment="1">
      <alignment vertical="center" wrapText="1"/>
    </xf>
    <xf numFmtId="49" fontId="17" fillId="5" borderId="19" xfId="88" applyNumberFormat="1" applyFont="1" applyFill="1" applyBorder="1" applyAlignment="1">
      <alignment horizontal="center" vertical="center" wrapText="1"/>
    </xf>
    <xf numFmtId="180" fontId="17" fillId="0" borderId="0" xfId="88" applyNumberFormat="1" applyFont="1"/>
    <xf numFmtId="180" fontId="17" fillId="0" borderId="7" xfId="66" applyNumberFormat="1" applyFont="1" applyBorder="1" applyAlignment="1" applyProtection="1">
      <alignment horizontal="left" vertical="center"/>
      <protection locked="0"/>
    </xf>
    <xf numFmtId="180" fontId="17" fillId="0" borderId="0" xfId="66" applyNumberFormat="1" applyFont="1" applyAlignment="1">
      <alignment horizontal="left" vertical="center"/>
    </xf>
    <xf numFmtId="180" fontId="18" fillId="29" borderId="7" xfId="88" applyNumberFormat="1" applyFont="1" applyFill="1" applyBorder="1" applyAlignment="1">
      <alignment horizontal="left" vertical="center" wrapText="1"/>
    </xf>
    <xf numFmtId="180" fontId="18" fillId="29" borderId="7" xfId="88" applyNumberFormat="1" applyFont="1" applyFill="1" applyBorder="1" applyAlignment="1">
      <alignment horizontal="center" vertical="center" wrapText="1"/>
    </xf>
    <xf numFmtId="180" fontId="17" fillId="29" borderId="7" xfId="88" applyNumberFormat="1" applyFont="1" applyFill="1" applyBorder="1" applyAlignment="1">
      <alignment horizontal="left" vertical="center" wrapText="1"/>
    </xf>
    <xf numFmtId="180" fontId="17" fillId="29" borderId="7" xfId="88" applyNumberFormat="1" applyFont="1" applyFill="1" applyBorder="1" applyAlignment="1">
      <alignment horizontal="center" vertical="center" wrapText="1"/>
    </xf>
    <xf numFmtId="180" fontId="19" fillId="29" borderId="7" xfId="11" applyNumberFormat="1" applyFont="1" applyFill="1" applyBorder="1" applyAlignment="1">
      <alignment horizontal="center" vertical="center" wrapText="1"/>
    </xf>
    <xf numFmtId="183" fontId="18" fillId="6" borderId="7" xfId="88" applyNumberFormat="1" applyFont="1" applyFill="1" applyBorder="1" applyAlignment="1">
      <alignment horizontal="center" vertical="center" wrapText="1"/>
    </xf>
    <xf numFmtId="180" fontId="18" fillId="7" borderId="7" xfId="88" applyNumberFormat="1" applyFont="1" applyFill="1" applyBorder="1" applyAlignment="1">
      <alignment horizontal="center" vertical="center" wrapText="1"/>
    </xf>
    <xf numFmtId="180" fontId="25" fillId="0" borderId="7" xfId="88" applyNumberFormat="1" applyFont="1" applyBorder="1" applyAlignment="1">
      <alignment vertical="center"/>
    </xf>
    <xf numFmtId="180" fontId="26" fillId="5" borderId="19" xfId="88" applyNumberFormat="1" applyFont="1" applyFill="1" applyBorder="1" applyAlignment="1">
      <alignment horizontal="right" vertical="center" wrapText="1"/>
    </xf>
    <xf numFmtId="49" fontId="18" fillId="29" borderId="7" xfId="88" applyNumberFormat="1" applyFont="1" applyFill="1" applyBorder="1" applyAlignment="1">
      <alignment horizontal="left" vertical="center" wrapText="1"/>
    </xf>
    <xf numFmtId="180" fontId="0" fillId="29" borderId="7" xfId="66" applyNumberFormat="1" applyFont="1" applyFill="1" applyBorder="1"/>
    <xf numFmtId="49" fontId="27" fillId="29" borderId="7" xfId="0" applyNumberFormat="1" applyFont="1" applyFill="1" applyBorder="1" applyAlignment="1">
      <alignment vertical="center"/>
    </xf>
    <xf numFmtId="49" fontId="28" fillId="29" borderId="7" xfId="0" applyNumberFormat="1" applyFont="1" applyFill="1" applyBorder="1" applyAlignment="1">
      <alignment vertical="center"/>
    </xf>
    <xf numFmtId="180" fontId="18" fillId="30" borderId="7" xfId="88" applyNumberFormat="1" applyFont="1" applyFill="1" applyBorder="1" applyAlignment="1">
      <alignment horizontal="center" vertical="center" wrapText="1"/>
    </xf>
    <xf numFmtId="180" fontId="18" fillId="31" borderId="7" xfId="88" applyNumberFormat="1" applyFont="1" applyFill="1" applyBorder="1" applyAlignment="1">
      <alignment horizontal="center" vertical="center" wrapText="1"/>
    </xf>
    <xf numFmtId="49" fontId="18" fillId="32" borderId="20" xfId="88" applyNumberFormat="1" applyFont="1" applyFill="1" applyBorder="1" applyAlignment="1">
      <alignment horizontal="center" vertical="center" wrapText="1"/>
    </xf>
    <xf numFmtId="180" fontId="18" fillId="32" borderId="7" xfId="88" applyNumberFormat="1" applyFont="1" applyFill="1" applyBorder="1" applyAlignment="1">
      <alignment horizontal="center" vertical="center" wrapText="1"/>
    </xf>
    <xf numFmtId="180" fontId="29" fillId="30" borderId="7" xfId="88" applyNumberFormat="1" applyFont="1" applyFill="1" applyBorder="1" applyAlignment="1">
      <alignment horizontal="center" vertical="center" wrapText="1"/>
    </xf>
    <xf numFmtId="180" fontId="29" fillId="31" borderId="7" xfId="88" applyNumberFormat="1" applyFont="1" applyFill="1" applyBorder="1" applyAlignment="1">
      <alignment horizontal="center" vertical="center" wrapText="1"/>
    </xf>
    <xf numFmtId="180" fontId="0" fillId="5" borderId="19" xfId="66" applyNumberFormat="1" applyFont="1" applyFill="1" applyBorder="1"/>
    <xf numFmtId="0" fontId="0" fillId="33" borderId="0" xfId="0" applyFill="1" applyAlignment="1">
      <alignment vertical="center"/>
    </xf>
    <xf numFmtId="0" fontId="0" fillId="33" borderId="0" xfId="0" applyFill="1" applyAlignment="1">
      <alignment horizontal="center" vertical="center" wrapText="1"/>
    </xf>
    <xf numFmtId="0" fontId="0" fillId="6" borderId="7" xfId="0" applyFont="1" applyFill="1" applyBorder="1" applyAlignment="1">
      <alignment horizontal="center" vertical="center"/>
    </xf>
    <xf numFmtId="0" fontId="0" fillId="6" borderId="7" xfId="0" applyFill="1" applyBorder="1" applyAlignment="1">
      <alignment horizontal="center" vertical="center"/>
    </xf>
    <xf numFmtId="0" fontId="7" fillId="34" borderId="7" xfId="13" applyFill="1" applyBorder="1" applyAlignment="1">
      <alignment horizontal="center" vertical="center"/>
    </xf>
    <xf numFmtId="176" fontId="0" fillId="6" borderId="7" xfId="0" applyNumberFormat="1" applyFill="1" applyBorder="1" applyAlignment="1">
      <alignment horizontal="center" vertical="center"/>
    </xf>
    <xf numFmtId="0" fontId="6" fillId="8" borderId="12" xfId="0" applyFont="1" applyFill="1" applyBorder="1" applyAlignment="1">
      <alignment horizontal="center" vertical="center" wrapText="1"/>
    </xf>
    <xf numFmtId="0" fontId="6" fillId="8" borderId="7" xfId="0" applyFont="1" applyFill="1" applyBorder="1" applyAlignment="1">
      <alignment horizontal="center" vertical="center"/>
    </xf>
    <xf numFmtId="0" fontId="6" fillId="8" borderId="8" xfId="0" applyFont="1" applyFill="1" applyBorder="1" applyAlignment="1">
      <alignment horizontal="center" vertical="center"/>
    </xf>
    <xf numFmtId="0" fontId="6" fillId="33" borderId="7" xfId="0" applyFont="1" applyFill="1" applyBorder="1" applyAlignment="1">
      <alignment horizontal="center" vertical="center" wrapText="1"/>
    </xf>
    <xf numFmtId="0" fontId="6" fillId="33" borderId="7" xfId="0" applyFont="1" applyFill="1" applyBorder="1" applyAlignment="1">
      <alignment horizontal="center" vertical="center"/>
    </xf>
    <xf numFmtId="43" fontId="6" fillId="0" borderId="7" xfId="0" applyNumberFormat="1" applyFont="1" applyFill="1" applyBorder="1" applyAlignment="1" applyProtection="1">
      <alignment horizontal="center" vertical="center"/>
      <protection locked="0"/>
    </xf>
    <xf numFmtId="43" fontId="6" fillId="33" borderId="7" xfId="0" applyNumberFormat="1" applyFont="1" applyFill="1" applyBorder="1" applyAlignment="1">
      <alignment horizontal="center" vertical="center"/>
    </xf>
    <xf numFmtId="0" fontId="6" fillId="0" borderId="7" xfId="0" applyFont="1" applyFill="1" applyBorder="1" applyAlignment="1" applyProtection="1">
      <alignment horizontal="center" vertical="center" wrapText="1"/>
      <protection locked="0"/>
    </xf>
    <xf numFmtId="43" fontId="6" fillId="2" borderId="7" xfId="0" applyNumberFormat="1" applyFont="1" applyFill="1" applyBorder="1" applyAlignment="1" applyProtection="1">
      <alignment horizontal="center" vertical="center"/>
      <protection locked="0"/>
    </xf>
    <xf numFmtId="0" fontId="6" fillId="2" borderId="7" xfId="0" applyFont="1" applyFill="1" applyBorder="1" applyAlignment="1" applyProtection="1">
      <alignment horizontal="right" vertical="center" wrapText="1"/>
      <protection locked="0"/>
    </xf>
    <xf numFmtId="43" fontId="6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7" xfId="0" applyFont="1" applyFill="1" applyBorder="1" applyAlignment="1" applyProtection="1">
      <alignment horizontal="center" vertical="center"/>
    </xf>
    <xf numFmtId="0" fontId="6" fillId="0" borderId="7" xfId="0" applyFont="1" applyFill="1" applyBorder="1" applyAlignment="1" applyProtection="1">
      <alignment horizontal="center" vertical="center"/>
      <protection locked="0"/>
    </xf>
    <xf numFmtId="0" fontId="6" fillId="33" borderId="7" xfId="0" applyNumberFormat="1" applyFont="1" applyFill="1" applyBorder="1" applyAlignment="1" applyProtection="1">
      <alignment horizontal="center" vertical="center"/>
    </xf>
    <xf numFmtId="0" fontId="6" fillId="33" borderId="8" xfId="0" applyNumberFormat="1" applyFont="1" applyFill="1" applyBorder="1" applyAlignment="1" applyProtection="1">
      <alignment horizontal="center" vertical="center"/>
    </xf>
    <xf numFmtId="41" fontId="6" fillId="0" borderId="7" xfId="0" applyNumberFormat="1" applyFont="1" applyFill="1" applyBorder="1" applyAlignment="1" applyProtection="1">
      <alignment horizontal="center" vertical="center"/>
      <protection locked="0"/>
    </xf>
    <xf numFmtId="0" fontId="6" fillId="33" borderId="19" xfId="0" applyFont="1" applyFill="1" applyBorder="1" applyAlignment="1">
      <alignment horizontal="center" vertical="center"/>
    </xf>
    <xf numFmtId="0" fontId="6" fillId="33" borderId="16" xfId="0" applyFont="1" applyFill="1" applyBorder="1" applyAlignment="1">
      <alignment horizontal="center" vertical="center"/>
    </xf>
    <xf numFmtId="9" fontId="6" fillId="5" borderId="7" xfId="0" applyNumberFormat="1" applyFont="1" applyFill="1" applyBorder="1" applyAlignment="1">
      <alignment horizontal="center" vertical="center"/>
    </xf>
    <xf numFmtId="43" fontId="6" fillId="0" borderId="7" xfId="0" applyNumberFormat="1" applyFont="1" applyFill="1" applyBorder="1" applyAlignment="1" applyProtection="1">
      <alignment vertical="center" wrapText="1"/>
      <protection locked="0"/>
    </xf>
    <xf numFmtId="43" fontId="6" fillId="0" borderId="7" xfId="0" applyNumberFormat="1" applyFont="1" applyFill="1" applyBorder="1" applyAlignment="1" applyProtection="1">
      <alignment vertical="center"/>
      <protection locked="0"/>
    </xf>
    <xf numFmtId="0" fontId="0" fillId="33" borderId="7" xfId="0" applyFont="1" applyFill="1" applyBorder="1" applyAlignment="1">
      <alignment horizontal="center" vertical="center" wrapText="1"/>
    </xf>
    <xf numFmtId="43" fontId="0" fillId="33" borderId="7" xfId="0" applyNumberFormat="1" applyFont="1" applyFill="1" applyBorder="1" applyAlignment="1">
      <alignment horizontal="center" vertical="center" wrapText="1"/>
    </xf>
    <xf numFmtId="0" fontId="8" fillId="33" borderId="7" xfId="84" applyFont="1" applyFill="1" applyBorder="1" applyAlignment="1">
      <alignment horizontal="center" vertical="center" readingOrder="1"/>
    </xf>
    <xf numFmtId="0" fontId="0" fillId="33" borderId="7" xfId="0" applyFill="1" applyBorder="1" applyAlignment="1">
      <alignment horizontal="center" vertical="center" wrapText="1"/>
    </xf>
    <xf numFmtId="0" fontId="0" fillId="0" borderId="7" xfId="0" applyFill="1" applyBorder="1" applyAlignment="1" applyProtection="1">
      <alignment horizontal="center" vertical="center" wrapText="1"/>
      <protection locked="0"/>
    </xf>
    <xf numFmtId="0" fontId="0" fillId="33" borderId="8" xfId="0" applyFont="1" applyFill="1" applyBorder="1" applyAlignment="1">
      <alignment horizontal="center" vertical="center" wrapText="1"/>
    </xf>
    <xf numFmtId="0" fontId="0" fillId="33" borderId="9" xfId="0" applyFont="1" applyFill="1" applyBorder="1" applyAlignment="1">
      <alignment horizontal="center" vertical="center" wrapText="1"/>
    </xf>
    <xf numFmtId="0" fontId="0" fillId="5" borderId="7" xfId="0" applyFill="1" applyBorder="1" applyAlignment="1">
      <alignment horizontal="center" vertical="center" wrapText="1"/>
    </xf>
    <xf numFmtId="0" fontId="0" fillId="33" borderId="10" xfId="0" applyFont="1" applyFill="1" applyBorder="1" applyAlignment="1">
      <alignment horizontal="center" vertical="center" wrapText="1"/>
    </xf>
    <xf numFmtId="43" fontId="0" fillId="33" borderId="0" xfId="0" applyNumberFormat="1" applyFill="1" applyAlignment="1">
      <alignment horizontal="center" vertical="center" wrapText="1"/>
    </xf>
    <xf numFmtId="0" fontId="0" fillId="23" borderId="0" xfId="0" applyFill="1" applyAlignment="1">
      <alignment horizontal="center" vertical="center"/>
    </xf>
    <xf numFmtId="0" fontId="0" fillId="23" borderId="0" xfId="0" applyFill="1" applyAlignment="1">
      <alignment vertical="center"/>
    </xf>
    <xf numFmtId="0" fontId="0" fillId="35" borderId="7" xfId="0" applyFont="1" applyFill="1" applyBorder="1" applyAlignment="1">
      <alignment horizontal="center" vertical="center"/>
    </xf>
    <xf numFmtId="0" fontId="0" fillId="35" borderId="7" xfId="0" applyFill="1" applyBorder="1" applyAlignment="1">
      <alignment horizontal="center" vertical="center"/>
    </xf>
    <xf numFmtId="0" fontId="7" fillId="14" borderId="7" xfId="13" applyFont="1" applyFill="1" applyBorder="1" applyAlignment="1">
      <alignment horizontal="center" vertical="center"/>
    </xf>
    <xf numFmtId="0" fontId="7" fillId="14" borderId="7" xfId="13" applyFill="1" applyBorder="1" applyAlignment="1">
      <alignment horizontal="center" vertical="center"/>
    </xf>
    <xf numFmtId="176" fontId="0" fillId="35" borderId="7" xfId="0" applyNumberFormat="1" applyFill="1" applyBorder="1" applyAlignment="1">
      <alignment horizontal="center" vertical="center"/>
    </xf>
    <xf numFmtId="0" fontId="6" fillId="36" borderId="12" xfId="0" applyFont="1" applyFill="1" applyBorder="1" applyAlignment="1">
      <alignment horizontal="center" vertical="center"/>
    </xf>
    <xf numFmtId="0" fontId="0" fillId="36" borderId="7" xfId="0" applyFont="1" applyFill="1" applyBorder="1" applyAlignment="1">
      <alignment horizontal="center" vertical="center"/>
    </xf>
    <xf numFmtId="0" fontId="0" fillId="8" borderId="7" xfId="0" applyFont="1" applyFill="1" applyBorder="1" applyAlignment="1">
      <alignment horizontal="center" vertical="center"/>
    </xf>
    <xf numFmtId="0" fontId="0" fillId="0" borderId="7" xfId="0" applyFont="1" applyFill="1" applyBorder="1" applyAlignment="1" applyProtection="1">
      <alignment horizontal="center" vertical="center"/>
      <protection locked="0"/>
    </xf>
    <xf numFmtId="0" fontId="0" fillId="23" borderId="7" xfId="0" applyFont="1" applyFill="1" applyBorder="1" applyAlignment="1">
      <alignment horizontal="center" vertical="center" wrapText="1"/>
    </xf>
    <xf numFmtId="0" fontId="0" fillId="0" borderId="8" xfId="0" applyFont="1" applyFill="1" applyBorder="1" applyAlignment="1" applyProtection="1">
      <alignment horizontal="center" vertical="center" wrapText="1"/>
      <protection locked="0"/>
    </xf>
    <xf numFmtId="0" fontId="0" fillId="23" borderId="7" xfId="0" applyFill="1" applyBorder="1" applyAlignment="1">
      <alignment vertical="center"/>
    </xf>
    <xf numFmtId="0" fontId="0" fillId="0" borderId="7" xfId="0" applyFill="1" applyBorder="1" applyAlignment="1" applyProtection="1">
      <alignment horizontal="center" vertical="center"/>
      <protection locked="0"/>
    </xf>
    <xf numFmtId="0" fontId="0" fillId="23" borderId="7" xfId="0" applyFont="1" applyFill="1" applyBorder="1" applyAlignment="1">
      <alignment horizontal="center" vertical="center"/>
    </xf>
    <xf numFmtId="0" fontId="0" fillId="0" borderId="9" xfId="0" applyFont="1" applyFill="1" applyBorder="1" applyAlignment="1" applyProtection="1">
      <alignment horizontal="center" vertical="center" wrapText="1"/>
      <protection locked="0"/>
    </xf>
    <xf numFmtId="43" fontId="0" fillId="0" borderId="7" xfId="0" applyNumberFormat="1" applyFill="1" applyBorder="1" applyAlignment="1" applyProtection="1">
      <alignment horizontal="center" vertical="center"/>
      <protection locked="0"/>
    </xf>
    <xf numFmtId="43" fontId="0" fillId="23" borderId="7" xfId="0" applyNumberFormat="1" applyFont="1" applyFill="1" applyBorder="1" applyAlignment="1">
      <alignment vertical="center"/>
    </xf>
    <xf numFmtId="0" fontId="0" fillId="5" borderId="0" xfId="0" applyFill="1" applyAlignment="1">
      <alignment horizontal="center" vertical="center"/>
    </xf>
    <xf numFmtId="43" fontId="30" fillId="23" borderId="7" xfId="11" applyFont="1" applyFill="1" applyBorder="1" applyAlignment="1" applyProtection="1">
      <alignment horizontal="center" vertical="center"/>
      <protection locked="0"/>
    </xf>
    <xf numFmtId="0" fontId="0" fillId="0" borderId="10" xfId="0" applyFont="1" applyFill="1" applyBorder="1" applyAlignment="1" applyProtection="1">
      <alignment horizontal="left" vertical="center" wrapText="1"/>
      <protection locked="0"/>
    </xf>
    <xf numFmtId="43" fontId="0" fillId="23" borderId="7" xfId="0" applyNumberFormat="1" applyFill="1" applyBorder="1" applyAlignment="1">
      <alignment vertical="center"/>
    </xf>
    <xf numFmtId="0" fontId="0" fillId="0" borderId="7" xfId="0" applyFill="1" applyBorder="1" applyAlignment="1" applyProtection="1">
      <alignment vertical="center"/>
      <protection locked="0"/>
    </xf>
    <xf numFmtId="43" fontId="30" fillId="23" borderId="7" xfId="11" applyFont="1" applyFill="1" applyBorder="1" applyAlignment="1">
      <alignment horizontal="center" vertical="center"/>
    </xf>
    <xf numFmtId="0" fontId="0" fillId="8" borderId="7" xfId="0" applyFont="1" applyFill="1" applyBorder="1" applyAlignment="1">
      <alignment horizontal="center" vertical="center" wrapText="1"/>
    </xf>
    <xf numFmtId="0" fontId="0" fillId="0" borderId="19" xfId="0" applyFill="1" applyBorder="1" applyAlignment="1" applyProtection="1">
      <alignment vertical="center"/>
      <protection locked="0"/>
    </xf>
    <xf numFmtId="0" fontId="0" fillId="0" borderId="19" xfId="0" applyFill="1" applyBorder="1" applyAlignment="1" applyProtection="1">
      <alignment horizontal="center" vertical="center"/>
      <protection locked="0"/>
    </xf>
    <xf numFmtId="0" fontId="0" fillId="0" borderId="15" xfId="0" applyFill="1" applyBorder="1" applyAlignment="1" applyProtection="1">
      <alignment horizontal="center" vertical="center"/>
      <protection locked="0"/>
    </xf>
    <xf numFmtId="0" fontId="0" fillId="0" borderId="16" xfId="0" applyFill="1" applyBorder="1" applyAlignment="1" applyProtection="1">
      <alignment horizontal="center" vertical="center"/>
      <protection locked="0"/>
    </xf>
    <xf numFmtId="0" fontId="0" fillId="0" borderId="11" xfId="0" applyFill="1" applyBorder="1" applyAlignment="1" applyProtection="1">
      <alignment horizontal="center" vertical="center"/>
      <protection locked="0"/>
    </xf>
    <xf numFmtId="176" fontId="0" fillId="0" borderId="0" xfId="0" applyNumberFormat="1" applyAlignment="1">
      <alignment vertical="center"/>
    </xf>
    <xf numFmtId="0" fontId="6" fillId="0" borderId="12" xfId="0" applyFont="1" applyBorder="1" applyAlignment="1">
      <alignment horizontal="center" vertical="center"/>
    </xf>
    <xf numFmtId="176" fontId="0" fillId="4" borderId="7" xfId="0" applyNumberFormat="1" applyFont="1" applyFill="1" applyBorder="1" applyAlignment="1">
      <alignment horizontal="center" vertical="center"/>
    </xf>
    <xf numFmtId="0" fontId="7" fillId="4" borderId="7" xfId="13" applyFill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176" fontId="0" fillId="0" borderId="7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80" fontId="18" fillId="3" borderId="7" xfId="88" applyNumberFormat="1" applyFont="1" applyFill="1" applyBorder="1" applyAlignment="1" quotePrefix="1">
      <alignment horizontal="left" vertical="center" wrapText="1"/>
    </xf>
  </cellXfs>
  <cellStyles count="107">
    <cellStyle name="常规" xfId="0" builtinId="0"/>
    <cellStyle name="货币[0]" xfId="1" builtinId="7"/>
    <cellStyle name="20% - 强调文字颜色 1 2" xfId="2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计算 2" xfId="8"/>
    <cellStyle name="3232 2 2" xfId="9"/>
    <cellStyle name="差" xfId="10" builtinId="27"/>
    <cellStyle name="千位分隔" xfId="11" builtinId="3"/>
    <cellStyle name="60% - 强调文字颜色 3" xfId="12" builtinId="40"/>
    <cellStyle name="超链接" xfId="13" builtinId="8"/>
    <cellStyle name="百分比" xfId="14" builtinId="5"/>
    <cellStyle name="已访问的超链接" xfId="15" builtinId="9"/>
    <cellStyle name="注释" xfId="16" builtinId="10"/>
    <cellStyle name="60% - 强调文字颜色 2" xfId="17" builtinId="36"/>
    <cellStyle name="标题 4" xfId="18" builtinId="19"/>
    <cellStyle name="警告文本" xfId="19" builtinId="11"/>
    <cellStyle name="标题" xfId="20" builtinId="15"/>
    <cellStyle name="解释性文本" xfId="21" builtinId="53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3232 2" xfId="28"/>
    <cellStyle name="计算" xfId="29" builtinId="22"/>
    <cellStyle name="检查单元格" xfId="30" builtinId="23"/>
    <cellStyle name="40% - 强调文字颜色 4 2" xfId="31"/>
    <cellStyle name="20% - 强调文字颜色 6" xfId="32" builtinId="50"/>
    <cellStyle name="强调文字颜色 2" xfId="33" builtinId="33"/>
    <cellStyle name="链接单元格" xfId="34" builtinId="24"/>
    <cellStyle name="40% - 强调文字颜色 1 2" xfId="35"/>
    <cellStyle name="汇总" xfId="36" builtinId="25"/>
    <cellStyle name="3232 3" xfId="37"/>
    <cellStyle name="好" xfId="38" builtinId="26"/>
    <cellStyle name="40% - 强调文字颜色 2 2" xfId="39"/>
    <cellStyle name="适中" xfId="40" builtinId="28"/>
    <cellStyle name="20% - 强调文字颜色 5" xfId="41" builtinId="46"/>
    <cellStyle name="强调文字颜色 1" xfId="42" builtinId="29"/>
    <cellStyle name="40% - 强调文字颜色 5 2" xfId="43"/>
    <cellStyle name="20% - 强调文字颜色 1" xfId="44" builtinId="30"/>
    <cellStyle name="40% - 强调文字颜色 1" xfId="45" builtinId="31"/>
    <cellStyle name="20% - 强调文字颜色 2" xfId="46" builtinId="34"/>
    <cellStyle name="输出 2" xfId="47"/>
    <cellStyle name="40% - 强调文字颜色 2" xfId="48" builtinId="35"/>
    <cellStyle name="强调文字颜色 3" xfId="49" builtinId="37"/>
    <cellStyle name="强调文字颜色 4" xfId="50" builtinId="41"/>
    <cellStyle name="20% - 强调文字颜色 4" xfId="51" builtinId="42"/>
    <cellStyle name="40% - 强调文字颜色 4" xfId="52" builtinId="43"/>
    <cellStyle name="强调文字颜色 5" xfId="53" builtinId="45"/>
    <cellStyle name="40% - 强调文字颜色 5" xfId="54" builtinId="47"/>
    <cellStyle name="60% - 强调文字颜色 5" xfId="55" builtinId="48"/>
    <cellStyle name="强调文字颜色 6" xfId="56" builtinId="49"/>
    <cellStyle name="40% - 强调文字颜色 6" xfId="57" builtinId="51"/>
    <cellStyle name="适中 2" xfId="58"/>
    <cellStyle name="40% - 强调文字颜色 6 2" xfId="59"/>
    <cellStyle name="60% - 强调文字颜色 6" xfId="60" builtinId="52"/>
    <cellStyle name="20% - 强调文字颜色 2 2" xfId="61"/>
    <cellStyle name="20% - 强调文字颜色 3 2" xfId="62"/>
    <cellStyle name="20% - 强调文字颜色 4 2" xfId="63"/>
    <cellStyle name="20% - 强调文字颜色 5 2" xfId="64"/>
    <cellStyle name="20% - 强调文字颜色 6 2" xfId="65"/>
    <cellStyle name="3232" xfId="66"/>
    <cellStyle name="40% - 强调文字颜色 3 2" xfId="67"/>
    <cellStyle name="60% - 强调文字颜色 1 2" xfId="68"/>
    <cellStyle name="60% - 强调文字颜色 2 2" xfId="69"/>
    <cellStyle name="60% - 强调文字颜色 3 2" xfId="70"/>
    <cellStyle name="60% - 强调文字颜色 4 2" xfId="71"/>
    <cellStyle name="60% - 强调文字颜色 5 2" xfId="72"/>
    <cellStyle name="60% - 强调文字颜色 6 2" xfId="73"/>
    <cellStyle name="百分比 2" xfId="74"/>
    <cellStyle name="百分比 2 2" xfId="75"/>
    <cellStyle name="百分比 3" xfId="76"/>
    <cellStyle name="标题 1 2" xfId="77"/>
    <cellStyle name="标题 2 2" xfId="78"/>
    <cellStyle name="标题 3 2" xfId="79"/>
    <cellStyle name="标题 4 2" xfId="80"/>
    <cellStyle name="千位分隔 3" xfId="81"/>
    <cellStyle name="标题 5" xfId="82"/>
    <cellStyle name="差 2" xfId="83"/>
    <cellStyle name="常规 2" xfId="84"/>
    <cellStyle name="常规 2 2" xfId="85"/>
    <cellStyle name="常规 2 3" xfId="86"/>
    <cellStyle name="常规 2 4" xfId="87"/>
    <cellStyle name="常规_经济技术指标明细" xfId="88"/>
    <cellStyle name="超链接 2" xfId="89"/>
    <cellStyle name="好 2" xfId="90"/>
    <cellStyle name="汇总 2" xfId="91"/>
    <cellStyle name="检查单元格 2" xfId="92"/>
    <cellStyle name="解释性文本 2" xfId="93"/>
    <cellStyle name="警告文本 2" xfId="94"/>
    <cellStyle name="链接单元格 2" xfId="95"/>
    <cellStyle name="千位分隔 2" xfId="96"/>
    <cellStyle name="千位分隔 2 2" xfId="97"/>
    <cellStyle name="千位分隔 4" xfId="98"/>
    <cellStyle name="强调文字颜色 1 2" xfId="99"/>
    <cellStyle name="强调文字颜色 2 2" xfId="100"/>
    <cellStyle name="强调文字颜色 3 2" xfId="101"/>
    <cellStyle name="强调文字颜色 4 2" xfId="102"/>
    <cellStyle name="强调文字颜色 5 2" xfId="103"/>
    <cellStyle name="强调文字颜色 6 2" xfId="104"/>
    <cellStyle name="输入 2" xfId="105"/>
    <cellStyle name="注释 2" xfId="106"/>
  </cellStyles>
  <tableStyles count="0" defaultTableStyle="TableStyleMedium9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externalLink" Target="externalLinks/externalLink2.xml"/><Relationship Id="rId17" Type="http://schemas.openxmlformats.org/officeDocument/2006/relationships/externalLink" Target="externalLinks/externalLink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Scroll" dx="22" fmlaLink="$B$13" horiz="1" inc="10" max="2500" page="2500" val="0"/>
</file>

<file path=xl/ctrlProps/ctrlProp10.xml><?xml version="1.0" encoding="utf-8"?>
<formControlPr xmlns="http://schemas.microsoft.com/office/spreadsheetml/2009/9/main" objectType="Scroll" dx="22" fmlaLink="$D$17" horiz="1" inc="50" max="30000" page="30000" val="0"/>
</file>

<file path=xl/ctrlProps/ctrlProp11.xml><?xml version="1.0" encoding="utf-8"?>
<formControlPr xmlns="http://schemas.microsoft.com/office/spreadsheetml/2009/9/main" objectType="Scroll" dx="22" fmlaLink="$D$19" horiz="1" inc="50" max="30000" page="30000" val="3000"/>
</file>

<file path=xl/ctrlProps/ctrlProp12.xml><?xml version="1.0" encoding="utf-8"?>
<formControlPr xmlns="http://schemas.microsoft.com/office/spreadsheetml/2009/9/main" objectType="Scroll" dx="22" fmlaLink="$D$21" horiz="1" max="30" page="30" val="7"/>
</file>

<file path=xl/ctrlProps/ctrlProp13.xml><?xml version="1.0" encoding="utf-8"?>
<formControlPr xmlns="http://schemas.microsoft.com/office/spreadsheetml/2009/9/main" objectType="Scroll" dx="22" fmlaLink="$D$22" horiz="1" max="30" page="30" val="7"/>
</file>

<file path=xl/ctrlProps/ctrlProp14.xml><?xml version="1.0" encoding="utf-8"?>
<formControlPr xmlns="http://schemas.microsoft.com/office/spreadsheetml/2009/9/main" objectType="Scroll" dx="22" fmlaLink="$F$2" horiz="1" max="100" page="100" val="45"/>
</file>

<file path=xl/ctrlProps/ctrlProp15.xml><?xml version="1.0" encoding="utf-8"?>
<formControlPr xmlns="http://schemas.microsoft.com/office/spreadsheetml/2009/9/main" objectType="Scroll" dx="22" fmlaLink="$F$3" horiz="1" max="100" page="100" val="15"/>
</file>

<file path=xl/ctrlProps/ctrlProp16.xml><?xml version="1.0" encoding="utf-8"?>
<formControlPr xmlns="http://schemas.microsoft.com/office/spreadsheetml/2009/9/main" objectType="Scroll" dx="22" fmlaLink="$D$10" horiz="1" inc="50" max="30000" page="30000" val="0"/>
</file>

<file path=xl/ctrlProps/ctrlProp17.xml><?xml version="1.0" encoding="utf-8"?>
<formControlPr xmlns="http://schemas.microsoft.com/office/spreadsheetml/2009/9/main" objectType="Scroll" dx="22" fmlaLink="$D$11" horiz="1" inc="50" max="30000" page="30000" val="0"/>
</file>

<file path=xl/ctrlProps/ctrlProp18.xml><?xml version="1.0" encoding="utf-8"?>
<formControlPr xmlns="http://schemas.microsoft.com/office/spreadsheetml/2009/9/main" objectType="Scroll" dx="22" fmlaLink="$D$12" horiz="1" inc="50" max="30000" page="30000" val="0"/>
</file>

<file path=xl/ctrlProps/ctrlProp19.xml><?xml version="1.0" encoding="utf-8"?>
<formControlPr xmlns="http://schemas.microsoft.com/office/spreadsheetml/2009/9/main" objectType="Scroll" dx="22" fmlaLink="$D$13" horiz="1" inc="50" max="30000" page="30000" val="0"/>
</file>

<file path=xl/ctrlProps/ctrlProp2.xml><?xml version="1.0" encoding="utf-8"?>
<formControlPr xmlns="http://schemas.microsoft.com/office/spreadsheetml/2009/9/main" objectType="Scroll" dx="22" fmlaLink="$B$13" horiz="1" inc="10" max="2500" page="2500" val="0"/>
</file>

<file path=xl/ctrlProps/ctrlProp3.xml><?xml version="1.0" encoding="utf-8"?>
<formControlPr xmlns="http://schemas.microsoft.com/office/spreadsheetml/2009/9/main" objectType="Scroll" dx="22" fmlaLink="$B$12" horiz="1" inc="10" max="2500" page="2500" val="98"/>
</file>

<file path=xl/ctrlProps/ctrlProp4.xml><?xml version="1.0" encoding="utf-8"?>
<formControlPr xmlns="http://schemas.microsoft.com/office/spreadsheetml/2009/9/main" objectType="Scroll" dx="22" fmlaLink="$D$7" horiz="1" inc="50" max="30000" page="30000" val="6200"/>
</file>

<file path=xl/ctrlProps/ctrlProp5.xml><?xml version="1.0" encoding="utf-8"?>
<formControlPr xmlns="http://schemas.microsoft.com/office/spreadsheetml/2009/9/main" objectType="Scroll" dx="22" fmlaLink="$D$8" horiz="1" inc="50" max="30000" page="30000" val="6279"/>
</file>

<file path=xl/ctrlProps/ctrlProp6.xml><?xml version="1.0" encoding="utf-8"?>
<formControlPr xmlns="http://schemas.microsoft.com/office/spreadsheetml/2009/9/main" objectType="Scroll" dx="22" fmlaLink="$D$9" horiz="1" inc="50" max="30000" page="30000" val="7350"/>
</file>

<file path=xl/ctrlProps/ctrlProp7.xml><?xml version="1.0" encoding="utf-8"?>
<formControlPr xmlns="http://schemas.microsoft.com/office/spreadsheetml/2009/9/main" objectType="Scroll" dx="22" fmlaLink="$D$14" horiz="1" inc="50" max="30000" page="30000" val="0"/>
</file>

<file path=xl/ctrlProps/ctrlProp8.xml><?xml version="1.0" encoding="utf-8"?>
<formControlPr xmlns="http://schemas.microsoft.com/office/spreadsheetml/2009/9/main" objectType="Scroll" dx="22" fmlaLink="$D$15" horiz="1" inc="50" max="30000" page="30000" val="0"/>
</file>

<file path=xl/ctrlProps/ctrlProp9.xml><?xml version="1.0" encoding="utf-8"?>
<formControlPr xmlns="http://schemas.microsoft.com/office/spreadsheetml/2009/9/main" objectType="Scroll" dx="22" fmlaLink="$D$16" horiz="1" inc="50" max="30000" page="30000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12</xdr:row>
          <xdr:rowOff>47625</xdr:rowOff>
        </xdr:from>
        <xdr:to>
          <xdr:col>3</xdr:col>
          <xdr:colOff>1781175</xdr:colOff>
          <xdr:row>12</xdr:row>
          <xdr:rowOff>342900</xdr:rowOff>
        </xdr:to>
        <xdr:sp>
          <xdr:nvSpPr>
            <xdr:cNvPr id="4097" name="Scroll Bar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8810625" y="4476750"/>
              <a:ext cx="1685925" cy="2952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12</xdr:row>
          <xdr:rowOff>47625</xdr:rowOff>
        </xdr:from>
        <xdr:to>
          <xdr:col>4</xdr:col>
          <xdr:colOff>28575</xdr:colOff>
          <xdr:row>12</xdr:row>
          <xdr:rowOff>342900</xdr:rowOff>
        </xdr:to>
        <xdr:sp>
          <xdr:nvSpPr>
            <xdr:cNvPr id="4099" name="Scroll Bar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8810625" y="4476750"/>
              <a:ext cx="3590925" cy="2952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0</xdr:rowOff>
        </xdr:from>
        <xdr:to>
          <xdr:col>3</xdr:col>
          <xdr:colOff>3590925</xdr:colOff>
          <xdr:row>11</xdr:row>
          <xdr:rowOff>295275</xdr:rowOff>
        </xdr:to>
        <xdr:sp>
          <xdr:nvSpPr>
            <xdr:cNvPr id="4100" name="Scroll Bar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8715375" y="4038600"/>
              <a:ext cx="3590925" cy="295275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6</xdr:row>
          <xdr:rowOff>28575</xdr:rowOff>
        </xdr:from>
        <xdr:to>
          <xdr:col>6</xdr:col>
          <xdr:colOff>1295400</xdr:colOff>
          <xdr:row>6</xdr:row>
          <xdr:rowOff>257175</xdr:rowOff>
        </xdr:to>
        <xdr:sp>
          <xdr:nvSpPr>
            <xdr:cNvPr id="6146" name="Scroll Bar 2" hidden="1">
              <a:extLst>
                <a:ext uri="{63B3BB69-23CF-44E3-9099-C40C66FF867C}">
                  <a14:compatExt spid="_x0000_s6146"/>
                </a:ext>
              </a:extLst>
            </xdr:cNvPr>
            <xdr:cNvSpPr/>
          </xdr:nvSpPr>
          <xdr:spPr>
            <a:xfrm>
              <a:off x="6858000" y="1857375"/>
              <a:ext cx="123825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7</xdr:row>
          <xdr:rowOff>38100</xdr:rowOff>
        </xdr:from>
        <xdr:to>
          <xdr:col>6</xdr:col>
          <xdr:colOff>1295400</xdr:colOff>
          <xdr:row>7</xdr:row>
          <xdr:rowOff>266700</xdr:rowOff>
        </xdr:to>
        <xdr:sp>
          <xdr:nvSpPr>
            <xdr:cNvPr id="6147" name="Scroll Bar 3" hidden="1">
              <a:extLst>
                <a:ext uri="{63B3BB69-23CF-44E3-9099-C40C66FF867C}">
                  <a14:compatExt spid="_x0000_s6147"/>
                </a:ext>
              </a:extLst>
            </xdr:cNvPr>
            <xdr:cNvSpPr/>
          </xdr:nvSpPr>
          <xdr:spPr>
            <a:xfrm>
              <a:off x="6858000" y="2162175"/>
              <a:ext cx="123825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</xdr:colOff>
          <xdr:row>8</xdr:row>
          <xdr:rowOff>28575</xdr:rowOff>
        </xdr:from>
        <xdr:to>
          <xdr:col>6</xdr:col>
          <xdr:colOff>1304925</xdr:colOff>
          <xdr:row>8</xdr:row>
          <xdr:rowOff>257175</xdr:rowOff>
        </xdr:to>
        <xdr:sp>
          <xdr:nvSpPr>
            <xdr:cNvPr id="6148" name="Scroll Bar 4" hidden="1">
              <a:extLst>
                <a:ext uri="{63B3BB69-23CF-44E3-9099-C40C66FF867C}">
                  <a14:compatExt spid="_x0000_s6148"/>
                </a:ext>
              </a:extLst>
            </xdr:cNvPr>
            <xdr:cNvSpPr/>
          </xdr:nvSpPr>
          <xdr:spPr>
            <a:xfrm>
              <a:off x="6867525" y="2447925"/>
              <a:ext cx="123825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</xdr:colOff>
          <xdr:row>13</xdr:row>
          <xdr:rowOff>28575</xdr:rowOff>
        </xdr:from>
        <xdr:to>
          <xdr:col>6</xdr:col>
          <xdr:colOff>1304925</xdr:colOff>
          <xdr:row>13</xdr:row>
          <xdr:rowOff>257175</xdr:rowOff>
        </xdr:to>
        <xdr:sp>
          <xdr:nvSpPr>
            <xdr:cNvPr id="6149" name="Scroll Bar 5" hidden="1">
              <a:extLst>
                <a:ext uri="{63B3BB69-23CF-44E3-9099-C40C66FF867C}">
                  <a14:compatExt spid="_x0000_s6149"/>
                </a:ext>
              </a:extLst>
            </xdr:cNvPr>
            <xdr:cNvSpPr/>
          </xdr:nvSpPr>
          <xdr:spPr>
            <a:xfrm>
              <a:off x="6867525" y="3924300"/>
              <a:ext cx="123825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</xdr:colOff>
          <xdr:row>14</xdr:row>
          <xdr:rowOff>28575</xdr:rowOff>
        </xdr:from>
        <xdr:to>
          <xdr:col>6</xdr:col>
          <xdr:colOff>1304925</xdr:colOff>
          <xdr:row>14</xdr:row>
          <xdr:rowOff>257175</xdr:rowOff>
        </xdr:to>
        <xdr:sp>
          <xdr:nvSpPr>
            <xdr:cNvPr id="6150" name="Scroll Bar 6" hidden="1">
              <a:extLst>
                <a:ext uri="{63B3BB69-23CF-44E3-9099-C40C66FF867C}">
                  <a14:compatExt spid="_x0000_s6150"/>
                </a:ext>
              </a:extLst>
            </xdr:cNvPr>
            <xdr:cNvSpPr/>
          </xdr:nvSpPr>
          <xdr:spPr>
            <a:xfrm>
              <a:off x="6867525" y="4219575"/>
              <a:ext cx="123825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15</xdr:row>
          <xdr:rowOff>19050</xdr:rowOff>
        </xdr:from>
        <xdr:to>
          <xdr:col>6</xdr:col>
          <xdr:colOff>1295400</xdr:colOff>
          <xdr:row>15</xdr:row>
          <xdr:rowOff>247650</xdr:rowOff>
        </xdr:to>
        <xdr:sp>
          <xdr:nvSpPr>
            <xdr:cNvPr id="6151" name="Scroll Bar 7" hidden="1">
              <a:extLst>
                <a:ext uri="{63B3BB69-23CF-44E3-9099-C40C66FF867C}">
                  <a14:compatExt spid="_x0000_s6151"/>
                </a:ext>
              </a:extLst>
            </xdr:cNvPr>
            <xdr:cNvSpPr/>
          </xdr:nvSpPr>
          <xdr:spPr>
            <a:xfrm>
              <a:off x="6858000" y="4505325"/>
              <a:ext cx="123825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16</xdr:row>
          <xdr:rowOff>28575</xdr:rowOff>
        </xdr:from>
        <xdr:to>
          <xdr:col>6</xdr:col>
          <xdr:colOff>1295400</xdr:colOff>
          <xdr:row>16</xdr:row>
          <xdr:rowOff>257175</xdr:rowOff>
        </xdr:to>
        <xdr:sp>
          <xdr:nvSpPr>
            <xdr:cNvPr id="6152" name="Scroll Bar 8" hidden="1">
              <a:extLst>
                <a:ext uri="{63B3BB69-23CF-44E3-9099-C40C66FF867C}">
                  <a14:compatExt spid="_x0000_s6152"/>
                </a:ext>
              </a:extLst>
            </xdr:cNvPr>
            <xdr:cNvSpPr/>
          </xdr:nvSpPr>
          <xdr:spPr>
            <a:xfrm>
              <a:off x="6858000" y="4810125"/>
              <a:ext cx="123825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85725</xdr:colOff>
          <xdr:row>18</xdr:row>
          <xdr:rowOff>19050</xdr:rowOff>
        </xdr:from>
        <xdr:to>
          <xdr:col>6</xdr:col>
          <xdr:colOff>1323975</xdr:colOff>
          <xdr:row>18</xdr:row>
          <xdr:rowOff>247650</xdr:rowOff>
        </xdr:to>
        <xdr:sp>
          <xdr:nvSpPr>
            <xdr:cNvPr id="6154" name="Scroll Bar 10" hidden="1">
              <a:extLst>
                <a:ext uri="{63B3BB69-23CF-44E3-9099-C40C66FF867C}">
                  <a14:compatExt spid="_x0000_s6154"/>
                </a:ext>
              </a:extLst>
            </xdr:cNvPr>
            <xdr:cNvSpPr/>
          </xdr:nvSpPr>
          <xdr:spPr>
            <a:xfrm>
              <a:off x="6886575" y="5391150"/>
              <a:ext cx="123825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85725</xdr:colOff>
          <xdr:row>20</xdr:row>
          <xdr:rowOff>38100</xdr:rowOff>
        </xdr:from>
        <xdr:to>
          <xdr:col>6</xdr:col>
          <xdr:colOff>1323975</xdr:colOff>
          <xdr:row>20</xdr:row>
          <xdr:rowOff>266700</xdr:rowOff>
        </xdr:to>
        <xdr:sp>
          <xdr:nvSpPr>
            <xdr:cNvPr id="6156" name="Scroll Bar 12" hidden="1">
              <a:extLst>
                <a:ext uri="{63B3BB69-23CF-44E3-9099-C40C66FF867C}">
                  <a14:compatExt spid="_x0000_s6156"/>
                </a:ext>
              </a:extLst>
            </xdr:cNvPr>
            <xdr:cNvSpPr/>
          </xdr:nvSpPr>
          <xdr:spPr>
            <a:xfrm>
              <a:off x="6886575" y="6223000"/>
              <a:ext cx="123825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</xdr:colOff>
          <xdr:row>21</xdr:row>
          <xdr:rowOff>9525</xdr:rowOff>
        </xdr:from>
        <xdr:to>
          <xdr:col>6</xdr:col>
          <xdr:colOff>1304925</xdr:colOff>
          <xdr:row>21</xdr:row>
          <xdr:rowOff>238125</xdr:rowOff>
        </xdr:to>
        <xdr:sp>
          <xdr:nvSpPr>
            <xdr:cNvPr id="6158" name="Scroll Bar 14" hidden="1">
              <a:extLst>
                <a:ext uri="{63B3BB69-23CF-44E3-9099-C40C66FF867C}">
                  <a14:compatExt spid="_x0000_s6158"/>
                </a:ext>
              </a:extLst>
            </xdr:cNvPr>
            <xdr:cNvSpPr/>
          </xdr:nvSpPr>
          <xdr:spPr>
            <a:xfrm>
              <a:off x="6867525" y="6663690"/>
              <a:ext cx="123825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1</xdr:row>
          <xdr:rowOff>9525</xdr:rowOff>
        </xdr:from>
        <xdr:to>
          <xdr:col>5</xdr:col>
          <xdr:colOff>1352550</xdr:colOff>
          <xdr:row>1</xdr:row>
          <xdr:rowOff>238125</xdr:rowOff>
        </xdr:to>
        <xdr:sp>
          <xdr:nvSpPr>
            <xdr:cNvPr id="6161" name="Scroll Bar 17" hidden="1">
              <a:extLst>
                <a:ext uri="{63B3BB69-23CF-44E3-9099-C40C66FF867C}">
                  <a14:compatExt spid="_x0000_s6161"/>
                </a:ext>
              </a:extLst>
            </xdr:cNvPr>
            <xdr:cNvSpPr/>
          </xdr:nvSpPr>
          <xdr:spPr>
            <a:xfrm>
              <a:off x="5467350" y="276225"/>
              <a:ext cx="131445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2</xdr:row>
          <xdr:rowOff>19050</xdr:rowOff>
        </xdr:from>
        <xdr:to>
          <xdr:col>5</xdr:col>
          <xdr:colOff>1343025</xdr:colOff>
          <xdr:row>2</xdr:row>
          <xdr:rowOff>247650</xdr:rowOff>
        </xdr:to>
        <xdr:sp>
          <xdr:nvSpPr>
            <xdr:cNvPr id="6162" name="Scroll Bar 18" hidden="1">
              <a:extLst>
                <a:ext uri="{63B3BB69-23CF-44E3-9099-C40C66FF867C}">
                  <a14:compatExt spid="_x0000_s6162"/>
                </a:ext>
              </a:extLst>
            </xdr:cNvPr>
            <xdr:cNvSpPr/>
          </xdr:nvSpPr>
          <xdr:spPr>
            <a:xfrm>
              <a:off x="5448300" y="552450"/>
              <a:ext cx="1323975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</xdr:colOff>
          <xdr:row>9</xdr:row>
          <xdr:rowOff>28575</xdr:rowOff>
        </xdr:from>
        <xdr:to>
          <xdr:col>6</xdr:col>
          <xdr:colOff>1304925</xdr:colOff>
          <xdr:row>9</xdr:row>
          <xdr:rowOff>257175</xdr:rowOff>
        </xdr:to>
        <xdr:sp>
          <xdr:nvSpPr>
            <xdr:cNvPr id="6164" name="Scroll Bar 20" hidden="1">
              <a:extLst>
                <a:ext uri="{63B3BB69-23CF-44E3-9099-C40C66FF867C}">
                  <a14:compatExt spid="_x0000_s6164"/>
                </a:ext>
              </a:extLst>
            </xdr:cNvPr>
            <xdr:cNvSpPr/>
          </xdr:nvSpPr>
          <xdr:spPr>
            <a:xfrm>
              <a:off x="6867525" y="2743200"/>
              <a:ext cx="123825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</xdr:colOff>
          <xdr:row>10</xdr:row>
          <xdr:rowOff>28575</xdr:rowOff>
        </xdr:from>
        <xdr:to>
          <xdr:col>6</xdr:col>
          <xdr:colOff>1304925</xdr:colOff>
          <xdr:row>10</xdr:row>
          <xdr:rowOff>257175</xdr:rowOff>
        </xdr:to>
        <xdr:sp>
          <xdr:nvSpPr>
            <xdr:cNvPr id="6165" name="Scroll Bar 21" hidden="1">
              <a:extLst>
                <a:ext uri="{63B3BB69-23CF-44E3-9099-C40C66FF867C}">
                  <a14:compatExt spid="_x0000_s6165"/>
                </a:ext>
              </a:extLst>
            </xdr:cNvPr>
            <xdr:cNvSpPr/>
          </xdr:nvSpPr>
          <xdr:spPr>
            <a:xfrm>
              <a:off x="6867525" y="3038475"/>
              <a:ext cx="123825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</xdr:colOff>
          <xdr:row>11</xdr:row>
          <xdr:rowOff>28575</xdr:rowOff>
        </xdr:from>
        <xdr:to>
          <xdr:col>6</xdr:col>
          <xdr:colOff>1304925</xdr:colOff>
          <xdr:row>11</xdr:row>
          <xdr:rowOff>257175</xdr:rowOff>
        </xdr:to>
        <xdr:sp>
          <xdr:nvSpPr>
            <xdr:cNvPr id="6167" name="Scroll Bar 23" hidden="1">
              <a:extLst>
                <a:ext uri="{63B3BB69-23CF-44E3-9099-C40C66FF867C}">
                  <a14:compatExt spid="_x0000_s6167"/>
                </a:ext>
              </a:extLst>
            </xdr:cNvPr>
            <xdr:cNvSpPr/>
          </xdr:nvSpPr>
          <xdr:spPr>
            <a:xfrm>
              <a:off x="6867525" y="3333750"/>
              <a:ext cx="123825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</xdr:colOff>
          <xdr:row>12</xdr:row>
          <xdr:rowOff>28575</xdr:rowOff>
        </xdr:from>
        <xdr:to>
          <xdr:col>6</xdr:col>
          <xdr:colOff>1304925</xdr:colOff>
          <xdr:row>12</xdr:row>
          <xdr:rowOff>257175</xdr:rowOff>
        </xdr:to>
        <xdr:sp>
          <xdr:nvSpPr>
            <xdr:cNvPr id="6169" name="Scroll Bar 25" hidden="1">
              <a:extLst>
                <a:ext uri="{63B3BB69-23CF-44E3-9099-C40C66FF867C}">
                  <a14:compatExt spid="_x0000_s6169"/>
                </a:ext>
              </a:extLst>
            </xdr:cNvPr>
            <xdr:cNvSpPr/>
          </xdr:nvSpPr>
          <xdr:spPr>
            <a:xfrm>
              <a:off x="6867525" y="3629025"/>
              <a:ext cx="123825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6.140\&#39033;&#30446;&#31649;&#29702;&#20013;&#24515;\&#36816;&#33829;&#36164;&#26009;&#24211;\&#21512;&#32422;&#37096;\&#26680;&#31639;&#37096;\&#37096;&#38376;&#24037;&#20316;\&#9733;&#21512;&#32422;&#37096;&#26376;&#24230;&#25253;&#34920;\&#22478;&#24066;&#20844;&#21496;&#26376;&#24230;&#25104;&#26412;&#32479;&#35745;\06.11.28&#25104;&#26412;&#26376;&#25253;\&#22825;&#27941;\&#22478;&#24066;&#39033;&#30446;\&#21271;&#23736;&#21326;&#24237;&#25104;&#26412;11.2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&#27979;&#31639;\11.5&#23391;&#27941;\&#23391;&#27941;&#22320;&#22359;1&#21495;2019-11-4%20&#30340;&#22791;&#20221;.xlk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拨款台帐"/>
      <sheetName val="合同台帐"/>
      <sheetName val="集团模板"/>
      <sheetName val="成本指标明细"/>
    </sheetNames>
    <sheetDataSet>
      <sheetData sheetId="0"/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目录"/>
      <sheetName val="项目概况"/>
      <sheetName val="经济指标"/>
      <sheetName val="成本测算明细"/>
      <sheetName val="税率"/>
      <sheetName val="收入及土地测算"/>
      <sheetName val="预计销售收入及费用情况表"/>
      <sheetName val="项目资金筹措"/>
      <sheetName val="税金计算表"/>
      <sheetName val="项目利润情况表"/>
      <sheetName val="销售计划表"/>
      <sheetName val="工程及开发计划"/>
      <sheetName val="管理费用"/>
      <sheetName val="现金流预测"/>
      <sheetName val="数据源（不可删除）"/>
      <sheetName val="1"/>
    </sheetNames>
    <sheetDataSet>
      <sheetData sheetId="0"/>
      <sheetData sheetId="1" refreshError="1"/>
      <sheetData sheetId="2">
        <row r="6">
          <cell r="G6">
            <v>54.13839</v>
          </cell>
        </row>
        <row r="8">
          <cell r="G8">
            <v>2.30000005541354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5" Type="http://schemas.openxmlformats.org/officeDocument/2006/relationships/ctrlProp" Target="../ctrlProps/ctrlProp3.xml"/><Relationship Id="rId4" Type="http://schemas.openxmlformats.org/officeDocument/2006/relationships/ctrlProp" Target="../ctrlProps/ctrlProp2.xml"/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.xml"/><Relationship Id="rId8" Type="http://schemas.openxmlformats.org/officeDocument/2006/relationships/ctrlProp" Target="../ctrlProps/ctrlProp9.xml"/><Relationship Id="rId7" Type="http://schemas.openxmlformats.org/officeDocument/2006/relationships/ctrlProp" Target="../ctrlProps/ctrlProp8.xml"/><Relationship Id="rId6" Type="http://schemas.openxmlformats.org/officeDocument/2006/relationships/ctrlProp" Target="../ctrlProps/ctrlProp7.xml"/><Relationship Id="rId5" Type="http://schemas.openxmlformats.org/officeDocument/2006/relationships/ctrlProp" Target="../ctrlProps/ctrlProp6.xml"/><Relationship Id="rId4" Type="http://schemas.openxmlformats.org/officeDocument/2006/relationships/ctrlProp" Target="../ctrlProps/ctrlProp5.xml"/><Relationship Id="rId3" Type="http://schemas.openxmlformats.org/officeDocument/2006/relationships/ctrlProp" Target="../ctrlProps/ctrlProp4.xml"/><Relationship Id="rId2" Type="http://schemas.openxmlformats.org/officeDocument/2006/relationships/vmlDrawing" Target="../drawings/vmlDrawing2.vml"/><Relationship Id="rId18" Type="http://schemas.openxmlformats.org/officeDocument/2006/relationships/ctrlProp" Target="../ctrlProps/ctrlProp19.xml"/><Relationship Id="rId17" Type="http://schemas.openxmlformats.org/officeDocument/2006/relationships/ctrlProp" Target="../ctrlProps/ctrlProp18.xml"/><Relationship Id="rId16" Type="http://schemas.openxmlformats.org/officeDocument/2006/relationships/ctrlProp" Target="../ctrlProps/ctrlProp17.xml"/><Relationship Id="rId15" Type="http://schemas.openxmlformats.org/officeDocument/2006/relationships/ctrlProp" Target="../ctrlProps/ctrlProp16.xml"/><Relationship Id="rId14" Type="http://schemas.openxmlformats.org/officeDocument/2006/relationships/ctrlProp" Target="../ctrlProps/ctrlProp15.xml"/><Relationship Id="rId13" Type="http://schemas.openxmlformats.org/officeDocument/2006/relationships/ctrlProp" Target="../ctrlProps/ctrlProp14.xml"/><Relationship Id="rId12" Type="http://schemas.openxmlformats.org/officeDocument/2006/relationships/ctrlProp" Target="../ctrlProps/ctrlProp13.xml"/><Relationship Id="rId11" Type="http://schemas.openxmlformats.org/officeDocument/2006/relationships/ctrlProp" Target="../ctrlProps/ctrlProp12.xml"/><Relationship Id="rId10" Type="http://schemas.openxmlformats.org/officeDocument/2006/relationships/ctrlProp" Target="../ctrlProps/ctrlProp11.x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4"/>
  <sheetViews>
    <sheetView workbookViewId="0">
      <selection activeCell="D3" sqref="D3:D9"/>
    </sheetView>
  </sheetViews>
  <sheetFormatPr defaultColWidth="9" defaultRowHeight="28.5" customHeight="1" outlineLevelCol="5"/>
  <cols>
    <col min="1" max="1" width="7.375" style="26" customWidth="1"/>
    <col min="2" max="2" width="26" customWidth="1"/>
    <col min="3" max="4" width="13.625" customWidth="1"/>
    <col min="5" max="5" width="23.875" style="417" customWidth="1"/>
    <col min="6" max="6" width="13.625" customWidth="1"/>
  </cols>
  <sheetData>
    <row r="1" ht="37.5" customHeight="1" spans="1:6">
      <c r="A1" s="418" t="str">
        <f>项目概况!B6&amp;"项目投资情况及全面预算表"</f>
        <v>栾川S1地块项目投资情况及全面预算表</v>
      </c>
      <c r="B1" s="418"/>
      <c r="C1" s="418"/>
      <c r="D1" s="418"/>
      <c r="E1" s="418"/>
      <c r="F1" s="418"/>
    </row>
    <row r="2" customHeight="1" spans="1:6">
      <c r="A2" s="29" t="s">
        <v>0</v>
      </c>
      <c r="B2" s="29" t="s">
        <v>1</v>
      </c>
      <c r="C2" s="29" t="s">
        <v>2</v>
      </c>
      <c r="D2" s="29" t="s">
        <v>3</v>
      </c>
      <c r="E2" s="419" t="s">
        <v>4</v>
      </c>
      <c r="F2" s="29" t="s">
        <v>5</v>
      </c>
    </row>
    <row r="3" customHeight="1" spans="1:6">
      <c r="A3" s="35">
        <v>1</v>
      </c>
      <c r="B3" s="420" t="s">
        <v>6</v>
      </c>
      <c r="C3" s="35" t="s">
        <v>7</v>
      </c>
      <c r="D3" s="421" t="s">
        <v>8</v>
      </c>
      <c r="E3" s="422" t="s">
        <v>9</v>
      </c>
      <c r="F3" s="423"/>
    </row>
    <row r="4" customHeight="1" spans="1:6">
      <c r="A4" s="35">
        <v>2</v>
      </c>
      <c r="B4" s="420" t="s">
        <v>10</v>
      </c>
      <c r="C4" s="35" t="s">
        <v>11</v>
      </c>
      <c r="D4" s="421" t="s">
        <v>12</v>
      </c>
      <c r="E4" s="422" t="s">
        <v>9</v>
      </c>
      <c r="F4" s="423"/>
    </row>
    <row r="5" customHeight="1" spans="1:6">
      <c r="A5" s="35">
        <v>3</v>
      </c>
      <c r="B5" s="420" t="s">
        <v>13</v>
      </c>
      <c r="C5" s="35" t="s">
        <v>14</v>
      </c>
      <c r="D5" s="421" t="s">
        <v>15</v>
      </c>
      <c r="E5" s="422" t="s">
        <v>9</v>
      </c>
      <c r="F5" s="423"/>
    </row>
    <row r="6" customHeight="1" spans="1:6">
      <c r="A6" s="35">
        <v>4</v>
      </c>
      <c r="B6" s="420" t="s">
        <v>16</v>
      </c>
      <c r="C6" s="35" t="s">
        <v>17</v>
      </c>
      <c r="D6" s="421" t="s">
        <v>18</v>
      </c>
      <c r="E6" s="422" t="s">
        <v>9</v>
      </c>
      <c r="F6" s="423"/>
    </row>
    <row r="7" customHeight="1" spans="1:6">
      <c r="A7" s="35">
        <v>5</v>
      </c>
      <c r="B7" s="420" t="s">
        <v>19</v>
      </c>
      <c r="C7" s="35" t="s">
        <v>20</v>
      </c>
      <c r="D7" s="421" t="s">
        <v>21</v>
      </c>
      <c r="E7" s="422" t="s">
        <v>9</v>
      </c>
      <c r="F7" s="423"/>
    </row>
    <row r="8" customHeight="1" spans="1:6">
      <c r="A8" s="35">
        <v>6</v>
      </c>
      <c r="B8" s="420" t="s">
        <v>22</v>
      </c>
      <c r="C8" s="35" t="s">
        <v>20</v>
      </c>
      <c r="D8" s="421" t="s">
        <v>21</v>
      </c>
      <c r="E8" s="422" t="s">
        <v>9</v>
      </c>
      <c r="F8" s="423"/>
    </row>
    <row r="9" customHeight="1" spans="1:6">
      <c r="A9" s="35">
        <v>7</v>
      </c>
      <c r="B9" s="420" t="s">
        <v>23</v>
      </c>
      <c r="C9" s="35" t="s">
        <v>20</v>
      </c>
      <c r="D9" s="421" t="s">
        <v>21</v>
      </c>
      <c r="E9" s="422" t="s">
        <v>9</v>
      </c>
      <c r="F9" s="423"/>
    </row>
    <row r="10" hidden="1" customHeight="1" spans="1:6">
      <c r="A10" s="35">
        <v>8</v>
      </c>
      <c r="B10" s="29" t="s">
        <v>24</v>
      </c>
      <c r="C10" s="423"/>
      <c r="D10" s="423"/>
      <c r="E10" s="422"/>
      <c r="F10" s="423"/>
    </row>
    <row r="11" hidden="1" customHeight="1" spans="1:6">
      <c r="A11" s="35">
        <v>9</v>
      </c>
      <c r="B11" s="29" t="s">
        <v>25</v>
      </c>
      <c r="C11" s="423"/>
      <c r="D11" s="423"/>
      <c r="E11" s="422"/>
      <c r="F11" s="423"/>
    </row>
    <row r="12" hidden="1" customHeight="1" spans="1:6">
      <c r="A12" s="35">
        <v>10</v>
      </c>
      <c r="B12" s="29" t="s">
        <v>26</v>
      </c>
      <c r="C12" s="423"/>
      <c r="D12" s="423"/>
      <c r="E12" s="422"/>
      <c r="F12" s="423"/>
    </row>
    <row r="13" hidden="1" customHeight="1" spans="1:6">
      <c r="A13" s="35">
        <v>11</v>
      </c>
      <c r="B13" s="29" t="s">
        <v>27</v>
      </c>
      <c r="C13" s="423"/>
      <c r="D13" s="423"/>
      <c r="E13" s="422"/>
      <c r="F13" s="423"/>
    </row>
    <row r="14" hidden="1" customHeight="1" spans="1:6">
      <c r="A14" s="35">
        <v>12</v>
      </c>
      <c r="B14" s="29" t="s">
        <v>28</v>
      </c>
      <c r="C14" s="423"/>
      <c r="D14" s="423"/>
      <c r="E14" s="422"/>
      <c r="F14" s="423"/>
    </row>
  </sheetData>
  <mergeCells count="1">
    <mergeCell ref="A1:F1"/>
  </mergeCells>
  <dataValidations count="2">
    <dataValidation type="list" allowBlank="1" showInputMessage="1" showErrorMessage="1" sqref="C2 C15:C1048576">
      <formula1>#REF!</formula1>
    </dataValidation>
    <dataValidation type="list" allowBlank="1" showInputMessage="1" showErrorMessage="1" sqref="C3:C14">
      <formula1>'数据源（不可删除）'!$C$2:$C$17</formula1>
    </dataValidation>
  </dataValidations>
  <hyperlinks>
    <hyperlink ref="B3" location="项目概况!A1" display="项目概况"/>
    <hyperlink ref="B4" location="经济指标!A1" display="经济指标"/>
    <hyperlink ref="B5" location="成本测算明细!A1" display="成本测算明细表"/>
    <hyperlink ref="B6" location="各业态预计销售情况表!A1" display="预计销售收入及费用情况表"/>
    <hyperlink ref="B7" location="项目资金筹措!A1" display="项目资金筹措"/>
    <hyperlink ref="B8" location="税金计算表!A1" display="税金计算表"/>
    <hyperlink ref="B9" location="项目利润情况表!A1" display="利润情况"/>
  </hyperlinks>
  <pageMargins left="0.699305555555556" right="0.699305555555556" top="0.75" bottom="0.75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47"/>
  <sheetViews>
    <sheetView zoomScale="91" zoomScaleNormal="91" workbookViewId="0">
      <selection activeCell="T21" sqref="T21"/>
    </sheetView>
  </sheetViews>
  <sheetFormatPr defaultColWidth="9" defaultRowHeight="14.25"/>
  <cols>
    <col min="1" max="1" width="13.875" customWidth="1"/>
    <col min="2" max="2" width="18" customWidth="1"/>
    <col min="3" max="4" width="15.875" customWidth="1"/>
    <col min="5" max="5" width="17.25" customWidth="1"/>
    <col min="6" max="9" width="11.125" hidden="1" customWidth="1"/>
    <col min="10" max="10" width="13.375" hidden="1" customWidth="1"/>
    <col min="11" max="11" width="2.25" hidden="1" customWidth="1"/>
    <col min="12" max="12" width="12.625" customWidth="1"/>
    <col min="13" max="13" width="15.5" hidden="1" customWidth="1"/>
    <col min="14" max="14" width="14.375" hidden="1" customWidth="1"/>
    <col min="15" max="15" width="17.125" customWidth="1"/>
    <col min="16" max="16" width="13.9166666666667" customWidth="1"/>
    <col min="17" max="17" width="9" hidden="1" customWidth="1"/>
    <col min="18" max="18" width="7.41666666666667" customWidth="1"/>
    <col min="19" max="19" width="6.41666666666667" customWidth="1"/>
    <col min="20" max="20" width="10.5" style="26" customWidth="1"/>
    <col min="21" max="21" width="12.625"/>
    <col min="22" max="28" width="14.875" customWidth="1"/>
  </cols>
  <sheetData>
    <row r="1" ht="21" customHeight="1" spans="1:3">
      <c r="A1" s="62" t="s">
        <v>29</v>
      </c>
      <c r="B1" s="63" t="str">
        <f>目录!C8</f>
        <v>财务中心</v>
      </c>
      <c r="C1" s="64" t="s">
        <v>30</v>
      </c>
    </row>
    <row r="2" ht="21" customHeight="1" spans="1:3">
      <c r="A2" s="62" t="s">
        <v>3</v>
      </c>
      <c r="B2" s="63" t="str">
        <f>目录!D9</f>
        <v>刘晓旭</v>
      </c>
      <c r="C2" s="64"/>
    </row>
    <row r="3" ht="21" customHeight="1" spans="1:3">
      <c r="A3" s="62" t="s">
        <v>4</v>
      </c>
      <c r="B3" s="65" t="str">
        <f>目录!E8</f>
        <v>2021.9.7</v>
      </c>
      <c r="C3" s="64"/>
    </row>
    <row r="4" s="59" customFormat="1" ht="21" customHeight="1" spans="1:20">
      <c r="A4" s="66"/>
      <c r="B4" s="67"/>
      <c r="C4" s="68"/>
      <c r="T4" s="90"/>
    </row>
    <row r="5" s="59" customFormat="1" ht="66" customHeight="1" spans="1:20">
      <c r="A5" s="69" t="str">
        <f>项目概况!B6&amp;"项目利润情况表"</f>
        <v>栾川S1地块项目利润情况表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T5" s="90"/>
    </row>
    <row r="6" s="60" customFormat="1" ht="39" customHeight="1" spans="1:20">
      <c r="A6" s="70" t="s">
        <v>58</v>
      </c>
      <c r="B6" s="70" t="s">
        <v>118</v>
      </c>
      <c r="C6" s="71" t="str">
        <f>成本测算明细!G6</f>
        <v>地上部分1</v>
      </c>
      <c r="D6" s="72" t="str">
        <f>成本测算明细!I6</f>
        <v>地上部分2</v>
      </c>
      <c r="E6" s="72" t="str">
        <f>成本测算明细!K6</f>
        <v>地上部分3</v>
      </c>
      <c r="F6" s="72" t="str">
        <f>成本测算明细!M6</f>
        <v>地上部分4</v>
      </c>
      <c r="G6" s="72" t="str">
        <f>成本测算明细!O6</f>
        <v>地上部分5</v>
      </c>
      <c r="H6" s="72" t="str">
        <f>成本测算明细!Q6</f>
        <v>地上部分6</v>
      </c>
      <c r="I6" s="72" t="str">
        <f>成本测算明细!S6</f>
        <v>地上部分7</v>
      </c>
      <c r="J6" s="72" t="str">
        <f>成本测算明细!U6</f>
        <v>地上部分8</v>
      </c>
      <c r="K6" s="72" t="str">
        <f>成本测算明细!W6</f>
        <v>地上部分9</v>
      </c>
      <c r="L6" s="72" t="str">
        <f>成本测算明细!Y6</f>
        <v>地上部分10</v>
      </c>
      <c r="M6" s="72" t="str">
        <f>成本测算明细!AA6</f>
        <v>地上部分11</v>
      </c>
      <c r="N6" s="88" t="str">
        <f>成本测算明细!AE6</f>
        <v>地下部分1</v>
      </c>
      <c r="O6" s="88" t="str">
        <f>成本测算明细!AG6</f>
        <v>地下部分2</v>
      </c>
      <c r="P6" s="88" t="str">
        <f>成本测算明细!AI6</f>
        <v>地下部分3</v>
      </c>
      <c r="T6" s="91"/>
    </row>
    <row r="7" s="61" customFormat="1" ht="51" customHeight="1" spans="1:20">
      <c r="A7" s="73"/>
      <c r="B7" s="73"/>
      <c r="C7" s="74" t="str">
        <f>税金计算表!B22</f>
        <v>小高层</v>
      </c>
      <c r="D7" s="74" t="str">
        <f>税金计算表!B23</f>
        <v>洋房</v>
      </c>
      <c r="E7" s="74" t="str">
        <f>税金计算表!B24</f>
        <v>装配式</v>
      </c>
      <c r="F7" s="74" t="str">
        <f>税金计算表!B25</f>
        <v>别墅</v>
      </c>
      <c r="G7" s="74" t="str">
        <f>税金计算表!B26</f>
        <v>商业</v>
      </c>
      <c r="H7" s="74" t="str">
        <f>税金计算表!B27</f>
        <v>办公</v>
      </c>
      <c r="I7" s="74" t="str">
        <f>税金计算表!B28</f>
        <v>小高层</v>
      </c>
      <c r="J7" s="74" t="str">
        <f>税金计算表!B29</f>
        <v>社区服务中心</v>
      </c>
      <c r="K7" s="74" t="str">
        <f>税金计算表!B30</f>
        <v>幼儿园</v>
      </c>
      <c r="L7" s="74" t="str">
        <f>税金计算表!B31</f>
        <v>配套</v>
      </c>
      <c r="M7" s="74" t="str">
        <f>税金计算表!B32</f>
        <v>社区卫生服务站</v>
      </c>
      <c r="N7" s="89" t="str">
        <f>税金计算表!B33</f>
        <v>储藏室</v>
      </c>
      <c r="O7" s="89" t="str">
        <f>税金计算表!B34</f>
        <v>人防车位</v>
      </c>
      <c r="P7" s="89" t="str">
        <f>税金计算表!B35</f>
        <v>非人防车位</v>
      </c>
      <c r="R7" s="92" t="s">
        <v>34</v>
      </c>
      <c r="T7" s="93"/>
    </row>
    <row r="8" ht="24" customHeight="1" spans="1:20">
      <c r="A8" s="75" t="s">
        <v>60</v>
      </c>
      <c r="B8" s="76">
        <f>C8+D8+E8+L8+N8+O8+P8</f>
        <v>133916.97</v>
      </c>
      <c r="C8" s="76">
        <f>税金计算表!C22</f>
        <v>5328.71</v>
      </c>
      <c r="D8" s="76">
        <f>税金计算表!C23</f>
        <v>56338.32</v>
      </c>
      <c r="E8" s="76">
        <f>税金计算表!C24</f>
        <v>32304.18</v>
      </c>
      <c r="F8" s="76">
        <f>税金计算表!C25</f>
        <v>0</v>
      </c>
      <c r="G8" s="76">
        <f>税金计算表!C26</f>
        <v>0</v>
      </c>
      <c r="H8" s="76">
        <f>税金计算表!C27</f>
        <v>0</v>
      </c>
      <c r="I8" s="76">
        <f>税金计算表!C28</f>
        <v>0</v>
      </c>
      <c r="J8" s="76">
        <f>税金计算表!C29</f>
        <v>0</v>
      </c>
      <c r="K8" s="76">
        <f>税金计算表!C30</f>
        <v>0</v>
      </c>
      <c r="L8" s="76">
        <f>税金计算表!C31</f>
        <v>587.25</v>
      </c>
      <c r="M8" s="76">
        <f>税金计算表!C32</f>
        <v>0</v>
      </c>
      <c r="N8" s="76">
        <f>税金计算表!C33</f>
        <v>0</v>
      </c>
      <c r="O8" s="76">
        <f>税金计算表!C34</f>
        <v>6581.55</v>
      </c>
      <c r="P8" s="76">
        <f>税金计算表!C35</f>
        <v>32776.96</v>
      </c>
      <c r="R8" s="94">
        <f>IF(B8=税金计算表!C36,0,1)</f>
        <v>0</v>
      </c>
      <c r="S8">
        <f>B8-经济指标!E7</f>
        <v>0</v>
      </c>
      <c r="T8" s="95"/>
    </row>
    <row r="9" s="60" customFormat="1" ht="24" hidden="1" customHeight="1" spans="1:20">
      <c r="A9" s="77" t="s">
        <v>696</v>
      </c>
      <c r="B9" s="76">
        <f>B10/B8*10000</f>
        <v>5274.20726648759</v>
      </c>
      <c r="C9" s="78">
        <f>C10/C8*10000</f>
        <v>6200</v>
      </c>
      <c r="D9" s="78">
        <f t="shared" ref="D9:P9" si="0">D10/D8*10000</f>
        <v>6504.45773462893</v>
      </c>
      <c r="E9" s="78">
        <f t="shared" si="0"/>
        <v>7350</v>
      </c>
      <c r="F9" s="78" t="e">
        <f t="shared" si="0"/>
        <v>#DIV/0!</v>
      </c>
      <c r="G9" s="78" t="e">
        <f t="shared" si="0"/>
        <v>#DIV/0!</v>
      </c>
      <c r="H9" s="78" t="e">
        <f t="shared" si="0"/>
        <v>#DIV/0!</v>
      </c>
      <c r="I9" s="78" t="e">
        <f t="shared" si="0"/>
        <v>#DIV/0!</v>
      </c>
      <c r="J9" s="78" t="e">
        <f t="shared" si="0"/>
        <v>#DIV/0!</v>
      </c>
      <c r="K9" s="78"/>
      <c r="L9" s="78">
        <f t="shared" si="0"/>
        <v>0</v>
      </c>
      <c r="M9" s="78"/>
      <c r="N9" s="78" t="e">
        <f t="shared" si="0"/>
        <v>#DIV/0!</v>
      </c>
      <c r="O9" s="78">
        <f t="shared" si="0"/>
        <v>1818.41663437944</v>
      </c>
      <c r="P9" s="78">
        <f t="shared" si="0"/>
        <v>1751.65451585504</v>
      </c>
      <c r="R9" s="94"/>
      <c r="T9" s="95"/>
    </row>
    <row r="10" s="60" customFormat="1" ht="24" customHeight="1" spans="1:20">
      <c r="A10" s="77" t="s">
        <v>711</v>
      </c>
      <c r="B10" s="76">
        <f>C10+D10+E10+L10+N10+O10+P10</f>
        <v>70630.585628</v>
      </c>
      <c r="C10" s="76">
        <f>税金计算表!D22</f>
        <v>3303.8002</v>
      </c>
      <c r="D10" s="76">
        <f>税金计算表!D23</f>
        <v>36645.022128</v>
      </c>
      <c r="E10" s="76">
        <f>税金计算表!D24</f>
        <v>23743.5723</v>
      </c>
      <c r="F10" s="76">
        <f>税金计算表!D25</f>
        <v>0</v>
      </c>
      <c r="G10" s="76">
        <f>税金计算表!D26</f>
        <v>0</v>
      </c>
      <c r="H10" s="76">
        <f>税金计算表!D27</f>
        <v>0</v>
      </c>
      <c r="I10" s="76">
        <f>税金计算表!D28</f>
        <v>0</v>
      </c>
      <c r="J10" s="76">
        <f>税金计算表!D29</f>
        <v>0</v>
      </c>
      <c r="K10" s="76">
        <f>税金计算表!D30</f>
        <v>0</v>
      </c>
      <c r="L10" s="76">
        <f>税金计算表!D31</f>
        <v>0</v>
      </c>
      <c r="M10" s="76">
        <f>税金计算表!D32</f>
        <v>0</v>
      </c>
      <c r="N10" s="76">
        <f>税金计算表!D33</f>
        <v>0</v>
      </c>
      <c r="O10" s="76">
        <f>税金计算表!D34</f>
        <v>1196.8</v>
      </c>
      <c r="P10" s="76">
        <f>税金计算表!D35</f>
        <v>5741.391</v>
      </c>
      <c r="R10" s="94">
        <f>IF(B10=税金计算表!D36,0,1)</f>
        <v>0</v>
      </c>
      <c r="S10" s="96">
        <f>B10-预计销售收入及费用情况表!E28</f>
        <v>0</v>
      </c>
      <c r="T10" s="95"/>
    </row>
    <row r="11" s="60" customFormat="1" ht="24" customHeight="1" spans="1:20">
      <c r="A11" s="77" t="s">
        <v>712</v>
      </c>
      <c r="B11" s="76">
        <f>C11+D11+E11+L11+N11+O11+P11</f>
        <v>64798.7024110092</v>
      </c>
      <c r="C11" s="78">
        <f>C10/(1+税金计算表!$F$3)</f>
        <v>3031.00935779817</v>
      </c>
      <c r="D11" s="78">
        <f>D10/(1+税金计算表!$F$3)</f>
        <v>33619.2863559633</v>
      </c>
      <c r="E11" s="78">
        <f>E10/(1+税金计算表!$F$3)</f>
        <v>21783.093853211</v>
      </c>
      <c r="F11" s="78">
        <f>F10/(1+税金计算表!$F$3)</f>
        <v>0</v>
      </c>
      <c r="G11" s="78">
        <f>G10/(1+税金计算表!$F$3)</f>
        <v>0</v>
      </c>
      <c r="H11" s="78">
        <f>H10/(1+税金计算表!$F$3)</f>
        <v>0</v>
      </c>
      <c r="I11" s="78">
        <f>I10/(1+税金计算表!$F$3)</f>
        <v>0</v>
      </c>
      <c r="J11" s="78">
        <f>J10/(1+税金计算表!$F$3)</f>
        <v>0</v>
      </c>
      <c r="K11" s="78">
        <f>K10/(1+税金计算表!$F$3)</f>
        <v>0</v>
      </c>
      <c r="L11" s="78">
        <f>L10/(1+税金计算表!$F$3)</f>
        <v>0</v>
      </c>
      <c r="M11" s="78">
        <f>M10/(1+税金计算表!$F$3)</f>
        <v>0</v>
      </c>
      <c r="N11" s="78">
        <f>N10/(1+税金计算表!$F$3)</f>
        <v>0</v>
      </c>
      <c r="O11" s="78">
        <f>O10/(1+税金计算表!$F$3)</f>
        <v>1097.98165137615</v>
      </c>
      <c r="P11" s="78">
        <f>P10/(1+税金计算表!$F$3)</f>
        <v>5267.33119266055</v>
      </c>
      <c r="R11" s="94">
        <f>B10/1.09-B11</f>
        <v>0</v>
      </c>
      <c r="S11" s="96">
        <f>B10/1.09-B11</f>
        <v>0</v>
      </c>
      <c r="T11" s="95"/>
    </row>
    <row r="12" ht="24" customHeight="1" spans="1:20">
      <c r="A12" s="75" t="s">
        <v>656</v>
      </c>
      <c r="B12" s="76">
        <f>C12+D12+E12+K12+L12+M12+O12+P12</f>
        <v>1</v>
      </c>
      <c r="C12" s="79">
        <f>C11/$B$11</f>
        <v>0.0467757724309493</v>
      </c>
      <c r="D12" s="79">
        <f t="shared" ref="D12:P12" si="1">D11/$B$11</f>
        <v>0.51882653672169</v>
      </c>
      <c r="E12" s="79">
        <f t="shared" si="1"/>
        <v>0.336165587314448</v>
      </c>
      <c r="F12" s="79">
        <f t="shared" si="1"/>
        <v>0</v>
      </c>
      <c r="G12" s="79">
        <f t="shared" si="1"/>
        <v>0</v>
      </c>
      <c r="H12" s="79">
        <f t="shared" si="1"/>
        <v>0</v>
      </c>
      <c r="I12" s="79">
        <f t="shared" si="1"/>
        <v>0</v>
      </c>
      <c r="J12" s="79">
        <f t="shared" si="1"/>
        <v>0</v>
      </c>
      <c r="K12" s="79">
        <f t="shared" si="1"/>
        <v>0</v>
      </c>
      <c r="L12" s="79">
        <f t="shared" si="1"/>
        <v>0</v>
      </c>
      <c r="M12" s="79">
        <f t="shared" si="1"/>
        <v>0</v>
      </c>
      <c r="N12" s="79">
        <f t="shared" si="1"/>
        <v>0</v>
      </c>
      <c r="O12" s="79">
        <f t="shared" si="1"/>
        <v>0.0169445005921848</v>
      </c>
      <c r="P12" s="79">
        <f t="shared" si="1"/>
        <v>0.0812876029407286</v>
      </c>
      <c r="R12" s="94">
        <f>B12-1</f>
        <v>0</v>
      </c>
      <c r="S12" s="96"/>
      <c r="T12" s="95"/>
    </row>
    <row r="13" ht="24" customHeight="1" spans="1:20">
      <c r="A13" s="75" t="s">
        <v>713</v>
      </c>
      <c r="B13" s="76">
        <f t="shared" ref="B13" si="2">C13+D13+E13+L13+N13+O13+P13</f>
        <v>7265.09674920221</v>
      </c>
      <c r="C13" s="78">
        <f>成本测算明细!H10</f>
        <v>409.414384481741</v>
      </c>
      <c r="D13" s="78">
        <f>成本测算明细!J10</f>
        <v>4328.57457161965</v>
      </c>
      <c r="E13" s="78">
        <f>成本测算明细!L10</f>
        <v>2481.98831816469</v>
      </c>
      <c r="F13" s="78">
        <f>成本测算明细!N10</f>
        <v>0</v>
      </c>
      <c r="G13" s="78">
        <f>成本测算明细!P10</f>
        <v>0</v>
      </c>
      <c r="H13" s="78">
        <f>成本测算明细!R10</f>
        <v>0</v>
      </c>
      <c r="I13" s="78">
        <f>成本测算明细!T10</f>
        <v>0</v>
      </c>
      <c r="J13" s="78">
        <f>成本测算明细!V10</f>
        <v>0</v>
      </c>
      <c r="K13" s="78">
        <f>成本测算明细!X10</f>
        <v>0</v>
      </c>
      <c r="L13" s="78">
        <f>成本测算明细!Z10</f>
        <v>45.1194749361294</v>
      </c>
      <c r="M13" s="78">
        <f>成本测算明细!AB10</f>
        <v>0</v>
      </c>
      <c r="N13" s="78">
        <f>成本测算明细!AF10</f>
        <v>0</v>
      </c>
      <c r="O13" s="78">
        <f>成本测算明细!AH10</f>
        <v>0</v>
      </c>
      <c r="P13" s="78">
        <f>成本测算明细!AJ10</f>
        <v>0</v>
      </c>
      <c r="R13" s="94"/>
      <c r="S13" s="96"/>
      <c r="T13" s="95"/>
    </row>
    <row r="14" s="37" customFormat="1" ht="24" customHeight="1" spans="1:20">
      <c r="A14" s="80" t="s">
        <v>714</v>
      </c>
      <c r="B14" s="76">
        <f>C14+D14+E14+O14+P14+L14</f>
        <v>47086.4800301439</v>
      </c>
      <c r="C14" s="78">
        <f>成本测算明细!H19+成本测算明细!H73+成本测算明细!H117+成本测算明细!H170+成本测算明细!H187</f>
        <v>1758.74447981814</v>
      </c>
      <c r="D14" s="78">
        <f>成本测算明细!J19+成本测算明细!J73+成本测算明细!J117+成本测算明细!J170+成本测算明细!J187</f>
        <v>17212.716940304</v>
      </c>
      <c r="E14" s="78">
        <f>成本测算明细!L19+成本测算明细!L73+成本测算明细!L117+成本测算明细!L170+成本测算明细!L187</f>
        <v>14652.161169041</v>
      </c>
      <c r="F14" s="78">
        <f>成本测算明细!N19+成本测算明细!N73+成本测算明细!N117+成本测算明细!N170+成本测算明细!N187</f>
        <v>0</v>
      </c>
      <c r="G14" s="78">
        <f>成本测算明细!P19+成本测算明细!P73+成本测算明细!P117+成本测算明细!P170+成本测算明细!P187</f>
        <v>0</v>
      </c>
      <c r="H14" s="78">
        <f>成本测算明细!R19+成本测算明细!R73+成本测算明细!R117+成本测算明细!R170+成本测算明细!R187</f>
        <v>0</v>
      </c>
      <c r="I14" s="78">
        <f>成本测算明细!T19+成本测算明细!T73+成本测算明细!T117+成本测算明细!T170+成本测算明细!T187</f>
        <v>0</v>
      </c>
      <c r="J14" s="78">
        <f>成本测算明细!V19+成本测算明细!V73+成本测算明细!V117+成本测算明细!V170+成本测算明细!V187</f>
        <v>0</v>
      </c>
      <c r="K14" s="78">
        <f>成本测算明细!X19+成本测算明细!X73+成本测算明细!X117+成本测算明细!X170+成本测算明细!X187</f>
        <v>0</v>
      </c>
      <c r="L14" s="78">
        <f>成本测算明细!Z19+成本测算明细!Z73+成本测算明细!Z117+成本测算明细!Z170+成本测算明细!Z187</f>
        <v>207.191480175766</v>
      </c>
      <c r="M14" s="78">
        <f>成本测算明细!AB19+成本测算明细!AB73+成本测算明细!AB117+成本测算明细!AB170+成本测算明细!AB187</f>
        <v>0</v>
      </c>
      <c r="N14" s="78" t="e">
        <f>成本测算明细!AF19+成本测算明细!AF73+成本测算明细!AF117+成本测算明细!AF170+成本测算明细!AF187</f>
        <v>#REF!</v>
      </c>
      <c r="O14" s="78">
        <f>成本测算明细!AH19+成本测算明细!AH73+成本测算明细!AH117+成本测算明细!AH170+成本测算明细!AH187</f>
        <v>2590.99751374359</v>
      </c>
      <c r="P14" s="78">
        <f>成本测算明细!AJ19+成本测算明细!AJ73+成本测算明细!AJ117+成本测算明细!AJ170+成本测算明细!AJ187</f>
        <v>10664.6684470614</v>
      </c>
      <c r="R14" s="97">
        <f>B13+B14-税金计算表!E36</f>
        <v>-6.54836185276508e-11</v>
      </c>
      <c r="S14" s="98">
        <f>B13+B14-成本测算明细!D192</f>
        <v>-8.00355337560177e-11</v>
      </c>
      <c r="T14" s="95"/>
    </row>
    <row r="15" ht="24" customHeight="1" spans="1:20">
      <c r="A15" s="75" t="s">
        <v>715</v>
      </c>
      <c r="B15" s="76">
        <f>C15+D15+E15+O15+P15+L15</f>
        <v>14486.0960161832</v>
      </c>
      <c r="C15" s="78">
        <f>C11-C13-C14+C13*税金计算表!$E$1/(1+税金计算表!$F$1)*税金计算表!$F$1+C14*税金计算表!$E$1*税金计算表!$F$1/(1+税金计算表!$F$1)</f>
        <v>1023.97055589122</v>
      </c>
      <c r="D15" s="78">
        <f>D11-D13-D14+D13*税金计算表!$E$1/(1+税金计算表!$F$1)*税金计算表!$F$1+D14*税金计算表!$E$1*税金计算表!$F$1/(1+税金计算表!$F$1)</f>
        <v>13678.7697178615</v>
      </c>
      <c r="E15" s="78">
        <f>E11-E13-E14+E13*税金计算表!$E$1/(1+税金计算表!$F$1)*税金计算表!$F$1+E14*税金计算表!$E$1*税金计算表!$F$1/(1+税金计算表!$F$1)</f>
        <v>5922.21602514624</v>
      </c>
      <c r="F15" s="78">
        <f>F11-F13-F14+F13*税金计算表!$E$1/(1+税金计算表!$F$1)*税金计算表!$F$1+F14*税金计算表!$E$1*税金计算表!$F$1/(1+税金计算表!$F$1)</f>
        <v>0</v>
      </c>
      <c r="G15" s="78">
        <f>G11-G13-G14+G13*税金计算表!$E$1/(1+税金计算表!$F$1)*税金计算表!$F$1+G14*税金计算表!$E$1*税金计算表!$F$1/(1+税金计算表!$F$1)</f>
        <v>0</v>
      </c>
      <c r="H15" s="78">
        <f>H11-H13-H14+H13*税金计算表!$E$1/(1+税金计算表!$F$1)*税金计算表!$F$1+H14*税金计算表!$E$1*税金计算表!$F$1/(1+税金计算表!$F$1)</f>
        <v>0</v>
      </c>
      <c r="I15" s="78">
        <f>I11-I13-I14+I13*税金计算表!$E$1/(1+税金计算表!$F$1)*税金计算表!$F$1+I14*税金计算表!$E$1*税金计算表!$F$1/(1+税金计算表!$F$1)</f>
        <v>0</v>
      </c>
      <c r="J15" s="78">
        <f>J11-J13-J14+J13*税金计算表!$E$1/(1+税金计算表!$F$1)*税金计算表!$F$1+J14*税金计算表!$E$1*税金计算表!$F$1/(1+税金计算表!$F$1)</f>
        <v>0</v>
      </c>
      <c r="K15" s="78">
        <f>K11-K13-K14+K13*税金计算表!$E$1/(1+税金计算表!$F$1)*税金计算表!$F$1+K14*税金计算表!$E$1*税金计算表!$F$1/(1+税金计算表!$F$1)</f>
        <v>0</v>
      </c>
      <c r="L15" s="78">
        <f>L11-L13-L14+L13*税金计算表!$E$1/(1+税金计算表!$F$1)*税金计算表!$F$1+L14*税金计算表!$E$1*税金计算表!$F$1/(1+税金计算表!$F$1)</f>
        <v>-233.561241933856</v>
      </c>
      <c r="M15" s="78">
        <f>M11-M13-M14+M13*税金计算表!$E$1/(1+税金计算表!$F$1)*税金计算表!$F$1+M14*税金计算表!$E$1*税金计算表!$F$1/(1+税金计算表!$F$1)</f>
        <v>0</v>
      </c>
      <c r="N15" s="78" t="e">
        <f>N11-N13-N14+N13*税金计算表!$E$1/(1+税金计算表!$F$1)*税金计算表!$F$1+N14*税金计算表!$E$1*税金计算表!$F$1/(1+税金计算表!$F$1)</f>
        <v>#REF!</v>
      </c>
      <c r="O15" s="78">
        <f>O11-O13-O14+O13*税金计算表!$E$1/(1+税金计算表!$F$1)*税金计算表!$F$1+O14*税金计算表!$E$1*税金计算表!$F$1/(1+税金计算表!$F$1)</f>
        <v>-1300.47384529108</v>
      </c>
      <c r="P15" s="78">
        <f>P11-P13-P14+P13*税金计算表!$E$1/(1+税金计算表!$F$1)*税金计算表!$F$1+P14*税金计算表!$E$1*税金计算表!$F$1/(1+税金计算表!$F$1)</f>
        <v>-4604.82519549081</v>
      </c>
      <c r="R15" s="94"/>
      <c r="S15" s="96"/>
      <c r="T15" s="95"/>
    </row>
    <row r="16" ht="24" customHeight="1" spans="1:20">
      <c r="A16" s="75" t="s">
        <v>616</v>
      </c>
      <c r="B16" s="76">
        <f>C16+D16+E16+O16+P16+L16</f>
        <v>4601.9151885885</v>
      </c>
      <c r="C16" s="76">
        <f>税金计算表!F22</f>
        <v>207.033371473704</v>
      </c>
      <c r="D16" s="76">
        <f>税金计算表!F23</f>
        <v>2241.25251066162</v>
      </c>
      <c r="E16" s="76">
        <f>税金计算表!F24</f>
        <v>1522.0136906265</v>
      </c>
      <c r="F16" s="76" t="e">
        <f>税金计算表!F25</f>
        <v>#REF!</v>
      </c>
      <c r="G16" s="76" t="e">
        <f>税金计算表!F26</f>
        <v>#REF!</v>
      </c>
      <c r="H16" s="76" t="e">
        <f>税金计算表!F27</f>
        <v>#REF!</v>
      </c>
      <c r="I16" s="76" t="e">
        <f>税金计算表!F28</f>
        <v>#REF!</v>
      </c>
      <c r="J16" s="76" t="e">
        <f>税金计算表!F29</f>
        <v>#REF!</v>
      </c>
      <c r="K16" s="76"/>
      <c r="L16" s="76">
        <f>税金计算表!F31</f>
        <v>5.54601799171053</v>
      </c>
      <c r="M16" s="76"/>
      <c r="N16" s="76" t="e">
        <f>税金计算表!F33</f>
        <v>#REF!</v>
      </c>
      <c r="O16" s="76">
        <f>税金计算表!F34</f>
        <v>114.686049390384</v>
      </c>
      <c r="P16" s="76">
        <f>税金计算表!F35</f>
        <v>511.383548444578</v>
      </c>
      <c r="R16" s="94">
        <f>IF(B16=税金计算表!F36,0,1)</f>
        <v>0</v>
      </c>
      <c r="S16" s="96">
        <f>B16-预计销售收入及费用情况表!H28-预计销售收入及费用情况表!I28-项目资金筹措!C19</f>
        <v>0</v>
      </c>
      <c r="T16" s="95"/>
    </row>
    <row r="17" ht="37.5" customHeight="1" spans="1:20">
      <c r="A17" s="81" t="s">
        <v>716</v>
      </c>
      <c r="B17" s="76">
        <f>C17+D17+E17+O17+P17+L17</f>
        <v>2893.1594051618</v>
      </c>
      <c r="C17" s="76">
        <f>税金计算表!J22+税金计算表!N22</f>
        <v>135.329765942309</v>
      </c>
      <c r="D17" s="76">
        <f>税金计算表!J23+税金计算表!N23</f>
        <v>1501.04787436388</v>
      </c>
      <c r="E17" s="76">
        <f>税金计算表!J24+税金计算表!N24</f>
        <v>972.580630630536</v>
      </c>
      <c r="F17" s="76">
        <f>税金计算表!J25+税金计算表!N25</f>
        <v>0</v>
      </c>
      <c r="G17" s="76">
        <f>税金计算表!J26+税金计算表!N26</f>
        <v>0</v>
      </c>
      <c r="H17" s="76">
        <f>税金计算表!J27+税金计算表!N27</f>
        <v>0</v>
      </c>
      <c r="I17" s="76">
        <f>税金计算表!J28+税金计算表!N28</f>
        <v>0</v>
      </c>
      <c r="J17" s="76">
        <f>税金计算表!J29+税金计算表!N29</f>
        <v>0</v>
      </c>
      <c r="K17" s="76">
        <f>税金计算表!J30+税金计算表!N30</f>
        <v>0</v>
      </c>
      <c r="L17" s="76">
        <f>税金计算表!J31+税金计算表!N31</f>
        <v>0</v>
      </c>
      <c r="M17" s="76">
        <f>税金计算表!J32+税金计算表!N32</f>
        <v>0</v>
      </c>
      <c r="N17" s="76">
        <f>税金计算表!J33+税金计算表!N33</f>
        <v>0</v>
      </c>
      <c r="O17" s="76">
        <f>税金计算表!J34+税金计算表!N34</f>
        <v>49.023141254049</v>
      </c>
      <c r="P17" s="76">
        <f>税金计算表!J35+税金计算表!N35</f>
        <v>235.177992971028</v>
      </c>
      <c r="R17" s="94">
        <f>B17-税金计算表!N36-税金计算表!J36</f>
        <v>-9.37916411203332e-13</v>
      </c>
      <c r="S17" s="99">
        <f>B17-税金计算表!N36-税金计算表!J36</f>
        <v>-9.37916411203332e-13</v>
      </c>
      <c r="T17" s="95"/>
    </row>
    <row r="18" ht="24" customHeight="1" spans="1:20">
      <c r="A18" s="75" t="s">
        <v>717</v>
      </c>
      <c r="B18" s="76">
        <f>C18+D18+E18+O18+P18+L18</f>
        <v>7121.26430512881</v>
      </c>
      <c r="C18" s="76">
        <f>C15-C16+C16*税金计算表!$E$2*税金计算表!$F$2/(1+税金计算表!$F$2)-C17</f>
        <v>687.466853516915</v>
      </c>
      <c r="D18" s="76">
        <f>D15-D16+D16*税金计算表!$E$2*税金计算表!$F$2/(1+税金计算表!$F$2)-D17</f>
        <v>9999.90100766604</v>
      </c>
      <c r="E18" s="76">
        <f>E15-E16+E16*税金计算表!$E$2*税金计算表!$F$2/(1+税金计算表!$F$2)-E17</f>
        <v>3470.69756305788</v>
      </c>
      <c r="F18" s="76" t="e">
        <f>F15-F16+F16*税金计算表!$E$2*税金计算表!$F$2/(1+税金计算表!$F$2)-F17</f>
        <v>#REF!</v>
      </c>
      <c r="G18" s="76" t="e">
        <f>G15-G16+G16*税金计算表!$E$2*税金计算表!$F$2/(1+税金计算表!$F$2)-G17</f>
        <v>#REF!</v>
      </c>
      <c r="H18" s="76" t="e">
        <f>H15-H16+H16*税金计算表!$E$2*税金计算表!$F$2/(1+税金计算表!$F$2)-H17</f>
        <v>#REF!</v>
      </c>
      <c r="I18" s="76" t="e">
        <f>I15-I16+I16*税金计算表!$E$2*税金计算表!$F$2/(1+税金计算表!$F$2)-I17</f>
        <v>#REF!</v>
      </c>
      <c r="J18" s="76" t="e">
        <f>J15-J16+J16*税金计算表!$E$2*税金计算表!$F$2/(1+税金计算表!$F$2)-J17</f>
        <v>#REF!</v>
      </c>
      <c r="K18" s="76">
        <f>K15-K16+K16*税金计算表!$E$2*税金计算表!$F$2/(1+税金计算表!$F$2)-K17</f>
        <v>0</v>
      </c>
      <c r="L18" s="76">
        <f>L15-L16+L16*税金计算表!$E$2*税金计算表!$F$2/(1+税金计算表!$F$2)-L17</f>
        <v>-238.950297152216</v>
      </c>
      <c r="M18" s="76">
        <f>M15-M16+M16*税金计算表!$E$2*税金计算表!$F$2/(1+税金计算表!$F$2)-M17</f>
        <v>0</v>
      </c>
      <c r="N18" s="76" t="e">
        <f>N15-N16+N16*税金计算表!$E$2*税金计算表!$F$2/(1+税金计算表!$F$2)-N17</f>
        <v>#REF!</v>
      </c>
      <c r="O18" s="76">
        <f>O15-O16+O16*税金计算表!$E$2*税金计算表!$F$2/(1+税金计算表!$F$2)-O17</f>
        <v>-1460.93720434899</v>
      </c>
      <c r="P18" s="76">
        <f>P15-P16+P16*税金计算表!$E$2*税金计算表!$F$2/(1+税金计算表!$F$2)-P17</f>
        <v>-5336.91361761081</v>
      </c>
      <c r="R18" s="100">
        <f>B18-税金计算表!E37</f>
        <v>3.45607986673713e-11</v>
      </c>
      <c r="T18" s="95"/>
    </row>
    <row r="19" ht="24" customHeight="1" spans="1:21">
      <c r="A19" s="75" t="s">
        <v>718</v>
      </c>
      <c r="B19" s="76">
        <f>IF(B18*0.25&lt;0,0,B18*0.25)</f>
        <v>1780.3160762822</v>
      </c>
      <c r="C19" s="76">
        <f t="shared" ref="C19:P19" si="3">C18*0.25</f>
        <v>171.866713379229</v>
      </c>
      <c r="D19" s="76">
        <f t="shared" si="3"/>
        <v>2499.97525191651</v>
      </c>
      <c r="E19" s="76">
        <f t="shared" si="3"/>
        <v>867.674390764469</v>
      </c>
      <c r="F19" s="76" t="e">
        <f t="shared" si="3"/>
        <v>#REF!</v>
      </c>
      <c r="G19" s="76" t="e">
        <f t="shared" si="3"/>
        <v>#REF!</v>
      </c>
      <c r="H19" s="76" t="e">
        <f t="shared" si="3"/>
        <v>#REF!</v>
      </c>
      <c r="I19" s="76" t="e">
        <f t="shared" si="3"/>
        <v>#REF!</v>
      </c>
      <c r="J19" s="76" t="e">
        <f t="shared" si="3"/>
        <v>#REF!</v>
      </c>
      <c r="K19" s="76">
        <f t="shared" si="3"/>
        <v>0</v>
      </c>
      <c r="L19" s="76">
        <f t="shared" si="3"/>
        <v>-59.737574288054</v>
      </c>
      <c r="M19" s="76">
        <f t="shared" si="3"/>
        <v>0</v>
      </c>
      <c r="N19" s="76" t="e">
        <f t="shared" si="3"/>
        <v>#REF!</v>
      </c>
      <c r="O19" s="76">
        <f t="shared" si="3"/>
        <v>-365.234301087248</v>
      </c>
      <c r="P19" s="76">
        <f t="shared" si="3"/>
        <v>-1334.2284044027</v>
      </c>
      <c r="R19" s="94"/>
      <c r="T19" s="95"/>
      <c r="U19" s="101"/>
    </row>
    <row r="20" ht="24" customHeight="1" spans="1:20">
      <c r="A20" s="75" t="s">
        <v>719</v>
      </c>
      <c r="B20" s="76">
        <f>B18-B19</f>
        <v>5340.9482288466</v>
      </c>
      <c r="C20" s="76">
        <f t="shared" ref="C20:P20" si="4">IF(C18&gt;0,C18-C19,C18)</f>
        <v>515.600140137686</v>
      </c>
      <c r="D20" s="76">
        <f t="shared" si="4"/>
        <v>7499.92575574953</v>
      </c>
      <c r="E20" s="76">
        <f t="shared" si="4"/>
        <v>2603.02317229341</v>
      </c>
      <c r="F20" s="76" t="e">
        <f t="shared" si="4"/>
        <v>#REF!</v>
      </c>
      <c r="G20" s="76" t="e">
        <f t="shared" si="4"/>
        <v>#REF!</v>
      </c>
      <c r="H20" s="76" t="e">
        <f t="shared" si="4"/>
        <v>#REF!</v>
      </c>
      <c r="I20" s="76" t="e">
        <f t="shared" si="4"/>
        <v>#REF!</v>
      </c>
      <c r="J20" s="76" t="e">
        <f t="shared" si="4"/>
        <v>#REF!</v>
      </c>
      <c r="K20" s="76">
        <f t="shared" si="4"/>
        <v>0</v>
      </c>
      <c r="L20" s="76">
        <f t="shared" si="4"/>
        <v>-238.950297152216</v>
      </c>
      <c r="M20" s="76">
        <f t="shared" si="4"/>
        <v>0</v>
      </c>
      <c r="N20" s="76" t="e">
        <f t="shared" si="4"/>
        <v>#REF!</v>
      </c>
      <c r="O20" s="76">
        <f t="shared" si="4"/>
        <v>-1460.93720434899</v>
      </c>
      <c r="P20" s="76">
        <f t="shared" si="4"/>
        <v>-5336.91361761081</v>
      </c>
      <c r="R20" s="94"/>
      <c r="S20" s="99"/>
      <c r="T20" s="95">
        <f>B10-B13-B14-B16-B22</f>
        <v>5340.94822884664</v>
      </c>
    </row>
    <row r="21" ht="24" customHeight="1" spans="1:20">
      <c r="A21" s="75" t="s">
        <v>720</v>
      </c>
      <c r="B21" s="79">
        <f>B20/B11</f>
        <v>0.0824236910635912</v>
      </c>
      <c r="C21" s="79">
        <f t="shared" ref="C21:P21" si="5">C20/C11</f>
        <v>0.170108396007143</v>
      </c>
      <c r="D21" s="79">
        <f t="shared" si="5"/>
        <v>0.223084026125356</v>
      </c>
      <c r="E21" s="79">
        <f t="shared" si="5"/>
        <v>0.119497404263798</v>
      </c>
      <c r="F21" s="79" t="e">
        <f t="shared" si="5"/>
        <v>#REF!</v>
      </c>
      <c r="G21" s="79" t="e">
        <f t="shared" si="5"/>
        <v>#REF!</v>
      </c>
      <c r="H21" s="79" t="e">
        <f t="shared" si="5"/>
        <v>#REF!</v>
      </c>
      <c r="I21" s="79" t="e">
        <f t="shared" si="5"/>
        <v>#REF!</v>
      </c>
      <c r="J21" s="79" t="e">
        <f t="shared" si="5"/>
        <v>#REF!</v>
      </c>
      <c r="K21" s="79" t="e">
        <f t="shared" si="5"/>
        <v>#DIV/0!</v>
      </c>
      <c r="L21" s="79" t="e">
        <f t="shared" si="5"/>
        <v>#DIV/0!</v>
      </c>
      <c r="M21" s="79" t="e">
        <f t="shared" si="5"/>
        <v>#DIV/0!</v>
      </c>
      <c r="N21" s="79" t="e">
        <f t="shared" si="5"/>
        <v>#REF!</v>
      </c>
      <c r="O21" s="79">
        <f t="shared" si="5"/>
        <v>-1.33056613698228</v>
      </c>
      <c r="P21" s="79">
        <f t="shared" si="5"/>
        <v>-1.01321018603258</v>
      </c>
      <c r="R21" s="94"/>
      <c r="T21" s="95"/>
    </row>
    <row r="22" ht="24" customHeight="1" spans="1:20">
      <c r="A22" s="75" t="s">
        <v>721</v>
      </c>
      <c r="B22" s="76">
        <f>B19+税金计算表!Q36</f>
        <v>6336.14543121871</v>
      </c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R22" s="94"/>
      <c r="T22" s="95"/>
    </row>
    <row r="23" ht="24" customHeight="1" spans="1:18">
      <c r="A23" s="75" t="s">
        <v>722</v>
      </c>
      <c r="B23" s="79">
        <f>B22/B11</f>
        <v>0.0977819801240681</v>
      </c>
      <c r="C23" s="82"/>
      <c r="D23" s="82"/>
      <c r="E23" s="82"/>
      <c r="F23" s="82"/>
      <c r="G23" s="82"/>
      <c r="H23" s="82"/>
      <c r="I23" s="82"/>
      <c r="J23" s="82"/>
      <c r="K23" s="82"/>
      <c r="L23" s="82"/>
      <c r="M23" s="82"/>
      <c r="N23" s="82"/>
      <c r="O23" s="82"/>
      <c r="P23" s="82"/>
      <c r="R23" s="94"/>
    </row>
    <row r="24" ht="24" hidden="1" customHeight="1" spans="1:16">
      <c r="A24" s="83" t="s">
        <v>696</v>
      </c>
      <c r="B24" s="84">
        <f>B9</f>
        <v>5274.20726648759</v>
      </c>
      <c r="C24" s="84">
        <f t="shared" ref="C24:P24" si="6">C9</f>
        <v>6200</v>
      </c>
      <c r="D24" s="84">
        <f t="shared" si="6"/>
        <v>6504.45773462893</v>
      </c>
      <c r="E24" s="84">
        <f t="shared" si="6"/>
        <v>7350</v>
      </c>
      <c r="F24" s="84" t="e">
        <f t="shared" si="6"/>
        <v>#DIV/0!</v>
      </c>
      <c r="G24" s="84" t="e">
        <f t="shared" si="6"/>
        <v>#DIV/0!</v>
      </c>
      <c r="H24" s="84" t="e">
        <f t="shared" si="6"/>
        <v>#DIV/0!</v>
      </c>
      <c r="I24" s="84" t="e">
        <f t="shared" si="6"/>
        <v>#DIV/0!</v>
      </c>
      <c r="J24" s="84" t="e">
        <f t="shared" si="6"/>
        <v>#DIV/0!</v>
      </c>
      <c r="K24" s="84">
        <f t="shared" si="6"/>
        <v>0</v>
      </c>
      <c r="L24" s="84">
        <f t="shared" si="6"/>
        <v>0</v>
      </c>
      <c r="M24" s="84">
        <f t="shared" si="6"/>
        <v>0</v>
      </c>
      <c r="N24" s="84" t="e">
        <f t="shared" si="6"/>
        <v>#DIV/0!</v>
      </c>
      <c r="O24" s="84">
        <f t="shared" si="6"/>
        <v>1818.41663437944</v>
      </c>
      <c r="P24" s="84">
        <f t="shared" si="6"/>
        <v>1751.65451585504</v>
      </c>
    </row>
    <row r="25" ht="29.25" customHeight="1" spans="1:16">
      <c r="A25" s="83" t="s">
        <v>723</v>
      </c>
      <c r="B25" s="85">
        <f>B13*10000/B$8</f>
        <v>542.507551447902</v>
      </c>
      <c r="C25" s="85">
        <f>C13*10000/C$8</f>
        <v>768.318006575213</v>
      </c>
      <c r="D25" s="85">
        <f t="shared" ref="D25:P25" si="7">D13*10000/D$8</f>
        <v>768.318006575213</v>
      </c>
      <c r="E25" s="85">
        <f t="shared" si="7"/>
        <v>768.318006575214</v>
      </c>
      <c r="F25" s="85" t="e">
        <f t="shared" si="7"/>
        <v>#DIV/0!</v>
      </c>
      <c r="G25" s="85" t="e">
        <f t="shared" si="7"/>
        <v>#DIV/0!</v>
      </c>
      <c r="H25" s="85" t="e">
        <f t="shared" si="7"/>
        <v>#DIV/0!</v>
      </c>
      <c r="I25" s="85" t="e">
        <f t="shared" si="7"/>
        <v>#DIV/0!</v>
      </c>
      <c r="J25" s="85" t="e">
        <f t="shared" si="7"/>
        <v>#DIV/0!</v>
      </c>
      <c r="K25" s="85" t="e">
        <f t="shared" si="7"/>
        <v>#DIV/0!</v>
      </c>
      <c r="L25" s="85">
        <f t="shared" si="7"/>
        <v>768.318006575214</v>
      </c>
      <c r="M25" s="85" t="e">
        <f t="shared" si="7"/>
        <v>#DIV/0!</v>
      </c>
      <c r="N25" s="85" t="e">
        <f t="shared" si="7"/>
        <v>#DIV/0!</v>
      </c>
      <c r="O25" s="85">
        <f t="shared" si="7"/>
        <v>0</v>
      </c>
      <c r="P25" s="85">
        <f t="shared" si="7"/>
        <v>0</v>
      </c>
    </row>
    <row r="26" ht="29.25" customHeight="1" spans="1:16">
      <c r="A26" s="83" t="s">
        <v>724</v>
      </c>
      <c r="B26" s="85">
        <f t="shared" ref="B26:P28" si="8">B14*10000/B$8</f>
        <v>3516.09508713824</v>
      </c>
      <c r="C26" s="85">
        <f t="shared" si="8"/>
        <v>3300.50702668777</v>
      </c>
      <c r="D26" s="85">
        <f t="shared" si="8"/>
        <v>3055.24143075335</v>
      </c>
      <c r="E26" s="85">
        <f t="shared" si="8"/>
        <v>4535.68583664437</v>
      </c>
      <c r="F26" s="85" t="e">
        <f t="shared" si="8"/>
        <v>#DIV/0!</v>
      </c>
      <c r="G26" s="85" t="e">
        <f t="shared" si="8"/>
        <v>#DIV/0!</v>
      </c>
      <c r="H26" s="85" t="e">
        <f t="shared" si="8"/>
        <v>#DIV/0!</v>
      </c>
      <c r="I26" s="85" t="e">
        <f t="shared" si="8"/>
        <v>#DIV/0!</v>
      </c>
      <c r="J26" s="85" t="e">
        <f t="shared" si="8"/>
        <v>#DIV/0!</v>
      </c>
      <c r="K26" s="85" t="e">
        <f t="shared" si="8"/>
        <v>#DIV/0!</v>
      </c>
      <c r="L26" s="85">
        <f t="shared" si="8"/>
        <v>3528.16483909351</v>
      </c>
      <c r="M26" s="85" t="e">
        <f t="shared" si="8"/>
        <v>#DIV/0!</v>
      </c>
      <c r="N26" s="85" t="e">
        <f t="shared" si="8"/>
        <v>#REF!</v>
      </c>
      <c r="O26" s="85">
        <f t="shared" si="8"/>
        <v>3936.75883909351</v>
      </c>
      <c r="P26" s="85">
        <f t="shared" si="8"/>
        <v>3253.70883909351</v>
      </c>
    </row>
    <row r="27" ht="29.25" customHeight="1" spans="1:16">
      <c r="A27" s="83" t="s">
        <v>725</v>
      </c>
      <c r="B27" s="85">
        <f t="shared" si="8"/>
        <v>1081.72220564602</v>
      </c>
      <c r="C27" s="85">
        <f t="shared" si="8"/>
        <v>1921.61058847492</v>
      </c>
      <c r="D27" s="85">
        <f t="shared" si="8"/>
        <v>2427.96904804074</v>
      </c>
      <c r="E27" s="85">
        <f t="shared" si="8"/>
        <v>1833.2661671481</v>
      </c>
      <c r="F27" s="85" t="e">
        <f t="shared" si="8"/>
        <v>#DIV/0!</v>
      </c>
      <c r="G27" s="85" t="e">
        <f t="shared" si="8"/>
        <v>#DIV/0!</v>
      </c>
      <c r="H27" s="85" t="e">
        <f t="shared" si="8"/>
        <v>#DIV/0!</v>
      </c>
      <c r="I27" s="85" t="e">
        <f t="shared" si="8"/>
        <v>#DIV/0!</v>
      </c>
      <c r="J27" s="85" t="e">
        <f t="shared" si="8"/>
        <v>#DIV/0!</v>
      </c>
      <c r="K27" s="85" t="e">
        <f t="shared" si="8"/>
        <v>#DIV/0!</v>
      </c>
      <c r="L27" s="85">
        <f t="shared" si="8"/>
        <v>-3977.20292777958</v>
      </c>
      <c r="M27" s="85" t="e">
        <f t="shared" si="8"/>
        <v>#DIV/0!</v>
      </c>
      <c r="N27" s="85" t="e">
        <f t="shared" si="8"/>
        <v>#REF!</v>
      </c>
      <c r="O27" s="85">
        <f t="shared" si="8"/>
        <v>-1975.9385635467</v>
      </c>
      <c r="P27" s="85">
        <f t="shared" si="8"/>
        <v>-1404.89697503698</v>
      </c>
    </row>
    <row r="28" ht="29.25" customHeight="1" spans="1:16">
      <c r="A28" s="83" t="s">
        <v>616</v>
      </c>
      <c r="B28" s="85">
        <f t="shared" si="8"/>
        <v>343.639434837011</v>
      </c>
      <c r="C28" s="85">
        <f t="shared" si="8"/>
        <v>388.524373579543</v>
      </c>
      <c r="D28" s="85">
        <f t="shared" si="8"/>
        <v>397.820259933492</v>
      </c>
      <c r="E28" s="85">
        <f t="shared" si="8"/>
        <v>471.150696481538</v>
      </c>
      <c r="F28" s="85" t="e">
        <f t="shared" si="8"/>
        <v>#REF!</v>
      </c>
      <c r="G28" s="85" t="e">
        <f t="shared" si="8"/>
        <v>#REF!</v>
      </c>
      <c r="H28" s="85" t="e">
        <f t="shared" si="8"/>
        <v>#REF!</v>
      </c>
      <c r="I28" s="85" t="e">
        <f t="shared" si="8"/>
        <v>#REF!</v>
      </c>
      <c r="J28" s="85" t="e">
        <f t="shared" si="8"/>
        <v>#REF!</v>
      </c>
      <c r="K28" s="85" t="e">
        <f t="shared" si="8"/>
        <v>#DIV/0!</v>
      </c>
      <c r="L28" s="85">
        <f t="shared" si="8"/>
        <v>94.4404936860031</v>
      </c>
      <c r="M28" s="85" t="e">
        <f t="shared" si="8"/>
        <v>#DIV/0!</v>
      </c>
      <c r="N28" s="85" t="e">
        <f t="shared" si="8"/>
        <v>#REF!</v>
      </c>
      <c r="O28" s="85">
        <f t="shared" si="8"/>
        <v>174.253860246271</v>
      </c>
      <c r="P28" s="85">
        <f t="shared" si="8"/>
        <v>156.019212411578</v>
      </c>
    </row>
    <row r="29" ht="29.25" customHeight="1" spans="1:16">
      <c r="A29" s="86" t="s">
        <v>716</v>
      </c>
      <c r="B29" s="85">
        <f t="shared" ref="B29:P29" si="9">B17*10000/B$8</f>
        <v>216.041283278871</v>
      </c>
      <c r="C29" s="85">
        <f t="shared" si="9"/>
        <v>253.963465721176</v>
      </c>
      <c r="D29" s="85">
        <f t="shared" si="9"/>
        <v>266.43461756827</v>
      </c>
      <c r="E29" s="85">
        <f t="shared" si="9"/>
        <v>301.069592427524</v>
      </c>
      <c r="F29" s="85" t="e">
        <f t="shared" si="9"/>
        <v>#DIV/0!</v>
      </c>
      <c r="G29" s="85" t="e">
        <f t="shared" si="9"/>
        <v>#DIV/0!</v>
      </c>
      <c r="H29" s="85" t="e">
        <f t="shared" si="9"/>
        <v>#DIV/0!</v>
      </c>
      <c r="I29" s="85" t="e">
        <f t="shared" si="9"/>
        <v>#DIV/0!</v>
      </c>
      <c r="J29" s="85" t="e">
        <f t="shared" si="9"/>
        <v>#DIV/0!</v>
      </c>
      <c r="K29" s="85" t="e">
        <f t="shared" si="9"/>
        <v>#DIV/0!</v>
      </c>
      <c r="L29" s="85">
        <f t="shared" si="9"/>
        <v>0</v>
      </c>
      <c r="M29" s="85" t="e">
        <f t="shared" si="9"/>
        <v>#DIV/0!</v>
      </c>
      <c r="N29" s="85" t="e">
        <f t="shared" si="9"/>
        <v>#DIV/0!</v>
      </c>
      <c r="O29" s="85">
        <f t="shared" si="9"/>
        <v>74.4857081600064</v>
      </c>
      <c r="P29" s="85">
        <f t="shared" si="9"/>
        <v>71.7510083214025</v>
      </c>
    </row>
    <row r="30" ht="29.25" customHeight="1" spans="1:16">
      <c r="A30" s="83" t="s">
        <v>717</v>
      </c>
      <c r="B30" s="85">
        <f t="shared" ref="B30:P30" si="10">B18*10000/B$8</f>
        <v>531.767131912319</v>
      </c>
      <c r="C30" s="85">
        <f t="shared" si="10"/>
        <v>1290.11872201136</v>
      </c>
      <c r="D30" s="85">
        <f t="shared" si="10"/>
        <v>1774.97323449937</v>
      </c>
      <c r="E30" s="85">
        <f t="shared" si="10"/>
        <v>1074.38033191305</v>
      </c>
      <c r="F30" s="85" t="e">
        <f t="shared" si="10"/>
        <v>#REF!</v>
      </c>
      <c r="G30" s="85" t="e">
        <f t="shared" si="10"/>
        <v>#REF!</v>
      </c>
      <c r="H30" s="85" t="e">
        <f t="shared" si="10"/>
        <v>#REF!</v>
      </c>
      <c r="I30" s="85" t="e">
        <f t="shared" si="10"/>
        <v>#REF!</v>
      </c>
      <c r="J30" s="85" t="e">
        <f t="shared" si="10"/>
        <v>#REF!</v>
      </c>
      <c r="K30" s="85" t="e">
        <f t="shared" si="10"/>
        <v>#DIV/0!</v>
      </c>
      <c r="L30" s="85">
        <f t="shared" si="10"/>
        <v>-4068.97057730466</v>
      </c>
      <c r="M30" s="85" t="e">
        <f t="shared" si="10"/>
        <v>#DIV/0!</v>
      </c>
      <c r="N30" s="85" t="e">
        <f t="shared" si="10"/>
        <v>#REF!</v>
      </c>
      <c r="O30" s="85">
        <f t="shared" si="10"/>
        <v>-2219.74641892714</v>
      </c>
      <c r="P30" s="85">
        <f t="shared" si="10"/>
        <v>-1628.25155768284</v>
      </c>
    </row>
    <row r="31" ht="29.25" customHeight="1" spans="1:16">
      <c r="A31" s="83" t="s">
        <v>718</v>
      </c>
      <c r="B31" s="85">
        <f t="shared" ref="B31:P31" si="11">B19*10000/B$8</f>
        <v>132.94178297808</v>
      </c>
      <c r="C31" s="85">
        <f t="shared" si="11"/>
        <v>322.52968050284</v>
      </c>
      <c r="D31" s="85">
        <f t="shared" si="11"/>
        <v>443.743308624842</v>
      </c>
      <c r="E31" s="85">
        <f t="shared" si="11"/>
        <v>268.595082978261</v>
      </c>
      <c r="F31" s="85" t="e">
        <f t="shared" si="11"/>
        <v>#REF!</v>
      </c>
      <c r="G31" s="85" t="e">
        <f t="shared" si="11"/>
        <v>#REF!</v>
      </c>
      <c r="H31" s="85" t="e">
        <f t="shared" si="11"/>
        <v>#REF!</v>
      </c>
      <c r="I31" s="85" t="e">
        <f t="shared" si="11"/>
        <v>#REF!</v>
      </c>
      <c r="J31" s="85" t="e">
        <f t="shared" si="11"/>
        <v>#REF!</v>
      </c>
      <c r="K31" s="85" t="e">
        <f t="shared" si="11"/>
        <v>#DIV/0!</v>
      </c>
      <c r="L31" s="85">
        <f t="shared" si="11"/>
        <v>-1017.24264432616</v>
      </c>
      <c r="M31" s="85" t="e">
        <f t="shared" si="11"/>
        <v>#DIV/0!</v>
      </c>
      <c r="N31" s="85" t="e">
        <f t="shared" si="11"/>
        <v>#REF!</v>
      </c>
      <c r="O31" s="85">
        <f t="shared" si="11"/>
        <v>-554.936604731785</v>
      </c>
      <c r="P31" s="85">
        <f t="shared" si="11"/>
        <v>-407.06288942071</v>
      </c>
    </row>
    <row r="32" ht="29.25" customHeight="1" spans="1:16">
      <c r="A32" s="83" t="s">
        <v>719</v>
      </c>
      <c r="B32" s="85">
        <f t="shared" ref="B32:P32" si="12">B20*10000/B$8</f>
        <v>398.825348934239</v>
      </c>
      <c r="C32" s="85">
        <f t="shared" si="12"/>
        <v>967.58904150852</v>
      </c>
      <c r="D32" s="85">
        <f t="shared" si="12"/>
        <v>1331.22992587453</v>
      </c>
      <c r="E32" s="85">
        <f t="shared" si="12"/>
        <v>805.785248934784</v>
      </c>
      <c r="F32" s="85" t="e">
        <f t="shared" si="12"/>
        <v>#REF!</v>
      </c>
      <c r="G32" s="85" t="e">
        <f t="shared" si="12"/>
        <v>#REF!</v>
      </c>
      <c r="H32" s="85" t="e">
        <f t="shared" si="12"/>
        <v>#REF!</v>
      </c>
      <c r="I32" s="85" t="e">
        <f t="shared" si="12"/>
        <v>#REF!</v>
      </c>
      <c r="J32" s="85" t="e">
        <f t="shared" si="12"/>
        <v>#REF!</v>
      </c>
      <c r="K32" s="85" t="e">
        <f t="shared" si="12"/>
        <v>#DIV/0!</v>
      </c>
      <c r="L32" s="85">
        <f t="shared" si="12"/>
        <v>-4068.97057730466</v>
      </c>
      <c r="M32" s="85" t="e">
        <f t="shared" si="12"/>
        <v>#DIV/0!</v>
      </c>
      <c r="N32" s="85" t="e">
        <f t="shared" si="12"/>
        <v>#REF!</v>
      </c>
      <c r="O32" s="85">
        <f t="shared" si="12"/>
        <v>-2219.74641892714</v>
      </c>
      <c r="P32" s="85">
        <f t="shared" si="12"/>
        <v>-1628.25155768284</v>
      </c>
    </row>
    <row r="33" spans="1:2">
      <c r="A33" s="87"/>
      <c r="B33" s="87"/>
    </row>
    <row r="35" spans="1:2">
      <c r="A35" s="87"/>
      <c r="B35" s="87"/>
    </row>
    <row r="41" spans="1:1">
      <c r="A41" s="87"/>
    </row>
    <row r="43" spans="1:1">
      <c r="A43" s="87"/>
    </row>
    <row r="47" spans="3:16">
      <c r="C47" s="87"/>
      <c r="D47" s="87"/>
      <c r="E47" s="87"/>
      <c r="F47" s="87"/>
      <c r="G47" s="87"/>
      <c r="H47" s="87"/>
      <c r="I47" s="87"/>
      <c r="J47" s="87"/>
      <c r="K47" s="87"/>
      <c r="L47" s="87"/>
      <c r="M47" s="87"/>
      <c r="N47" s="87"/>
      <c r="O47" s="87"/>
      <c r="P47" s="87"/>
    </row>
  </sheetData>
  <mergeCells count="4">
    <mergeCell ref="A5:P5"/>
    <mergeCell ref="A6:A7"/>
    <mergeCell ref="B6:B7"/>
    <mergeCell ref="C1:C3"/>
  </mergeCells>
  <hyperlinks>
    <hyperlink ref="C1:C3" location="目录!A1" display="返回目录"/>
  </hyperlinks>
  <pageMargins left="0.699305555555556" right="0.699305555555556" top="0.75" bottom="0.75" header="0.3" footer="0.3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63"/>
  <sheetViews>
    <sheetView topLeftCell="A40" workbookViewId="0">
      <selection activeCell="G190" sqref="G190"/>
    </sheetView>
  </sheetViews>
  <sheetFormatPr defaultColWidth="9" defaultRowHeight="18.75" customHeight="1"/>
  <cols>
    <col min="1" max="1" width="9.25" style="37" customWidth="1"/>
    <col min="2" max="3" width="10.875" style="37" customWidth="1"/>
    <col min="4" max="16384" width="9" style="37"/>
  </cols>
  <sheetData>
    <row r="1" customHeight="1" spans="1:40">
      <c r="A1" s="38" t="s">
        <v>726</v>
      </c>
      <c r="B1" s="38" t="s">
        <v>727</v>
      </c>
      <c r="C1" s="38" t="s">
        <v>113</v>
      </c>
      <c r="D1" s="38" t="s">
        <v>728</v>
      </c>
      <c r="E1" s="38" t="s">
        <v>729</v>
      </c>
      <c r="F1" s="38" t="s">
        <v>730</v>
      </c>
      <c r="G1" s="38" t="s">
        <v>731</v>
      </c>
      <c r="H1" s="38" t="s">
        <v>732</v>
      </c>
      <c r="I1" s="38" t="s">
        <v>733</v>
      </c>
      <c r="J1" s="38" t="s">
        <v>734</v>
      </c>
      <c r="K1" s="38" t="s">
        <v>735</v>
      </c>
      <c r="L1" s="38" t="s">
        <v>736</v>
      </c>
      <c r="M1" s="38" t="s">
        <v>737</v>
      </c>
      <c r="N1" s="38" t="s">
        <v>738</v>
      </c>
      <c r="O1" s="38" t="s">
        <v>739</v>
      </c>
      <c r="P1" s="38" t="s">
        <v>740</v>
      </c>
      <c r="Q1" s="38" t="s">
        <v>741</v>
      </c>
      <c r="R1" s="38" t="s">
        <v>742</v>
      </c>
      <c r="S1" s="38" t="s">
        <v>743</v>
      </c>
      <c r="T1" s="38" t="s">
        <v>744</v>
      </c>
      <c r="U1" s="38" t="s">
        <v>745</v>
      </c>
      <c r="V1" s="38" t="s">
        <v>746</v>
      </c>
      <c r="W1" s="38" t="s">
        <v>747</v>
      </c>
      <c r="X1" s="38" t="s">
        <v>748</v>
      </c>
      <c r="Y1" s="38" t="s">
        <v>749</v>
      </c>
      <c r="Z1" s="38" t="s">
        <v>750</v>
      </c>
      <c r="AA1" s="38" t="s">
        <v>751</v>
      </c>
      <c r="AB1" s="38" t="s">
        <v>752</v>
      </c>
      <c r="AC1" s="38" t="s">
        <v>753</v>
      </c>
      <c r="AD1" s="38" t="s">
        <v>754</v>
      </c>
      <c r="AE1" s="38" t="s">
        <v>755</v>
      </c>
      <c r="AF1" s="38" t="s">
        <v>756</v>
      </c>
      <c r="AG1" s="38" t="s">
        <v>757</v>
      </c>
      <c r="AH1" s="38" t="s">
        <v>758</v>
      </c>
      <c r="AI1" s="38" t="s">
        <v>759</v>
      </c>
      <c r="AJ1" s="38" t="s">
        <v>760</v>
      </c>
      <c r="AK1" s="38" t="s">
        <v>761</v>
      </c>
      <c r="AL1" s="38" t="s">
        <v>762</v>
      </c>
      <c r="AM1" s="38" t="s">
        <v>763</v>
      </c>
      <c r="AN1" s="38" t="s">
        <v>34</v>
      </c>
    </row>
    <row r="2" customHeight="1" spans="1:40">
      <c r="A2" s="39">
        <v>1</v>
      </c>
      <c r="B2" s="40" t="s">
        <v>764</v>
      </c>
      <c r="C2" s="40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  <c r="AH2" s="38"/>
      <c r="AI2" s="38"/>
      <c r="AJ2" s="38"/>
      <c r="AK2" s="38"/>
      <c r="AL2" s="38"/>
      <c r="AM2" s="38"/>
      <c r="AN2" s="42">
        <f>SUM(D2:AM2)</f>
        <v>0</v>
      </c>
    </row>
    <row r="3" customHeight="1" spans="1:40">
      <c r="A3" s="43"/>
      <c r="B3" s="40" t="s">
        <v>765</v>
      </c>
      <c r="C3" s="40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8"/>
      <c r="AH3" s="38"/>
      <c r="AI3" s="38"/>
      <c r="AJ3" s="38"/>
      <c r="AK3" s="38"/>
      <c r="AL3" s="38"/>
      <c r="AM3" s="38"/>
      <c r="AN3" s="42">
        <f t="shared" ref="AN3:AN52" si="0">SUM(D3:AM3)</f>
        <v>0</v>
      </c>
    </row>
    <row r="4" customHeight="1" spans="1:40">
      <c r="A4" s="43"/>
      <c r="B4" s="40" t="s">
        <v>766</v>
      </c>
      <c r="C4" s="40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  <c r="AB4" s="38"/>
      <c r="AC4" s="38"/>
      <c r="AD4" s="38"/>
      <c r="AE4" s="38"/>
      <c r="AF4" s="38"/>
      <c r="AG4" s="38"/>
      <c r="AH4" s="38"/>
      <c r="AI4" s="38"/>
      <c r="AJ4" s="38"/>
      <c r="AK4" s="38"/>
      <c r="AL4" s="38"/>
      <c r="AM4" s="38"/>
      <c r="AN4" s="42"/>
    </row>
    <row r="5" customHeight="1" spans="1:40">
      <c r="A5" s="43"/>
      <c r="B5" s="40" t="s">
        <v>767</v>
      </c>
      <c r="C5" s="40"/>
      <c r="D5" s="42">
        <f>D3*D4/10000</f>
        <v>0</v>
      </c>
      <c r="E5" s="42">
        <f t="shared" ref="E5:AM5" si="1">E3*E4/10000</f>
        <v>0</v>
      </c>
      <c r="F5" s="42">
        <f t="shared" si="1"/>
        <v>0</v>
      </c>
      <c r="G5" s="42">
        <f t="shared" si="1"/>
        <v>0</v>
      </c>
      <c r="H5" s="42">
        <f t="shared" si="1"/>
        <v>0</v>
      </c>
      <c r="I5" s="42">
        <f t="shared" si="1"/>
        <v>0</v>
      </c>
      <c r="J5" s="42">
        <f t="shared" si="1"/>
        <v>0</v>
      </c>
      <c r="K5" s="42">
        <f t="shared" si="1"/>
        <v>0</v>
      </c>
      <c r="L5" s="42">
        <f t="shared" si="1"/>
        <v>0</v>
      </c>
      <c r="M5" s="42">
        <f t="shared" si="1"/>
        <v>0</v>
      </c>
      <c r="N5" s="42">
        <f t="shared" si="1"/>
        <v>0</v>
      </c>
      <c r="O5" s="42">
        <f t="shared" si="1"/>
        <v>0</v>
      </c>
      <c r="P5" s="42">
        <f t="shared" si="1"/>
        <v>0</v>
      </c>
      <c r="Q5" s="42">
        <f t="shared" si="1"/>
        <v>0</v>
      </c>
      <c r="R5" s="42">
        <f t="shared" si="1"/>
        <v>0</v>
      </c>
      <c r="S5" s="42">
        <f t="shared" si="1"/>
        <v>0</v>
      </c>
      <c r="T5" s="42">
        <f t="shared" si="1"/>
        <v>0</v>
      </c>
      <c r="U5" s="42">
        <f t="shared" si="1"/>
        <v>0</v>
      </c>
      <c r="V5" s="42">
        <f t="shared" si="1"/>
        <v>0</v>
      </c>
      <c r="W5" s="42">
        <f t="shared" si="1"/>
        <v>0</v>
      </c>
      <c r="X5" s="42">
        <f t="shared" si="1"/>
        <v>0</v>
      </c>
      <c r="Y5" s="42">
        <f t="shared" si="1"/>
        <v>0</v>
      </c>
      <c r="Z5" s="42">
        <f t="shared" si="1"/>
        <v>0</v>
      </c>
      <c r="AA5" s="42">
        <f t="shared" si="1"/>
        <v>0</v>
      </c>
      <c r="AB5" s="42">
        <f t="shared" si="1"/>
        <v>0</v>
      </c>
      <c r="AC5" s="42">
        <f t="shared" si="1"/>
        <v>0</v>
      </c>
      <c r="AD5" s="42">
        <f t="shared" si="1"/>
        <v>0</v>
      </c>
      <c r="AE5" s="42">
        <f t="shared" si="1"/>
        <v>0</v>
      </c>
      <c r="AF5" s="42">
        <f t="shared" si="1"/>
        <v>0</v>
      </c>
      <c r="AG5" s="42">
        <f t="shared" si="1"/>
        <v>0</v>
      </c>
      <c r="AH5" s="42">
        <f t="shared" si="1"/>
        <v>0</v>
      </c>
      <c r="AI5" s="42">
        <f t="shared" si="1"/>
        <v>0</v>
      </c>
      <c r="AJ5" s="42">
        <f t="shared" si="1"/>
        <v>0</v>
      </c>
      <c r="AK5" s="42">
        <f t="shared" si="1"/>
        <v>0</v>
      </c>
      <c r="AL5" s="42">
        <f t="shared" si="1"/>
        <v>0</v>
      </c>
      <c r="AM5" s="42">
        <f t="shared" si="1"/>
        <v>0</v>
      </c>
      <c r="AN5" s="42">
        <f t="shared" si="0"/>
        <v>0</v>
      </c>
    </row>
    <row r="6" customHeight="1" spans="1:40">
      <c r="A6" s="43"/>
      <c r="B6" s="40" t="s">
        <v>768</v>
      </c>
      <c r="C6" s="40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  <c r="AB6" s="38"/>
      <c r="AC6" s="38"/>
      <c r="AD6" s="38"/>
      <c r="AE6" s="38"/>
      <c r="AF6" s="38"/>
      <c r="AG6" s="38"/>
      <c r="AH6" s="38"/>
      <c r="AI6" s="38"/>
      <c r="AJ6" s="38"/>
      <c r="AK6" s="38"/>
      <c r="AL6" s="38"/>
      <c r="AM6" s="38"/>
      <c r="AN6" s="42">
        <f t="shared" si="0"/>
        <v>0</v>
      </c>
    </row>
    <row r="7" customHeight="1" spans="1:40">
      <c r="A7" s="43"/>
      <c r="B7" s="40" t="s">
        <v>769</v>
      </c>
      <c r="C7" s="40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42">
        <f t="shared" si="0"/>
        <v>0</v>
      </c>
    </row>
    <row r="8" customHeight="1" spans="1:40">
      <c r="A8" s="43"/>
      <c r="B8" s="40" t="s">
        <v>770</v>
      </c>
      <c r="C8" s="40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  <c r="AF8" s="38"/>
      <c r="AG8" s="38"/>
      <c r="AH8" s="38"/>
      <c r="AI8" s="38"/>
      <c r="AJ8" s="38"/>
      <c r="AK8" s="38"/>
      <c r="AL8" s="38"/>
      <c r="AM8" s="38"/>
      <c r="AN8" s="42">
        <f t="shared" si="0"/>
        <v>0</v>
      </c>
    </row>
    <row r="9" customHeight="1" spans="1:40">
      <c r="A9" s="43"/>
      <c r="B9" s="40" t="s">
        <v>771</v>
      </c>
      <c r="C9" s="40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  <c r="AF9" s="38"/>
      <c r="AG9" s="38"/>
      <c r="AH9" s="38"/>
      <c r="AI9" s="38"/>
      <c r="AJ9" s="38"/>
      <c r="AK9" s="38"/>
      <c r="AL9" s="38"/>
      <c r="AM9" s="38"/>
      <c r="AN9" s="42">
        <f t="shared" si="0"/>
        <v>0</v>
      </c>
    </row>
    <row r="10" customHeight="1" spans="1:40">
      <c r="A10" s="44"/>
      <c r="B10" s="40" t="s">
        <v>772</v>
      </c>
      <c r="C10" s="40"/>
      <c r="D10" s="42">
        <f>D8+D9</f>
        <v>0</v>
      </c>
      <c r="E10" s="42">
        <f t="shared" ref="E10:AM10" si="2">E8+E9</f>
        <v>0</v>
      </c>
      <c r="F10" s="42">
        <f t="shared" si="2"/>
        <v>0</v>
      </c>
      <c r="G10" s="42">
        <f t="shared" si="2"/>
        <v>0</v>
      </c>
      <c r="H10" s="42">
        <f t="shared" si="2"/>
        <v>0</v>
      </c>
      <c r="I10" s="42">
        <f t="shared" si="2"/>
        <v>0</v>
      </c>
      <c r="J10" s="42">
        <f t="shared" si="2"/>
        <v>0</v>
      </c>
      <c r="K10" s="42">
        <f t="shared" si="2"/>
        <v>0</v>
      </c>
      <c r="L10" s="42">
        <f t="shared" si="2"/>
        <v>0</v>
      </c>
      <c r="M10" s="42">
        <f t="shared" si="2"/>
        <v>0</v>
      </c>
      <c r="N10" s="42">
        <f t="shared" si="2"/>
        <v>0</v>
      </c>
      <c r="O10" s="42">
        <f t="shared" si="2"/>
        <v>0</v>
      </c>
      <c r="P10" s="42">
        <f t="shared" si="2"/>
        <v>0</v>
      </c>
      <c r="Q10" s="42">
        <f t="shared" si="2"/>
        <v>0</v>
      </c>
      <c r="R10" s="42">
        <f t="shared" si="2"/>
        <v>0</v>
      </c>
      <c r="S10" s="42">
        <f t="shared" si="2"/>
        <v>0</v>
      </c>
      <c r="T10" s="42">
        <f t="shared" si="2"/>
        <v>0</v>
      </c>
      <c r="U10" s="42">
        <f t="shared" si="2"/>
        <v>0</v>
      </c>
      <c r="V10" s="42">
        <f t="shared" si="2"/>
        <v>0</v>
      </c>
      <c r="W10" s="42">
        <f t="shared" si="2"/>
        <v>0</v>
      </c>
      <c r="X10" s="42">
        <f t="shared" si="2"/>
        <v>0</v>
      </c>
      <c r="Y10" s="42">
        <f t="shared" si="2"/>
        <v>0</v>
      </c>
      <c r="Z10" s="42">
        <f t="shared" si="2"/>
        <v>0</v>
      </c>
      <c r="AA10" s="42">
        <f t="shared" si="2"/>
        <v>0</v>
      </c>
      <c r="AB10" s="42">
        <f t="shared" si="2"/>
        <v>0</v>
      </c>
      <c r="AC10" s="42">
        <f t="shared" si="2"/>
        <v>0</v>
      </c>
      <c r="AD10" s="42">
        <f t="shared" si="2"/>
        <v>0</v>
      </c>
      <c r="AE10" s="42">
        <f t="shared" si="2"/>
        <v>0</v>
      </c>
      <c r="AF10" s="42">
        <f t="shared" si="2"/>
        <v>0</v>
      </c>
      <c r="AG10" s="42">
        <f t="shared" si="2"/>
        <v>0</v>
      </c>
      <c r="AH10" s="42">
        <f t="shared" si="2"/>
        <v>0</v>
      </c>
      <c r="AI10" s="42">
        <f t="shared" si="2"/>
        <v>0</v>
      </c>
      <c r="AJ10" s="42">
        <f t="shared" si="2"/>
        <v>0</v>
      </c>
      <c r="AK10" s="42">
        <f t="shared" si="2"/>
        <v>0</v>
      </c>
      <c r="AL10" s="42">
        <f t="shared" si="2"/>
        <v>0</v>
      </c>
      <c r="AM10" s="42">
        <f t="shared" si="2"/>
        <v>0</v>
      </c>
      <c r="AN10" s="42">
        <f t="shared" si="0"/>
        <v>0</v>
      </c>
    </row>
    <row r="11" customHeight="1" spans="1:40">
      <c r="A11" s="45">
        <v>2</v>
      </c>
      <c r="B11" s="46" t="s">
        <v>764</v>
      </c>
      <c r="C11" s="46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  <c r="AF11" s="38"/>
      <c r="AG11" s="38"/>
      <c r="AH11" s="38"/>
      <c r="AI11" s="38"/>
      <c r="AJ11" s="38"/>
      <c r="AK11" s="38"/>
      <c r="AL11" s="38"/>
      <c r="AM11" s="38"/>
      <c r="AN11" s="42">
        <f t="shared" si="0"/>
        <v>0</v>
      </c>
    </row>
    <row r="12" customHeight="1" spans="1:40">
      <c r="A12" s="47"/>
      <c r="B12" s="46" t="s">
        <v>765</v>
      </c>
      <c r="C12" s="46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  <c r="AF12" s="38"/>
      <c r="AG12" s="38"/>
      <c r="AH12" s="38"/>
      <c r="AI12" s="38"/>
      <c r="AJ12" s="38"/>
      <c r="AK12" s="38"/>
      <c r="AL12" s="38"/>
      <c r="AM12" s="38"/>
      <c r="AN12" s="42">
        <f t="shared" si="0"/>
        <v>0</v>
      </c>
    </row>
    <row r="13" customHeight="1" spans="1:40">
      <c r="A13" s="47"/>
      <c r="B13" s="46" t="s">
        <v>766</v>
      </c>
      <c r="C13" s="46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38"/>
      <c r="AJ13" s="38"/>
      <c r="AK13" s="38"/>
      <c r="AL13" s="38"/>
      <c r="AM13" s="38"/>
      <c r="AN13" s="42">
        <f t="shared" si="0"/>
        <v>0</v>
      </c>
    </row>
    <row r="14" customHeight="1" spans="1:40">
      <c r="A14" s="47"/>
      <c r="B14" s="46" t="s">
        <v>767</v>
      </c>
      <c r="C14" s="46"/>
      <c r="D14" s="42">
        <f>D12*D13/10000</f>
        <v>0</v>
      </c>
      <c r="E14" s="42">
        <f t="shared" ref="E14" si="3">E12*E13/10000</f>
        <v>0</v>
      </c>
      <c r="F14" s="42">
        <f t="shared" ref="F14" si="4">F12*F13/10000</f>
        <v>0</v>
      </c>
      <c r="G14" s="42">
        <f t="shared" ref="G14" si="5">G12*G13/10000</f>
        <v>0</v>
      </c>
      <c r="H14" s="42">
        <f t="shared" ref="H14" si="6">H12*H13/10000</f>
        <v>0</v>
      </c>
      <c r="I14" s="42">
        <f t="shared" ref="I14" si="7">I12*I13/10000</f>
        <v>0</v>
      </c>
      <c r="J14" s="42">
        <f t="shared" ref="J14" si="8">J12*J13/10000</f>
        <v>0</v>
      </c>
      <c r="K14" s="42">
        <f t="shared" ref="K14" si="9">K12*K13/10000</f>
        <v>0</v>
      </c>
      <c r="L14" s="42">
        <f t="shared" ref="L14" si="10">L12*L13/10000</f>
        <v>0</v>
      </c>
      <c r="M14" s="42">
        <f t="shared" ref="M14" si="11">M12*M13/10000</f>
        <v>0</v>
      </c>
      <c r="N14" s="42">
        <f t="shared" ref="N14" si="12">N12*N13/10000</f>
        <v>0</v>
      </c>
      <c r="O14" s="42">
        <f t="shared" ref="O14" si="13">O12*O13/10000</f>
        <v>0</v>
      </c>
      <c r="P14" s="42">
        <f t="shared" ref="P14" si="14">P12*P13/10000</f>
        <v>0</v>
      </c>
      <c r="Q14" s="42">
        <f t="shared" ref="Q14" si="15">Q12*Q13/10000</f>
        <v>0</v>
      </c>
      <c r="R14" s="42">
        <f t="shared" ref="R14" si="16">R12*R13/10000</f>
        <v>0</v>
      </c>
      <c r="S14" s="42">
        <f t="shared" ref="S14" si="17">S12*S13/10000</f>
        <v>0</v>
      </c>
      <c r="T14" s="42">
        <f t="shared" ref="T14" si="18">T12*T13/10000</f>
        <v>0</v>
      </c>
      <c r="U14" s="42">
        <f t="shared" ref="U14" si="19">U12*U13/10000</f>
        <v>0</v>
      </c>
      <c r="V14" s="42">
        <f t="shared" ref="V14" si="20">V12*V13/10000</f>
        <v>0</v>
      </c>
      <c r="W14" s="42">
        <f t="shared" ref="W14" si="21">W12*W13/10000</f>
        <v>0</v>
      </c>
      <c r="X14" s="42">
        <f t="shared" ref="X14" si="22">X12*X13/10000</f>
        <v>0</v>
      </c>
      <c r="Y14" s="42">
        <f t="shared" ref="Y14" si="23">Y12*Y13/10000</f>
        <v>0</v>
      </c>
      <c r="Z14" s="42">
        <f t="shared" ref="Z14" si="24">Z12*Z13/10000</f>
        <v>0</v>
      </c>
      <c r="AA14" s="42">
        <f t="shared" ref="AA14" si="25">AA12*AA13/10000</f>
        <v>0</v>
      </c>
      <c r="AB14" s="42">
        <f t="shared" ref="AB14" si="26">AB12*AB13/10000</f>
        <v>0</v>
      </c>
      <c r="AC14" s="42">
        <f t="shared" ref="AC14" si="27">AC12*AC13/10000</f>
        <v>0</v>
      </c>
      <c r="AD14" s="42">
        <f t="shared" ref="AD14" si="28">AD12*AD13/10000</f>
        <v>0</v>
      </c>
      <c r="AE14" s="42">
        <f t="shared" ref="AE14" si="29">AE12*AE13/10000</f>
        <v>0</v>
      </c>
      <c r="AF14" s="42">
        <f t="shared" ref="AF14" si="30">AF12*AF13/10000</f>
        <v>0</v>
      </c>
      <c r="AG14" s="42">
        <f t="shared" ref="AG14" si="31">AG12*AG13/10000</f>
        <v>0</v>
      </c>
      <c r="AH14" s="42">
        <f t="shared" ref="AH14" si="32">AH12*AH13/10000</f>
        <v>0</v>
      </c>
      <c r="AI14" s="42">
        <f t="shared" ref="AI14" si="33">AI12*AI13/10000</f>
        <v>0</v>
      </c>
      <c r="AJ14" s="42">
        <f t="shared" ref="AJ14" si="34">AJ12*AJ13/10000</f>
        <v>0</v>
      </c>
      <c r="AK14" s="42">
        <f t="shared" ref="AK14" si="35">AK12*AK13/10000</f>
        <v>0</v>
      </c>
      <c r="AL14" s="42">
        <f t="shared" ref="AL14" si="36">AL12*AL13/10000</f>
        <v>0</v>
      </c>
      <c r="AM14" s="42">
        <f t="shared" ref="AM14" si="37">AM12*AM13/10000</f>
        <v>0</v>
      </c>
      <c r="AN14" s="42">
        <f t="shared" si="0"/>
        <v>0</v>
      </c>
    </row>
    <row r="15" customHeight="1" spans="1:40">
      <c r="A15" s="47"/>
      <c r="B15" s="46" t="s">
        <v>768</v>
      </c>
      <c r="C15" s="46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8"/>
      <c r="AL15" s="38"/>
      <c r="AM15" s="38"/>
      <c r="AN15" s="42">
        <f t="shared" si="0"/>
        <v>0</v>
      </c>
    </row>
    <row r="16" customHeight="1" spans="1:40">
      <c r="A16" s="47"/>
      <c r="B16" s="46" t="s">
        <v>769</v>
      </c>
      <c r="C16" s="46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8"/>
      <c r="AL16" s="38"/>
      <c r="AM16" s="38"/>
      <c r="AN16" s="42">
        <f t="shared" si="0"/>
        <v>0</v>
      </c>
    </row>
    <row r="17" customHeight="1" spans="1:40">
      <c r="A17" s="47"/>
      <c r="B17" s="46" t="s">
        <v>770</v>
      </c>
      <c r="C17" s="46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42">
        <f t="shared" si="0"/>
        <v>0</v>
      </c>
    </row>
    <row r="18" customHeight="1" spans="1:40">
      <c r="A18" s="47"/>
      <c r="B18" s="46" t="s">
        <v>771</v>
      </c>
      <c r="C18" s="46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8"/>
      <c r="AL18" s="38"/>
      <c r="AM18" s="38"/>
      <c r="AN18" s="42">
        <f t="shared" si="0"/>
        <v>0</v>
      </c>
    </row>
    <row r="19" customHeight="1" spans="1:40">
      <c r="A19" s="48"/>
      <c r="B19" s="46" t="s">
        <v>772</v>
      </c>
      <c r="C19" s="46"/>
      <c r="D19" s="42">
        <f>D17+D18</f>
        <v>0</v>
      </c>
      <c r="E19" s="42">
        <f t="shared" ref="E19" si="38">E17+E18</f>
        <v>0</v>
      </c>
      <c r="F19" s="42">
        <f t="shared" ref="F19" si="39">F17+F18</f>
        <v>0</v>
      </c>
      <c r="G19" s="42">
        <f t="shared" ref="G19" si="40">G17+G18</f>
        <v>0</v>
      </c>
      <c r="H19" s="42">
        <f t="shared" ref="H19" si="41">H17+H18</f>
        <v>0</v>
      </c>
      <c r="I19" s="42">
        <f t="shared" ref="I19" si="42">I17+I18</f>
        <v>0</v>
      </c>
      <c r="J19" s="42">
        <f t="shared" ref="J19" si="43">J17+J18</f>
        <v>0</v>
      </c>
      <c r="K19" s="42">
        <f t="shared" ref="K19" si="44">K17+K18</f>
        <v>0</v>
      </c>
      <c r="L19" s="42">
        <f t="shared" ref="L19" si="45">L17+L18</f>
        <v>0</v>
      </c>
      <c r="M19" s="42">
        <f t="shared" ref="M19" si="46">M17+M18</f>
        <v>0</v>
      </c>
      <c r="N19" s="42">
        <f t="shared" ref="N19" si="47">N17+N18</f>
        <v>0</v>
      </c>
      <c r="O19" s="42">
        <f t="shared" ref="O19" si="48">O17+O18</f>
        <v>0</v>
      </c>
      <c r="P19" s="42">
        <f t="shared" ref="P19" si="49">P17+P18</f>
        <v>0</v>
      </c>
      <c r="Q19" s="42">
        <f t="shared" ref="Q19" si="50">Q17+Q18</f>
        <v>0</v>
      </c>
      <c r="R19" s="42">
        <f t="shared" ref="R19" si="51">R17+R18</f>
        <v>0</v>
      </c>
      <c r="S19" s="42">
        <f t="shared" ref="S19" si="52">S17+S18</f>
        <v>0</v>
      </c>
      <c r="T19" s="42">
        <f t="shared" ref="T19" si="53">T17+T18</f>
        <v>0</v>
      </c>
      <c r="U19" s="42">
        <f t="shared" ref="U19" si="54">U17+U18</f>
        <v>0</v>
      </c>
      <c r="V19" s="42">
        <f t="shared" ref="V19" si="55">V17+V18</f>
        <v>0</v>
      </c>
      <c r="W19" s="42">
        <f t="shared" ref="W19" si="56">W17+W18</f>
        <v>0</v>
      </c>
      <c r="X19" s="42">
        <f t="shared" ref="X19" si="57">X17+X18</f>
        <v>0</v>
      </c>
      <c r="Y19" s="42">
        <f t="shared" ref="Y19" si="58">Y17+Y18</f>
        <v>0</v>
      </c>
      <c r="Z19" s="42">
        <f t="shared" ref="Z19" si="59">Z17+Z18</f>
        <v>0</v>
      </c>
      <c r="AA19" s="42">
        <f t="shared" ref="AA19" si="60">AA17+AA18</f>
        <v>0</v>
      </c>
      <c r="AB19" s="42">
        <f t="shared" ref="AB19" si="61">AB17+AB18</f>
        <v>0</v>
      </c>
      <c r="AC19" s="42">
        <f t="shared" ref="AC19" si="62">AC17+AC18</f>
        <v>0</v>
      </c>
      <c r="AD19" s="42">
        <f t="shared" ref="AD19" si="63">AD17+AD18</f>
        <v>0</v>
      </c>
      <c r="AE19" s="42">
        <f t="shared" ref="AE19" si="64">AE17+AE18</f>
        <v>0</v>
      </c>
      <c r="AF19" s="42">
        <f t="shared" ref="AF19" si="65">AF17+AF18</f>
        <v>0</v>
      </c>
      <c r="AG19" s="42">
        <f t="shared" ref="AG19" si="66">AG17+AG18</f>
        <v>0</v>
      </c>
      <c r="AH19" s="42">
        <f t="shared" ref="AH19" si="67">AH17+AH18</f>
        <v>0</v>
      </c>
      <c r="AI19" s="42">
        <f t="shared" ref="AI19" si="68">AI17+AI18</f>
        <v>0</v>
      </c>
      <c r="AJ19" s="42">
        <f t="shared" ref="AJ19" si="69">AJ17+AJ18</f>
        <v>0</v>
      </c>
      <c r="AK19" s="42">
        <f t="shared" ref="AK19" si="70">AK17+AK18</f>
        <v>0</v>
      </c>
      <c r="AL19" s="42">
        <f t="shared" ref="AL19" si="71">AL17+AL18</f>
        <v>0</v>
      </c>
      <c r="AM19" s="42">
        <f t="shared" ref="AM19" si="72">AM17+AM18</f>
        <v>0</v>
      </c>
      <c r="AN19" s="42">
        <f t="shared" si="0"/>
        <v>0</v>
      </c>
    </row>
    <row r="20" customHeight="1" spans="1:40">
      <c r="A20" s="49">
        <v>3</v>
      </c>
      <c r="B20" s="50" t="s">
        <v>764</v>
      </c>
      <c r="C20" s="50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8"/>
      <c r="AL20" s="38"/>
      <c r="AM20" s="38"/>
      <c r="AN20" s="42">
        <f t="shared" si="0"/>
        <v>0</v>
      </c>
    </row>
    <row r="21" customHeight="1" spans="1:40">
      <c r="A21" s="51"/>
      <c r="B21" s="50" t="s">
        <v>765</v>
      </c>
      <c r="C21" s="50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38"/>
      <c r="AL21" s="38"/>
      <c r="AM21" s="38"/>
      <c r="AN21" s="42">
        <f t="shared" si="0"/>
        <v>0</v>
      </c>
    </row>
    <row r="22" customHeight="1" spans="1:40">
      <c r="A22" s="51"/>
      <c r="B22" s="50" t="s">
        <v>766</v>
      </c>
      <c r="C22" s="50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38"/>
      <c r="AL22" s="38"/>
      <c r="AM22" s="38"/>
      <c r="AN22" s="42">
        <f t="shared" si="0"/>
        <v>0</v>
      </c>
    </row>
    <row r="23" customHeight="1" spans="1:40">
      <c r="A23" s="51"/>
      <c r="B23" s="50" t="s">
        <v>767</v>
      </c>
      <c r="C23" s="50"/>
      <c r="D23" s="42">
        <f>D21*D22/10000</f>
        <v>0</v>
      </c>
      <c r="E23" s="42">
        <f t="shared" ref="E23" si="73">E21*E22/10000</f>
        <v>0</v>
      </c>
      <c r="F23" s="42">
        <f t="shared" ref="F23" si="74">F21*F22/10000</f>
        <v>0</v>
      </c>
      <c r="G23" s="42">
        <f t="shared" ref="G23" si="75">G21*G22/10000</f>
        <v>0</v>
      </c>
      <c r="H23" s="42">
        <f t="shared" ref="H23" si="76">H21*H22/10000</f>
        <v>0</v>
      </c>
      <c r="I23" s="42">
        <f t="shared" ref="I23" si="77">I21*I22/10000</f>
        <v>0</v>
      </c>
      <c r="J23" s="42">
        <f t="shared" ref="J23" si="78">J21*J22/10000</f>
        <v>0</v>
      </c>
      <c r="K23" s="42">
        <f t="shared" ref="K23" si="79">K21*K22/10000</f>
        <v>0</v>
      </c>
      <c r="L23" s="42">
        <f t="shared" ref="L23" si="80">L21*L22/10000</f>
        <v>0</v>
      </c>
      <c r="M23" s="42">
        <f t="shared" ref="M23" si="81">M21*M22/10000</f>
        <v>0</v>
      </c>
      <c r="N23" s="42">
        <f t="shared" ref="N23" si="82">N21*N22/10000</f>
        <v>0</v>
      </c>
      <c r="O23" s="42">
        <f t="shared" ref="O23" si="83">O21*O22/10000</f>
        <v>0</v>
      </c>
      <c r="P23" s="42">
        <f t="shared" ref="P23" si="84">P21*P22/10000</f>
        <v>0</v>
      </c>
      <c r="Q23" s="42">
        <f t="shared" ref="Q23" si="85">Q21*Q22/10000</f>
        <v>0</v>
      </c>
      <c r="R23" s="42">
        <f t="shared" ref="R23" si="86">R21*R22/10000</f>
        <v>0</v>
      </c>
      <c r="S23" s="42">
        <f t="shared" ref="S23" si="87">S21*S22/10000</f>
        <v>0</v>
      </c>
      <c r="T23" s="42">
        <f t="shared" ref="T23" si="88">T21*T22/10000</f>
        <v>0</v>
      </c>
      <c r="U23" s="42">
        <f t="shared" ref="U23" si="89">U21*U22/10000</f>
        <v>0</v>
      </c>
      <c r="V23" s="42">
        <f t="shared" ref="V23" si="90">V21*V22/10000</f>
        <v>0</v>
      </c>
      <c r="W23" s="42">
        <f t="shared" ref="W23" si="91">W21*W22/10000</f>
        <v>0</v>
      </c>
      <c r="X23" s="42">
        <f t="shared" ref="X23" si="92">X21*X22/10000</f>
        <v>0</v>
      </c>
      <c r="Y23" s="42">
        <f t="shared" ref="Y23" si="93">Y21*Y22/10000</f>
        <v>0</v>
      </c>
      <c r="Z23" s="42">
        <f t="shared" ref="Z23" si="94">Z21*Z22/10000</f>
        <v>0</v>
      </c>
      <c r="AA23" s="42">
        <f t="shared" ref="AA23" si="95">AA21*AA22/10000</f>
        <v>0</v>
      </c>
      <c r="AB23" s="42">
        <f t="shared" ref="AB23" si="96">AB21*AB22/10000</f>
        <v>0</v>
      </c>
      <c r="AC23" s="42">
        <f t="shared" ref="AC23" si="97">AC21*AC22/10000</f>
        <v>0</v>
      </c>
      <c r="AD23" s="42">
        <f t="shared" ref="AD23" si="98">AD21*AD22/10000</f>
        <v>0</v>
      </c>
      <c r="AE23" s="42">
        <f t="shared" ref="AE23" si="99">AE21*AE22/10000</f>
        <v>0</v>
      </c>
      <c r="AF23" s="42">
        <f t="shared" ref="AF23" si="100">AF21*AF22/10000</f>
        <v>0</v>
      </c>
      <c r="AG23" s="42">
        <f t="shared" ref="AG23" si="101">AG21*AG22/10000</f>
        <v>0</v>
      </c>
      <c r="AH23" s="42">
        <f t="shared" ref="AH23" si="102">AH21*AH22/10000</f>
        <v>0</v>
      </c>
      <c r="AI23" s="42">
        <f t="shared" ref="AI23" si="103">AI21*AI22/10000</f>
        <v>0</v>
      </c>
      <c r="AJ23" s="42">
        <f t="shared" ref="AJ23" si="104">AJ21*AJ22/10000</f>
        <v>0</v>
      </c>
      <c r="AK23" s="42">
        <f t="shared" ref="AK23" si="105">AK21*AK22/10000</f>
        <v>0</v>
      </c>
      <c r="AL23" s="42">
        <f t="shared" ref="AL23" si="106">AL21*AL22/10000</f>
        <v>0</v>
      </c>
      <c r="AM23" s="42">
        <f t="shared" ref="AM23" si="107">AM21*AM22/10000</f>
        <v>0</v>
      </c>
      <c r="AN23" s="42">
        <f t="shared" si="0"/>
        <v>0</v>
      </c>
    </row>
    <row r="24" customHeight="1" spans="1:40">
      <c r="A24" s="51"/>
      <c r="B24" s="50" t="s">
        <v>768</v>
      </c>
      <c r="C24" s="50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8"/>
      <c r="AL24" s="38"/>
      <c r="AM24" s="38"/>
      <c r="AN24" s="42">
        <f t="shared" si="0"/>
        <v>0</v>
      </c>
    </row>
    <row r="25" customHeight="1" spans="1:40">
      <c r="A25" s="51"/>
      <c r="B25" s="50" t="s">
        <v>769</v>
      </c>
      <c r="C25" s="50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42">
        <f t="shared" si="0"/>
        <v>0</v>
      </c>
    </row>
    <row r="26" customHeight="1" spans="1:40">
      <c r="A26" s="51"/>
      <c r="B26" s="50" t="s">
        <v>770</v>
      </c>
      <c r="C26" s="50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8"/>
      <c r="AL26" s="38"/>
      <c r="AM26" s="38"/>
      <c r="AN26" s="42">
        <f t="shared" si="0"/>
        <v>0</v>
      </c>
    </row>
    <row r="27" customHeight="1" spans="1:40">
      <c r="A27" s="51"/>
      <c r="B27" s="50" t="s">
        <v>771</v>
      </c>
      <c r="C27" s="50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42">
        <f t="shared" si="0"/>
        <v>0</v>
      </c>
    </row>
    <row r="28" customHeight="1" spans="1:40">
      <c r="A28" s="52"/>
      <c r="B28" s="50" t="s">
        <v>772</v>
      </c>
      <c r="C28" s="50"/>
      <c r="D28" s="42">
        <f>D26+D27</f>
        <v>0</v>
      </c>
      <c r="E28" s="42">
        <f t="shared" ref="E28" si="108">E26+E27</f>
        <v>0</v>
      </c>
      <c r="F28" s="42">
        <f t="shared" ref="F28" si="109">F26+F27</f>
        <v>0</v>
      </c>
      <c r="G28" s="42">
        <f t="shared" ref="G28" si="110">G26+G27</f>
        <v>0</v>
      </c>
      <c r="H28" s="42">
        <f t="shared" ref="H28" si="111">H26+H27</f>
        <v>0</v>
      </c>
      <c r="I28" s="42">
        <f t="shared" ref="I28" si="112">I26+I27</f>
        <v>0</v>
      </c>
      <c r="J28" s="42">
        <f t="shared" ref="J28" si="113">J26+J27</f>
        <v>0</v>
      </c>
      <c r="K28" s="42">
        <f t="shared" ref="K28" si="114">K26+K27</f>
        <v>0</v>
      </c>
      <c r="L28" s="42">
        <f t="shared" ref="L28" si="115">L26+L27</f>
        <v>0</v>
      </c>
      <c r="M28" s="42">
        <f t="shared" ref="M28" si="116">M26+M27</f>
        <v>0</v>
      </c>
      <c r="N28" s="42">
        <f t="shared" ref="N28" si="117">N26+N27</f>
        <v>0</v>
      </c>
      <c r="O28" s="42">
        <f t="shared" ref="O28" si="118">O26+O27</f>
        <v>0</v>
      </c>
      <c r="P28" s="42">
        <f t="shared" ref="P28" si="119">P26+P27</f>
        <v>0</v>
      </c>
      <c r="Q28" s="42">
        <f t="shared" ref="Q28" si="120">Q26+Q27</f>
        <v>0</v>
      </c>
      <c r="R28" s="42">
        <f t="shared" ref="R28" si="121">R26+R27</f>
        <v>0</v>
      </c>
      <c r="S28" s="42">
        <f t="shared" ref="S28" si="122">S26+S27</f>
        <v>0</v>
      </c>
      <c r="T28" s="42">
        <f t="shared" ref="T28" si="123">T26+T27</f>
        <v>0</v>
      </c>
      <c r="U28" s="42">
        <f t="shared" ref="U28" si="124">U26+U27</f>
        <v>0</v>
      </c>
      <c r="V28" s="42">
        <f t="shared" ref="V28" si="125">V26+V27</f>
        <v>0</v>
      </c>
      <c r="W28" s="42">
        <f t="shared" ref="W28" si="126">W26+W27</f>
        <v>0</v>
      </c>
      <c r="X28" s="42">
        <f t="shared" ref="X28" si="127">X26+X27</f>
        <v>0</v>
      </c>
      <c r="Y28" s="42">
        <f t="shared" ref="Y28" si="128">Y26+Y27</f>
        <v>0</v>
      </c>
      <c r="Z28" s="42">
        <f t="shared" ref="Z28" si="129">Z26+Z27</f>
        <v>0</v>
      </c>
      <c r="AA28" s="42">
        <f t="shared" ref="AA28" si="130">AA26+AA27</f>
        <v>0</v>
      </c>
      <c r="AB28" s="42">
        <f t="shared" ref="AB28" si="131">AB26+AB27</f>
        <v>0</v>
      </c>
      <c r="AC28" s="42">
        <f t="shared" ref="AC28" si="132">AC26+AC27</f>
        <v>0</v>
      </c>
      <c r="AD28" s="42">
        <f t="shared" ref="AD28" si="133">AD26+AD27</f>
        <v>0</v>
      </c>
      <c r="AE28" s="42">
        <f t="shared" ref="AE28" si="134">AE26+AE27</f>
        <v>0</v>
      </c>
      <c r="AF28" s="42">
        <f t="shared" ref="AF28" si="135">AF26+AF27</f>
        <v>0</v>
      </c>
      <c r="AG28" s="42">
        <f t="shared" ref="AG28" si="136">AG26+AG27</f>
        <v>0</v>
      </c>
      <c r="AH28" s="42">
        <f t="shared" ref="AH28" si="137">AH26+AH27</f>
        <v>0</v>
      </c>
      <c r="AI28" s="42">
        <f t="shared" ref="AI28" si="138">AI26+AI27</f>
        <v>0</v>
      </c>
      <c r="AJ28" s="42">
        <f t="shared" ref="AJ28" si="139">AJ26+AJ27</f>
        <v>0</v>
      </c>
      <c r="AK28" s="42">
        <f t="shared" ref="AK28" si="140">AK26+AK27</f>
        <v>0</v>
      </c>
      <c r="AL28" s="42">
        <f t="shared" ref="AL28" si="141">AL26+AL27</f>
        <v>0</v>
      </c>
      <c r="AM28" s="42">
        <f t="shared" ref="AM28" si="142">AM26+AM27</f>
        <v>0</v>
      </c>
      <c r="AN28" s="42">
        <f t="shared" si="0"/>
        <v>0</v>
      </c>
    </row>
    <row r="29" customHeight="1" spans="1:40">
      <c r="A29" s="45">
        <v>4</v>
      </c>
      <c r="B29" s="46" t="s">
        <v>764</v>
      </c>
      <c r="C29" s="46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8"/>
      <c r="AL29" s="38"/>
      <c r="AM29" s="38"/>
      <c r="AN29" s="42">
        <f t="shared" si="0"/>
        <v>0</v>
      </c>
    </row>
    <row r="30" customHeight="1" spans="1:40">
      <c r="A30" s="47"/>
      <c r="B30" s="46" t="s">
        <v>765</v>
      </c>
      <c r="C30" s="46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8"/>
      <c r="AL30" s="38"/>
      <c r="AM30" s="38"/>
      <c r="AN30" s="42">
        <f t="shared" si="0"/>
        <v>0</v>
      </c>
    </row>
    <row r="31" customHeight="1" spans="1:40">
      <c r="A31" s="47"/>
      <c r="B31" s="46" t="s">
        <v>766</v>
      </c>
      <c r="C31" s="46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8"/>
      <c r="AL31" s="38"/>
      <c r="AM31" s="38"/>
      <c r="AN31" s="42">
        <f t="shared" si="0"/>
        <v>0</v>
      </c>
    </row>
    <row r="32" customHeight="1" spans="1:40">
      <c r="A32" s="47"/>
      <c r="B32" s="46" t="s">
        <v>767</v>
      </c>
      <c r="C32" s="46"/>
      <c r="D32" s="42">
        <f>D30*D31/10000</f>
        <v>0</v>
      </c>
      <c r="E32" s="42">
        <f t="shared" ref="E32" si="143">E30*E31/10000</f>
        <v>0</v>
      </c>
      <c r="F32" s="42">
        <f t="shared" ref="F32" si="144">F30*F31/10000</f>
        <v>0</v>
      </c>
      <c r="G32" s="42">
        <f t="shared" ref="G32" si="145">G30*G31/10000</f>
        <v>0</v>
      </c>
      <c r="H32" s="42">
        <f t="shared" ref="H32" si="146">H30*H31/10000</f>
        <v>0</v>
      </c>
      <c r="I32" s="42">
        <f t="shared" ref="I32" si="147">I30*I31/10000</f>
        <v>0</v>
      </c>
      <c r="J32" s="42">
        <f t="shared" ref="J32" si="148">J30*J31/10000</f>
        <v>0</v>
      </c>
      <c r="K32" s="42">
        <f t="shared" ref="K32" si="149">K30*K31/10000</f>
        <v>0</v>
      </c>
      <c r="L32" s="42">
        <f t="shared" ref="L32" si="150">L30*L31/10000</f>
        <v>0</v>
      </c>
      <c r="M32" s="42">
        <f t="shared" ref="M32" si="151">M30*M31/10000</f>
        <v>0</v>
      </c>
      <c r="N32" s="42">
        <f t="shared" ref="N32" si="152">N30*N31/10000</f>
        <v>0</v>
      </c>
      <c r="O32" s="42">
        <f t="shared" ref="O32" si="153">O30*O31/10000</f>
        <v>0</v>
      </c>
      <c r="P32" s="42">
        <f t="shared" ref="P32" si="154">P30*P31/10000</f>
        <v>0</v>
      </c>
      <c r="Q32" s="42">
        <f t="shared" ref="Q32" si="155">Q30*Q31/10000</f>
        <v>0</v>
      </c>
      <c r="R32" s="42">
        <f t="shared" ref="R32" si="156">R30*R31/10000</f>
        <v>0</v>
      </c>
      <c r="S32" s="42">
        <f t="shared" ref="S32" si="157">S30*S31/10000</f>
        <v>0</v>
      </c>
      <c r="T32" s="42">
        <f t="shared" ref="T32" si="158">T30*T31/10000</f>
        <v>0</v>
      </c>
      <c r="U32" s="42">
        <f t="shared" ref="U32" si="159">U30*U31/10000</f>
        <v>0</v>
      </c>
      <c r="V32" s="42">
        <f t="shared" ref="V32" si="160">V30*V31/10000</f>
        <v>0</v>
      </c>
      <c r="W32" s="42">
        <f t="shared" ref="W32" si="161">W30*W31/10000</f>
        <v>0</v>
      </c>
      <c r="X32" s="42">
        <f t="shared" ref="X32" si="162">X30*X31/10000</f>
        <v>0</v>
      </c>
      <c r="Y32" s="42">
        <f t="shared" ref="Y32" si="163">Y30*Y31/10000</f>
        <v>0</v>
      </c>
      <c r="Z32" s="42">
        <f t="shared" ref="Z32" si="164">Z30*Z31/10000</f>
        <v>0</v>
      </c>
      <c r="AA32" s="42">
        <f t="shared" ref="AA32" si="165">AA30*AA31/10000</f>
        <v>0</v>
      </c>
      <c r="AB32" s="42">
        <f t="shared" ref="AB32" si="166">AB30*AB31/10000</f>
        <v>0</v>
      </c>
      <c r="AC32" s="42">
        <f t="shared" ref="AC32" si="167">AC30*AC31/10000</f>
        <v>0</v>
      </c>
      <c r="AD32" s="42">
        <f t="shared" ref="AD32" si="168">AD30*AD31/10000</f>
        <v>0</v>
      </c>
      <c r="AE32" s="42">
        <f t="shared" ref="AE32" si="169">AE30*AE31/10000</f>
        <v>0</v>
      </c>
      <c r="AF32" s="42">
        <f t="shared" ref="AF32" si="170">AF30*AF31/10000</f>
        <v>0</v>
      </c>
      <c r="AG32" s="42">
        <f t="shared" ref="AG32" si="171">AG30*AG31/10000</f>
        <v>0</v>
      </c>
      <c r="AH32" s="42">
        <f t="shared" ref="AH32" si="172">AH30*AH31/10000</f>
        <v>0</v>
      </c>
      <c r="AI32" s="42">
        <f t="shared" ref="AI32" si="173">AI30*AI31/10000</f>
        <v>0</v>
      </c>
      <c r="AJ32" s="42">
        <f t="shared" ref="AJ32" si="174">AJ30*AJ31/10000</f>
        <v>0</v>
      </c>
      <c r="AK32" s="42">
        <f t="shared" ref="AK32" si="175">AK30*AK31/10000</f>
        <v>0</v>
      </c>
      <c r="AL32" s="42">
        <f t="shared" ref="AL32" si="176">AL30*AL31/10000</f>
        <v>0</v>
      </c>
      <c r="AM32" s="42">
        <f t="shared" ref="AM32" si="177">AM30*AM31/10000</f>
        <v>0</v>
      </c>
      <c r="AN32" s="42">
        <f t="shared" si="0"/>
        <v>0</v>
      </c>
    </row>
    <row r="33" customHeight="1" spans="1:40">
      <c r="A33" s="47"/>
      <c r="B33" s="46" t="s">
        <v>768</v>
      </c>
      <c r="C33" s="46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38"/>
      <c r="AL33" s="38"/>
      <c r="AM33" s="38"/>
      <c r="AN33" s="42">
        <f t="shared" si="0"/>
        <v>0</v>
      </c>
    </row>
    <row r="34" customHeight="1" spans="1:40">
      <c r="A34" s="47"/>
      <c r="B34" s="46" t="s">
        <v>769</v>
      </c>
      <c r="C34" s="46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42">
        <f t="shared" si="0"/>
        <v>0</v>
      </c>
    </row>
    <row r="35" customHeight="1" spans="1:40">
      <c r="A35" s="47"/>
      <c r="B35" s="46" t="s">
        <v>770</v>
      </c>
      <c r="C35" s="46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38"/>
      <c r="AL35" s="38"/>
      <c r="AM35" s="38"/>
      <c r="AN35" s="42">
        <f t="shared" si="0"/>
        <v>0</v>
      </c>
    </row>
    <row r="36" customHeight="1" spans="1:40">
      <c r="A36" s="47"/>
      <c r="B36" s="46" t="s">
        <v>771</v>
      </c>
      <c r="C36" s="46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42">
        <f t="shared" si="0"/>
        <v>0</v>
      </c>
    </row>
    <row r="37" customHeight="1" spans="1:40">
      <c r="A37" s="48"/>
      <c r="B37" s="46" t="s">
        <v>772</v>
      </c>
      <c r="C37" s="46"/>
      <c r="D37" s="42">
        <f>D35+D36</f>
        <v>0</v>
      </c>
      <c r="E37" s="42">
        <f t="shared" ref="E37" si="178">E35+E36</f>
        <v>0</v>
      </c>
      <c r="F37" s="42">
        <f t="shared" ref="F37" si="179">F35+F36</f>
        <v>0</v>
      </c>
      <c r="G37" s="42">
        <f t="shared" ref="G37" si="180">G35+G36</f>
        <v>0</v>
      </c>
      <c r="H37" s="42">
        <f t="shared" ref="H37" si="181">H35+H36</f>
        <v>0</v>
      </c>
      <c r="I37" s="42">
        <f t="shared" ref="I37" si="182">I35+I36</f>
        <v>0</v>
      </c>
      <c r="J37" s="42">
        <f t="shared" ref="J37" si="183">J35+J36</f>
        <v>0</v>
      </c>
      <c r="K37" s="42">
        <f t="shared" ref="K37" si="184">K35+K36</f>
        <v>0</v>
      </c>
      <c r="L37" s="42">
        <f t="shared" ref="L37" si="185">L35+L36</f>
        <v>0</v>
      </c>
      <c r="M37" s="42">
        <f t="shared" ref="M37" si="186">M35+M36</f>
        <v>0</v>
      </c>
      <c r="N37" s="42">
        <f t="shared" ref="N37" si="187">N35+N36</f>
        <v>0</v>
      </c>
      <c r="O37" s="42">
        <f t="shared" ref="O37" si="188">O35+O36</f>
        <v>0</v>
      </c>
      <c r="P37" s="42">
        <f t="shared" ref="P37" si="189">P35+P36</f>
        <v>0</v>
      </c>
      <c r="Q37" s="42">
        <f t="shared" ref="Q37" si="190">Q35+Q36</f>
        <v>0</v>
      </c>
      <c r="R37" s="42">
        <f t="shared" ref="R37" si="191">R35+R36</f>
        <v>0</v>
      </c>
      <c r="S37" s="42">
        <f t="shared" ref="S37" si="192">S35+S36</f>
        <v>0</v>
      </c>
      <c r="T37" s="42">
        <f t="shared" ref="T37" si="193">T35+T36</f>
        <v>0</v>
      </c>
      <c r="U37" s="42">
        <f t="shared" ref="U37" si="194">U35+U36</f>
        <v>0</v>
      </c>
      <c r="V37" s="42">
        <f t="shared" ref="V37" si="195">V35+V36</f>
        <v>0</v>
      </c>
      <c r="W37" s="42">
        <f t="shared" ref="W37" si="196">W35+W36</f>
        <v>0</v>
      </c>
      <c r="X37" s="42">
        <f t="shared" ref="X37" si="197">X35+X36</f>
        <v>0</v>
      </c>
      <c r="Y37" s="42">
        <f t="shared" ref="Y37" si="198">Y35+Y36</f>
        <v>0</v>
      </c>
      <c r="Z37" s="42">
        <f t="shared" ref="Z37" si="199">Z35+Z36</f>
        <v>0</v>
      </c>
      <c r="AA37" s="42">
        <f t="shared" ref="AA37" si="200">AA35+AA36</f>
        <v>0</v>
      </c>
      <c r="AB37" s="42">
        <f t="shared" ref="AB37" si="201">AB35+AB36</f>
        <v>0</v>
      </c>
      <c r="AC37" s="42">
        <f t="shared" ref="AC37" si="202">AC35+AC36</f>
        <v>0</v>
      </c>
      <c r="AD37" s="42">
        <f t="shared" ref="AD37" si="203">AD35+AD36</f>
        <v>0</v>
      </c>
      <c r="AE37" s="42">
        <f t="shared" ref="AE37" si="204">AE35+AE36</f>
        <v>0</v>
      </c>
      <c r="AF37" s="42">
        <f t="shared" ref="AF37" si="205">AF35+AF36</f>
        <v>0</v>
      </c>
      <c r="AG37" s="42">
        <f t="shared" ref="AG37" si="206">AG35+AG36</f>
        <v>0</v>
      </c>
      <c r="AH37" s="42">
        <f t="shared" ref="AH37" si="207">AH35+AH36</f>
        <v>0</v>
      </c>
      <c r="AI37" s="42">
        <f t="shared" ref="AI37" si="208">AI35+AI36</f>
        <v>0</v>
      </c>
      <c r="AJ37" s="42">
        <f t="shared" ref="AJ37" si="209">AJ35+AJ36</f>
        <v>0</v>
      </c>
      <c r="AK37" s="42">
        <f t="shared" ref="AK37" si="210">AK35+AK36</f>
        <v>0</v>
      </c>
      <c r="AL37" s="42">
        <f t="shared" ref="AL37" si="211">AL35+AL36</f>
        <v>0</v>
      </c>
      <c r="AM37" s="42">
        <f t="shared" ref="AM37" si="212">AM35+AM36</f>
        <v>0</v>
      </c>
      <c r="AN37" s="42">
        <f t="shared" si="0"/>
        <v>0</v>
      </c>
    </row>
    <row r="38" customHeight="1" spans="1:40">
      <c r="A38" s="53"/>
      <c r="B38" s="54" t="s">
        <v>764</v>
      </c>
      <c r="C38" s="54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  <c r="AK38" s="38"/>
      <c r="AL38" s="38"/>
      <c r="AM38" s="38"/>
      <c r="AN38" s="42">
        <f t="shared" si="0"/>
        <v>0</v>
      </c>
    </row>
    <row r="39" customHeight="1" spans="1:40">
      <c r="A39" s="55"/>
      <c r="B39" s="54" t="s">
        <v>765</v>
      </c>
      <c r="C39" s="54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38"/>
      <c r="AH39" s="38"/>
      <c r="AI39" s="38"/>
      <c r="AJ39" s="38"/>
      <c r="AK39" s="38"/>
      <c r="AL39" s="38"/>
      <c r="AM39" s="38"/>
      <c r="AN39" s="42">
        <f t="shared" si="0"/>
        <v>0</v>
      </c>
    </row>
    <row r="40" customHeight="1" spans="1:40">
      <c r="A40" s="55"/>
      <c r="B40" s="54" t="s">
        <v>766</v>
      </c>
      <c r="C40" s="54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8"/>
      <c r="AG40" s="38"/>
      <c r="AH40" s="38"/>
      <c r="AI40" s="38"/>
      <c r="AJ40" s="38"/>
      <c r="AK40" s="38"/>
      <c r="AL40" s="38"/>
      <c r="AM40" s="38"/>
      <c r="AN40" s="42">
        <f t="shared" si="0"/>
        <v>0</v>
      </c>
    </row>
    <row r="41" customHeight="1" spans="1:40">
      <c r="A41" s="55"/>
      <c r="B41" s="54" t="s">
        <v>767</v>
      </c>
      <c r="C41" s="54"/>
      <c r="D41" s="42">
        <f>D39*D40/10000</f>
        <v>0</v>
      </c>
      <c r="E41" s="42">
        <f t="shared" ref="E41" si="213">E39*E40/10000</f>
        <v>0</v>
      </c>
      <c r="F41" s="42">
        <f t="shared" ref="F41" si="214">F39*F40/10000</f>
        <v>0</v>
      </c>
      <c r="G41" s="42">
        <f t="shared" ref="G41" si="215">G39*G40/10000</f>
        <v>0</v>
      </c>
      <c r="H41" s="42">
        <f t="shared" ref="H41" si="216">H39*H40/10000</f>
        <v>0</v>
      </c>
      <c r="I41" s="42">
        <f t="shared" ref="I41" si="217">I39*I40/10000</f>
        <v>0</v>
      </c>
      <c r="J41" s="42">
        <f t="shared" ref="J41" si="218">J39*J40/10000</f>
        <v>0</v>
      </c>
      <c r="K41" s="42">
        <f t="shared" ref="K41" si="219">K39*K40/10000</f>
        <v>0</v>
      </c>
      <c r="L41" s="42">
        <f t="shared" ref="L41" si="220">L39*L40/10000</f>
        <v>0</v>
      </c>
      <c r="M41" s="42">
        <f t="shared" ref="M41" si="221">M39*M40/10000</f>
        <v>0</v>
      </c>
      <c r="N41" s="42">
        <f t="shared" ref="N41" si="222">N39*N40/10000</f>
        <v>0</v>
      </c>
      <c r="O41" s="42">
        <f t="shared" ref="O41" si="223">O39*O40/10000</f>
        <v>0</v>
      </c>
      <c r="P41" s="42">
        <f t="shared" ref="P41" si="224">P39*P40/10000</f>
        <v>0</v>
      </c>
      <c r="Q41" s="42">
        <f t="shared" ref="Q41" si="225">Q39*Q40/10000</f>
        <v>0</v>
      </c>
      <c r="R41" s="42">
        <f t="shared" ref="R41" si="226">R39*R40/10000</f>
        <v>0</v>
      </c>
      <c r="S41" s="42">
        <f t="shared" ref="S41" si="227">S39*S40/10000</f>
        <v>0</v>
      </c>
      <c r="T41" s="42">
        <f t="shared" ref="T41" si="228">T39*T40/10000</f>
        <v>0</v>
      </c>
      <c r="U41" s="42">
        <f t="shared" ref="U41" si="229">U39*U40/10000</f>
        <v>0</v>
      </c>
      <c r="V41" s="42">
        <f t="shared" ref="V41" si="230">V39*V40/10000</f>
        <v>0</v>
      </c>
      <c r="W41" s="42">
        <f t="shared" ref="W41" si="231">W39*W40/10000</f>
        <v>0</v>
      </c>
      <c r="X41" s="42">
        <f t="shared" ref="X41" si="232">X39*X40/10000</f>
        <v>0</v>
      </c>
      <c r="Y41" s="42">
        <f t="shared" ref="Y41" si="233">Y39*Y40/10000</f>
        <v>0</v>
      </c>
      <c r="Z41" s="42">
        <f t="shared" ref="Z41" si="234">Z39*Z40/10000</f>
        <v>0</v>
      </c>
      <c r="AA41" s="42">
        <f t="shared" ref="AA41" si="235">AA39*AA40/10000</f>
        <v>0</v>
      </c>
      <c r="AB41" s="42">
        <f t="shared" ref="AB41" si="236">AB39*AB40/10000</f>
        <v>0</v>
      </c>
      <c r="AC41" s="42">
        <f t="shared" ref="AC41" si="237">AC39*AC40/10000</f>
        <v>0</v>
      </c>
      <c r="AD41" s="42">
        <f t="shared" ref="AD41" si="238">AD39*AD40/10000</f>
        <v>0</v>
      </c>
      <c r="AE41" s="42">
        <f t="shared" ref="AE41" si="239">AE39*AE40/10000</f>
        <v>0</v>
      </c>
      <c r="AF41" s="42">
        <f t="shared" ref="AF41" si="240">AF39*AF40/10000</f>
        <v>0</v>
      </c>
      <c r="AG41" s="42">
        <f t="shared" ref="AG41" si="241">AG39*AG40/10000</f>
        <v>0</v>
      </c>
      <c r="AH41" s="42">
        <f t="shared" ref="AH41" si="242">AH39*AH40/10000</f>
        <v>0</v>
      </c>
      <c r="AI41" s="42">
        <f t="shared" ref="AI41" si="243">AI39*AI40/10000</f>
        <v>0</v>
      </c>
      <c r="AJ41" s="42">
        <f t="shared" ref="AJ41" si="244">AJ39*AJ40/10000</f>
        <v>0</v>
      </c>
      <c r="AK41" s="42">
        <f t="shared" ref="AK41" si="245">AK39*AK40/10000</f>
        <v>0</v>
      </c>
      <c r="AL41" s="42">
        <f t="shared" ref="AL41" si="246">AL39*AL40/10000</f>
        <v>0</v>
      </c>
      <c r="AM41" s="42">
        <f t="shared" ref="AM41" si="247">AM39*AM40/10000</f>
        <v>0</v>
      </c>
      <c r="AN41" s="42">
        <f t="shared" si="0"/>
        <v>0</v>
      </c>
    </row>
    <row r="42" customHeight="1" spans="1:40">
      <c r="A42" s="55"/>
      <c r="B42" s="54" t="s">
        <v>768</v>
      </c>
      <c r="C42" s="54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38"/>
      <c r="AJ42" s="38"/>
      <c r="AK42" s="38"/>
      <c r="AL42" s="38"/>
      <c r="AM42" s="38"/>
      <c r="AN42" s="42">
        <f t="shared" si="0"/>
        <v>0</v>
      </c>
    </row>
    <row r="43" customHeight="1" spans="1:40">
      <c r="A43" s="55"/>
      <c r="B43" s="54" t="s">
        <v>769</v>
      </c>
      <c r="C43" s="54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38"/>
      <c r="AK43" s="38"/>
      <c r="AL43" s="38"/>
      <c r="AM43" s="38"/>
      <c r="AN43" s="42">
        <f t="shared" si="0"/>
        <v>0</v>
      </c>
    </row>
    <row r="44" customHeight="1" spans="1:40">
      <c r="A44" s="55"/>
      <c r="B44" s="54" t="s">
        <v>770</v>
      </c>
      <c r="C44" s="54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38"/>
      <c r="AI44" s="38"/>
      <c r="AJ44" s="38"/>
      <c r="AK44" s="38"/>
      <c r="AL44" s="38"/>
      <c r="AM44" s="38"/>
      <c r="AN44" s="42">
        <f t="shared" si="0"/>
        <v>0</v>
      </c>
    </row>
    <row r="45" customHeight="1" spans="1:40">
      <c r="A45" s="55"/>
      <c r="B45" s="54" t="s">
        <v>771</v>
      </c>
      <c r="C45" s="54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G45" s="38"/>
      <c r="AH45" s="38"/>
      <c r="AI45" s="38"/>
      <c r="AJ45" s="38"/>
      <c r="AK45" s="38"/>
      <c r="AL45" s="38"/>
      <c r="AM45" s="38"/>
      <c r="AN45" s="42">
        <f t="shared" si="0"/>
        <v>0</v>
      </c>
    </row>
    <row r="46" customHeight="1" spans="1:40">
      <c r="A46" s="56"/>
      <c r="B46" s="54" t="s">
        <v>772</v>
      </c>
      <c r="C46" s="54"/>
      <c r="D46" s="42">
        <f>D44+D45</f>
        <v>0</v>
      </c>
      <c r="E46" s="42">
        <f t="shared" ref="E46" si="248">E44+E45</f>
        <v>0</v>
      </c>
      <c r="F46" s="42">
        <f t="shared" ref="F46" si="249">F44+F45</f>
        <v>0</v>
      </c>
      <c r="G46" s="42">
        <f t="shared" ref="G46" si="250">G44+G45</f>
        <v>0</v>
      </c>
      <c r="H46" s="42">
        <f t="shared" ref="H46" si="251">H44+H45</f>
        <v>0</v>
      </c>
      <c r="I46" s="42">
        <f t="shared" ref="I46" si="252">I44+I45</f>
        <v>0</v>
      </c>
      <c r="J46" s="42">
        <f t="shared" ref="J46" si="253">J44+J45</f>
        <v>0</v>
      </c>
      <c r="K46" s="42">
        <f t="shared" ref="K46" si="254">K44+K45</f>
        <v>0</v>
      </c>
      <c r="L46" s="42">
        <f t="shared" ref="L46" si="255">L44+L45</f>
        <v>0</v>
      </c>
      <c r="M46" s="42">
        <f t="shared" ref="M46" si="256">M44+M45</f>
        <v>0</v>
      </c>
      <c r="N46" s="42">
        <f t="shared" ref="N46" si="257">N44+N45</f>
        <v>0</v>
      </c>
      <c r="O46" s="42">
        <f t="shared" ref="O46" si="258">O44+O45</f>
        <v>0</v>
      </c>
      <c r="P46" s="42">
        <f t="shared" ref="P46" si="259">P44+P45</f>
        <v>0</v>
      </c>
      <c r="Q46" s="42">
        <f t="shared" ref="Q46" si="260">Q44+Q45</f>
        <v>0</v>
      </c>
      <c r="R46" s="42">
        <f t="shared" ref="R46" si="261">R44+R45</f>
        <v>0</v>
      </c>
      <c r="S46" s="42">
        <f t="shared" ref="S46" si="262">S44+S45</f>
        <v>0</v>
      </c>
      <c r="T46" s="42">
        <f t="shared" ref="T46" si="263">T44+T45</f>
        <v>0</v>
      </c>
      <c r="U46" s="42">
        <f t="shared" ref="U46" si="264">U44+U45</f>
        <v>0</v>
      </c>
      <c r="V46" s="42">
        <f t="shared" ref="V46" si="265">V44+V45</f>
        <v>0</v>
      </c>
      <c r="W46" s="42">
        <f t="shared" ref="W46" si="266">W44+W45</f>
        <v>0</v>
      </c>
      <c r="X46" s="42">
        <f t="shared" ref="X46" si="267">X44+X45</f>
        <v>0</v>
      </c>
      <c r="Y46" s="42">
        <f t="shared" ref="Y46" si="268">Y44+Y45</f>
        <v>0</v>
      </c>
      <c r="Z46" s="42">
        <f t="shared" ref="Z46" si="269">Z44+Z45</f>
        <v>0</v>
      </c>
      <c r="AA46" s="42">
        <f t="shared" ref="AA46" si="270">AA44+AA45</f>
        <v>0</v>
      </c>
      <c r="AB46" s="42">
        <f t="shared" ref="AB46" si="271">AB44+AB45</f>
        <v>0</v>
      </c>
      <c r="AC46" s="42">
        <f t="shared" ref="AC46" si="272">AC44+AC45</f>
        <v>0</v>
      </c>
      <c r="AD46" s="42">
        <f t="shared" ref="AD46" si="273">AD44+AD45</f>
        <v>0</v>
      </c>
      <c r="AE46" s="42">
        <f t="shared" ref="AE46" si="274">AE44+AE45</f>
        <v>0</v>
      </c>
      <c r="AF46" s="42">
        <f t="shared" ref="AF46" si="275">AF44+AF45</f>
        <v>0</v>
      </c>
      <c r="AG46" s="42">
        <f t="shared" ref="AG46" si="276">AG44+AG45</f>
        <v>0</v>
      </c>
      <c r="AH46" s="42">
        <f t="shared" ref="AH46" si="277">AH44+AH45</f>
        <v>0</v>
      </c>
      <c r="AI46" s="42">
        <f t="shared" ref="AI46" si="278">AI44+AI45</f>
        <v>0</v>
      </c>
      <c r="AJ46" s="42">
        <f t="shared" ref="AJ46" si="279">AJ44+AJ45</f>
        <v>0</v>
      </c>
      <c r="AK46" s="42">
        <f t="shared" ref="AK46" si="280">AK44+AK45</f>
        <v>0</v>
      </c>
      <c r="AL46" s="42">
        <f t="shared" ref="AL46" si="281">AL44+AL45</f>
        <v>0</v>
      </c>
      <c r="AM46" s="42">
        <f t="shared" ref="AM46" si="282">AM44+AM45</f>
        <v>0</v>
      </c>
      <c r="AN46" s="42">
        <f t="shared" si="0"/>
        <v>0</v>
      </c>
    </row>
    <row r="47" customHeight="1" spans="1:40">
      <c r="A47" s="57" t="s">
        <v>113</v>
      </c>
      <c r="B47" s="38" t="s">
        <v>767</v>
      </c>
      <c r="C47" s="38"/>
      <c r="D47" s="42">
        <f t="shared" ref="D47:AM47" si="283">D5+D14+D23+D32+D41</f>
        <v>0</v>
      </c>
      <c r="E47" s="42">
        <f t="shared" si="283"/>
        <v>0</v>
      </c>
      <c r="F47" s="42">
        <f t="shared" si="283"/>
        <v>0</v>
      </c>
      <c r="G47" s="42">
        <f t="shared" si="283"/>
        <v>0</v>
      </c>
      <c r="H47" s="42">
        <f t="shared" si="283"/>
        <v>0</v>
      </c>
      <c r="I47" s="42">
        <f t="shared" si="283"/>
        <v>0</v>
      </c>
      <c r="J47" s="42">
        <f t="shared" si="283"/>
        <v>0</v>
      </c>
      <c r="K47" s="42">
        <f t="shared" si="283"/>
        <v>0</v>
      </c>
      <c r="L47" s="42">
        <f t="shared" si="283"/>
        <v>0</v>
      </c>
      <c r="M47" s="42">
        <f t="shared" si="283"/>
        <v>0</v>
      </c>
      <c r="N47" s="42">
        <f t="shared" si="283"/>
        <v>0</v>
      </c>
      <c r="O47" s="42">
        <f t="shared" si="283"/>
        <v>0</v>
      </c>
      <c r="P47" s="42">
        <f t="shared" si="283"/>
        <v>0</v>
      </c>
      <c r="Q47" s="42">
        <f t="shared" si="283"/>
        <v>0</v>
      </c>
      <c r="R47" s="42">
        <f t="shared" si="283"/>
        <v>0</v>
      </c>
      <c r="S47" s="42">
        <f t="shared" si="283"/>
        <v>0</v>
      </c>
      <c r="T47" s="42">
        <f t="shared" si="283"/>
        <v>0</v>
      </c>
      <c r="U47" s="42">
        <f t="shared" si="283"/>
        <v>0</v>
      </c>
      <c r="V47" s="42">
        <f t="shared" si="283"/>
        <v>0</v>
      </c>
      <c r="W47" s="42">
        <f t="shared" si="283"/>
        <v>0</v>
      </c>
      <c r="X47" s="42">
        <f t="shared" si="283"/>
        <v>0</v>
      </c>
      <c r="Y47" s="42">
        <f t="shared" si="283"/>
        <v>0</v>
      </c>
      <c r="Z47" s="42">
        <f t="shared" si="283"/>
        <v>0</v>
      </c>
      <c r="AA47" s="42">
        <f t="shared" si="283"/>
        <v>0</v>
      </c>
      <c r="AB47" s="42">
        <f t="shared" si="283"/>
        <v>0</v>
      </c>
      <c r="AC47" s="42">
        <f t="shared" si="283"/>
        <v>0</v>
      </c>
      <c r="AD47" s="42">
        <f t="shared" si="283"/>
        <v>0</v>
      </c>
      <c r="AE47" s="42">
        <f t="shared" si="283"/>
        <v>0</v>
      </c>
      <c r="AF47" s="42">
        <f t="shared" si="283"/>
        <v>0</v>
      </c>
      <c r="AG47" s="42">
        <f t="shared" si="283"/>
        <v>0</v>
      </c>
      <c r="AH47" s="42">
        <f t="shared" si="283"/>
        <v>0</v>
      </c>
      <c r="AI47" s="42">
        <f t="shared" si="283"/>
        <v>0</v>
      </c>
      <c r="AJ47" s="42">
        <f t="shared" si="283"/>
        <v>0</v>
      </c>
      <c r="AK47" s="42">
        <f t="shared" si="283"/>
        <v>0</v>
      </c>
      <c r="AL47" s="42">
        <f t="shared" si="283"/>
        <v>0</v>
      </c>
      <c r="AM47" s="42">
        <f t="shared" si="283"/>
        <v>0</v>
      </c>
      <c r="AN47" s="42">
        <f t="shared" si="0"/>
        <v>0</v>
      </c>
    </row>
    <row r="48" customHeight="1" spans="1:40">
      <c r="A48" s="57"/>
      <c r="B48" s="38" t="s">
        <v>768</v>
      </c>
      <c r="C48" s="38"/>
      <c r="D48" s="42">
        <f t="shared" ref="D48:AM48" si="284">D6+D15+D24+D33+D42</f>
        <v>0</v>
      </c>
      <c r="E48" s="42">
        <f t="shared" si="284"/>
        <v>0</v>
      </c>
      <c r="F48" s="42">
        <f t="shared" si="284"/>
        <v>0</v>
      </c>
      <c r="G48" s="42">
        <f t="shared" si="284"/>
        <v>0</v>
      </c>
      <c r="H48" s="42">
        <f t="shared" si="284"/>
        <v>0</v>
      </c>
      <c r="I48" s="42">
        <f t="shared" si="284"/>
        <v>0</v>
      </c>
      <c r="J48" s="42">
        <f t="shared" si="284"/>
        <v>0</v>
      </c>
      <c r="K48" s="42">
        <f t="shared" si="284"/>
        <v>0</v>
      </c>
      <c r="L48" s="42">
        <f t="shared" si="284"/>
        <v>0</v>
      </c>
      <c r="M48" s="42">
        <f t="shared" si="284"/>
        <v>0</v>
      </c>
      <c r="N48" s="42">
        <f t="shared" si="284"/>
        <v>0</v>
      </c>
      <c r="O48" s="42">
        <f t="shared" si="284"/>
        <v>0</v>
      </c>
      <c r="P48" s="42">
        <f t="shared" si="284"/>
        <v>0</v>
      </c>
      <c r="Q48" s="42">
        <f t="shared" si="284"/>
        <v>0</v>
      </c>
      <c r="R48" s="42">
        <f t="shared" si="284"/>
        <v>0</v>
      </c>
      <c r="S48" s="42">
        <f t="shared" si="284"/>
        <v>0</v>
      </c>
      <c r="T48" s="42">
        <f t="shared" si="284"/>
        <v>0</v>
      </c>
      <c r="U48" s="42">
        <f t="shared" si="284"/>
        <v>0</v>
      </c>
      <c r="V48" s="42">
        <f t="shared" si="284"/>
        <v>0</v>
      </c>
      <c r="W48" s="42">
        <f t="shared" si="284"/>
        <v>0</v>
      </c>
      <c r="X48" s="42">
        <f t="shared" si="284"/>
        <v>0</v>
      </c>
      <c r="Y48" s="42">
        <f t="shared" si="284"/>
        <v>0</v>
      </c>
      <c r="Z48" s="42">
        <f t="shared" si="284"/>
        <v>0</v>
      </c>
      <c r="AA48" s="42">
        <f t="shared" si="284"/>
        <v>0</v>
      </c>
      <c r="AB48" s="42">
        <f t="shared" si="284"/>
        <v>0</v>
      </c>
      <c r="AC48" s="42">
        <f t="shared" si="284"/>
        <v>0</v>
      </c>
      <c r="AD48" s="42">
        <f t="shared" si="284"/>
        <v>0</v>
      </c>
      <c r="AE48" s="42">
        <f t="shared" si="284"/>
        <v>0</v>
      </c>
      <c r="AF48" s="42">
        <f t="shared" si="284"/>
        <v>0</v>
      </c>
      <c r="AG48" s="42">
        <f t="shared" si="284"/>
        <v>0</v>
      </c>
      <c r="AH48" s="42">
        <f t="shared" si="284"/>
        <v>0</v>
      </c>
      <c r="AI48" s="42">
        <f t="shared" si="284"/>
        <v>0</v>
      </c>
      <c r="AJ48" s="42">
        <f t="shared" si="284"/>
        <v>0</v>
      </c>
      <c r="AK48" s="42">
        <f t="shared" si="284"/>
        <v>0</v>
      </c>
      <c r="AL48" s="42">
        <f t="shared" si="284"/>
        <v>0</v>
      </c>
      <c r="AM48" s="42">
        <f t="shared" si="284"/>
        <v>0</v>
      </c>
      <c r="AN48" s="42">
        <f t="shared" si="0"/>
        <v>0</v>
      </c>
    </row>
    <row r="49" customHeight="1" spans="1:40">
      <c r="A49" s="57"/>
      <c r="B49" s="38" t="s">
        <v>773</v>
      </c>
      <c r="C49" s="38"/>
      <c r="D49" s="42">
        <f t="shared" ref="D49:AM49" si="285">D47-D48</f>
        <v>0</v>
      </c>
      <c r="E49" s="42">
        <f t="shared" si="285"/>
        <v>0</v>
      </c>
      <c r="F49" s="42">
        <f t="shared" si="285"/>
        <v>0</v>
      </c>
      <c r="G49" s="42">
        <f t="shared" si="285"/>
        <v>0</v>
      </c>
      <c r="H49" s="42">
        <f t="shared" si="285"/>
        <v>0</v>
      </c>
      <c r="I49" s="42">
        <f t="shared" si="285"/>
        <v>0</v>
      </c>
      <c r="J49" s="42">
        <f t="shared" si="285"/>
        <v>0</v>
      </c>
      <c r="K49" s="42">
        <f t="shared" si="285"/>
        <v>0</v>
      </c>
      <c r="L49" s="42">
        <f t="shared" si="285"/>
        <v>0</v>
      </c>
      <c r="M49" s="42">
        <f t="shared" si="285"/>
        <v>0</v>
      </c>
      <c r="N49" s="42">
        <f t="shared" si="285"/>
        <v>0</v>
      </c>
      <c r="O49" s="42">
        <f t="shared" si="285"/>
        <v>0</v>
      </c>
      <c r="P49" s="42">
        <f t="shared" si="285"/>
        <v>0</v>
      </c>
      <c r="Q49" s="42">
        <f t="shared" si="285"/>
        <v>0</v>
      </c>
      <c r="R49" s="42">
        <f t="shared" si="285"/>
        <v>0</v>
      </c>
      <c r="S49" s="42">
        <f t="shared" si="285"/>
        <v>0</v>
      </c>
      <c r="T49" s="42">
        <f t="shared" si="285"/>
        <v>0</v>
      </c>
      <c r="U49" s="42">
        <f t="shared" si="285"/>
        <v>0</v>
      </c>
      <c r="V49" s="42">
        <f t="shared" si="285"/>
        <v>0</v>
      </c>
      <c r="W49" s="42">
        <f t="shared" si="285"/>
        <v>0</v>
      </c>
      <c r="X49" s="42">
        <f t="shared" si="285"/>
        <v>0</v>
      </c>
      <c r="Y49" s="42">
        <f t="shared" si="285"/>
        <v>0</v>
      </c>
      <c r="Z49" s="42">
        <f t="shared" si="285"/>
        <v>0</v>
      </c>
      <c r="AA49" s="42">
        <f t="shared" si="285"/>
        <v>0</v>
      </c>
      <c r="AB49" s="42">
        <f t="shared" si="285"/>
        <v>0</v>
      </c>
      <c r="AC49" s="42">
        <f t="shared" si="285"/>
        <v>0</v>
      </c>
      <c r="AD49" s="42">
        <f t="shared" si="285"/>
        <v>0</v>
      </c>
      <c r="AE49" s="42">
        <f t="shared" si="285"/>
        <v>0</v>
      </c>
      <c r="AF49" s="42">
        <f t="shared" si="285"/>
        <v>0</v>
      </c>
      <c r="AG49" s="42">
        <f t="shared" si="285"/>
        <v>0</v>
      </c>
      <c r="AH49" s="42">
        <f t="shared" si="285"/>
        <v>0</v>
      </c>
      <c r="AI49" s="42">
        <f t="shared" si="285"/>
        <v>0</v>
      </c>
      <c r="AJ49" s="42">
        <f t="shared" si="285"/>
        <v>0</v>
      </c>
      <c r="AK49" s="42">
        <f t="shared" si="285"/>
        <v>0</v>
      </c>
      <c r="AL49" s="42">
        <f t="shared" si="285"/>
        <v>0</v>
      </c>
      <c r="AM49" s="42">
        <f t="shared" si="285"/>
        <v>0</v>
      </c>
      <c r="AN49" s="42">
        <f t="shared" si="0"/>
        <v>0</v>
      </c>
    </row>
    <row r="50" customHeight="1" spans="1:40">
      <c r="A50" s="57"/>
      <c r="B50" s="38" t="s">
        <v>770</v>
      </c>
      <c r="C50" s="38"/>
      <c r="D50" s="42">
        <f t="shared" ref="D50:AM50" si="286">D8+D17+D26+D35+D44</f>
        <v>0</v>
      </c>
      <c r="E50" s="42">
        <f t="shared" si="286"/>
        <v>0</v>
      </c>
      <c r="F50" s="42">
        <f t="shared" si="286"/>
        <v>0</v>
      </c>
      <c r="G50" s="42">
        <f t="shared" si="286"/>
        <v>0</v>
      </c>
      <c r="H50" s="42">
        <f t="shared" si="286"/>
        <v>0</v>
      </c>
      <c r="I50" s="42">
        <f t="shared" si="286"/>
        <v>0</v>
      </c>
      <c r="J50" s="42">
        <f t="shared" si="286"/>
        <v>0</v>
      </c>
      <c r="K50" s="42">
        <f t="shared" si="286"/>
        <v>0</v>
      </c>
      <c r="L50" s="42">
        <f t="shared" si="286"/>
        <v>0</v>
      </c>
      <c r="M50" s="42">
        <f t="shared" si="286"/>
        <v>0</v>
      </c>
      <c r="N50" s="42">
        <f t="shared" si="286"/>
        <v>0</v>
      </c>
      <c r="O50" s="42">
        <f t="shared" si="286"/>
        <v>0</v>
      </c>
      <c r="P50" s="42">
        <f t="shared" si="286"/>
        <v>0</v>
      </c>
      <c r="Q50" s="42">
        <f t="shared" si="286"/>
        <v>0</v>
      </c>
      <c r="R50" s="42">
        <f t="shared" si="286"/>
        <v>0</v>
      </c>
      <c r="S50" s="42">
        <f t="shared" si="286"/>
        <v>0</v>
      </c>
      <c r="T50" s="42">
        <f t="shared" si="286"/>
        <v>0</v>
      </c>
      <c r="U50" s="42">
        <f t="shared" si="286"/>
        <v>0</v>
      </c>
      <c r="V50" s="42">
        <f t="shared" si="286"/>
        <v>0</v>
      </c>
      <c r="W50" s="42">
        <f t="shared" si="286"/>
        <v>0</v>
      </c>
      <c r="X50" s="42">
        <f t="shared" si="286"/>
        <v>0</v>
      </c>
      <c r="Y50" s="42">
        <f t="shared" si="286"/>
        <v>0</v>
      </c>
      <c r="Z50" s="42">
        <f t="shared" si="286"/>
        <v>0</v>
      </c>
      <c r="AA50" s="42">
        <f t="shared" si="286"/>
        <v>0</v>
      </c>
      <c r="AB50" s="42">
        <f t="shared" si="286"/>
        <v>0</v>
      </c>
      <c r="AC50" s="42">
        <f t="shared" si="286"/>
        <v>0</v>
      </c>
      <c r="AD50" s="42">
        <f t="shared" si="286"/>
        <v>0</v>
      </c>
      <c r="AE50" s="42">
        <f t="shared" si="286"/>
        <v>0</v>
      </c>
      <c r="AF50" s="42">
        <f t="shared" si="286"/>
        <v>0</v>
      </c>
      <c r="AG50" s="42">
        <f t="shared" si="286"/>
        <v>0</v>
      </c>
      <c r="AH50" s="42">
        <f t="shared" si="286"/>
        <v>0</v>
      </c>
      <c r="AI50" s="42">
        <f t="shared" si="286"/>
        <v>0</v>
      </c>
      <c r="AJ50" s="42">
        <f t="shared" si="286"/>
        <v>0</v>
      </c>
      <c r="AK50" s="42">
        <f t="shared" si="286"/>
        <v>0</v>
      </c>
      <c r="AL50" s="42">
        <f t="shared" si="286"/>
        <v>0</v>
      </c>
      <c r="AM50" s="42">
        <f t="shared" si="286"/>
        <v>0</v>
      </c>
      <c r="AN50" s="42">
        <f t="shared" si="0"/>
        <v>0</v>
      </c>
    </row>
    <row r="51" customHeight="1" spans="1:40">
      <c r="A51" s="57"/>
      <c r="B51" s="38" t="s">
        <v>771</v>
      </c>
      <c r="C51" s="38"/>
      <c r="D51" s="42">
        <f t="shared" ref="D51:AM51" si="287">D9+D18+D27+D36+D45</f>
        <v>0</v>
      </c>
      <c r="E51" s="42">
        <f t="shared" si="287"/>
        <v>0</v>
      </c>
      <c r="F51" s="42">
        <f t="shared" si="287"/>
        <v>0</v>
      </c>
      <c r="G51" s="42">
        <f t="shared" si="287"/>
        <v>0</v>
      </c>
      <c r="H51" s="42">
        <f t="shared" si="287"/>
        <v>0</v>
      </c>
      <c r="I51" s="42">
        <f t="shared" si="287"/>
        <v>0</v>
      </c>
      <c r="J51" s="42">
        <f t="shared" si="287"/>
        <v>0</v>
      </c>
      <c r="K51" s="42">
        <f t="shared" si="287"/>
        <v>0</v>
      </c>
      <c r="L51" s="42">
        <f t="shared" si="287"/>
        <v>0</v>
      </c>
      <c r="M51" s="42">
        <f t="shared" si="287"/>
        <v>0</v>
      </c>
      <c r="N51" s="42">
        <f t="shared" si="287"/>
        <v>0</v>
      </c>
      <c r="O51" s="42">
        <f t="shared" si="287"/>
        <v>0</v>
      </c>
      <c r="P51" s="42">
        <f t="shared" si="287"/>
        <v>0</v>
      </c>
      <c r="Q51" s="42">
        <f t="shared" si="287"/>
        <v>0</v>
      </c>
      <c r="R51" s="42">
        <f t="shared" si="287"/>
        <v>0</v>
      </c>
      <c r="S51" s="42">
        <f t="shared" si="287"/>
        <v>0</v>
      </c>
      <c r="T51" s="42">
        <f t="shared" si="287"/>
        <v>0</v>
      </c>
      <c r="U51" s="42">
        <f t="shared" si="287"/>
        <v>0</v>
      </c>
      <c r="V51" s="42">
        <f t="shared" si="287"/>
        <v>0</v>
      </c>
      <c r="W51" s="42">
        <f t="shared" si="287"/>
        <v>0</v>
      </c>
      <c r="X51" s="42">
        <f t="shared" si="287"/>
        <v>0</v>
      </c>
      <c r="Y51" s="42">
        <f t="shared" si="287"/>
        <v>0</v>
      </c>
      <c r="Z51" s="42">
        <f t="shared" si="287"/>
        <v>0</v>
      </c>
      <c r="AA51" s="42">
        <f t="shared" si="287"/>
        <v>0</v>
      </c>
      <c r="AB51" s="42">
        <f t="shared" si="287"/>
        <v>0</v>
      </c>
      <c r="AC51" s="42">
        <f t="shared" si="287"/>
        <v>0</v>
      </c>
      <c r="AD51" s="42">
        <f t="shared" si="287"/>
        <v>0</v>
      </c>
      <c r="AE51" s="42">
        <f t="shared" si="287"/>
        <v>0</v>
      </c>
      <c r="AF51" s="42">
        <f t="shared" si="287"/>
        <v>0</v>
      </c>
      <c r="AG51" s="42">
        <f t="shared" si="287"/>
        <v>0</v>
      </c>
      <c r="AH51" s="42">
        <f t="shared" si="287"/>
        <v>0</v>
      </c>
      <c r="AI51" s="42">
        <f t="shared" si="287"/>
        <v>0</v>
      </c>
      <c r="AJ51" s="42">
        <f t="shared" si="287"/>
        <v>0</v>
      </c>
      <c r="AK51" s="42">
        <f t="shared" si="287"/>
        <v>0</v>
      </c>
      <c r="AL51" s="42">
        <f t="shared" si="287"/>
        <v>0</v>
      </c>
      <c r="AM51" s="42">
        <f t="shared" si="287"/>
        <v>0</v>
      </c>
      <c r="AN51" s="42">
        <f t="shared" si="0"/>
        <v>0</v>
      </c>
    </row>
    <row r="52" customHeight="1" spans="1:40">
      <c r="A52" s="58"/>
      <c r="B52" s="38" t="s">
        <v>772</v>
      </c>
      <c r="C52" s="38"/>
      <c r="D52" s="42">
        <f t="shared" ref="D52:AM52" si="288">D10+D19+D28+D37+D46</f>
        <v>0</v>
      </c>
      <c r="E52" s="42">
        <f t="shared" si="288"/>
        <v>0</v>
      </c>
      <c r="F52" s="42">
        <f t="shared" si="288"/>
        <v>0</v>
      </c>
      <c r="G52" s="42">
        <f t="shared" si="288"/>
        <v>0</v>
      </c>
      <c r="H52" s="42">
        <f t="shared" si="288"/>
        <v>0</v>
      </c>
      <c r="I52" s="42">
        <f t="shared" si="288"/>
        <v>0</v>
      </c>
      <c r="J52" s="42">
        <f t="shared" si="288"/>
        <v>0</v>
      </c>
      <c r="K52" s="42">
        <f t="shared" si="288"/>
        <v>0</v>
      </c>
      <c r="L52" s="42">
        <f t="shared" si="288"/>
        <v>0</v>
      </c>
      <c r="M52" s="42">
        <f t="shared" si="288"/>
        <v>0</v>
      </c>
      <c r="N52" s="42">
        <f t="shared" si="288"/>
        <v>0</v>
      </c>
      <c r="O52" s="42">
        <f t="shared" si="288"/>
        <v>0</v>
      </c>
      <c r="P52" s="42">
        <f t="shared" si="288"/>
        <v>0</v>
      </c>
      <c r="Q52" s="42">
        <f t="shared" si="288"/>
        <v>0</v>
      </c>
      <c r="R52" s="42">
        <f t="shared" si="288"/>
        <v>0</v>
      </c>
      <c r="S52" s="42">
        <f t="shared" si="288"/>
        <v>0</v>
      </c>
      <c r="T52" s="42">
        <f t="shared" si="288"/>
        <v>0</v>
      </c>
      <c r="U52" s="42">
        <f t="shared" si="288"/>
        <v>0</v>
      </c>
      <c r="V52" s="42">
        <f t="shared" si="288"/>
        <v>0</v>
      </c>
      <c r="W52" s="42">
        <f t="shared" si="288"/>
        <v>0</v>
      </c>
      <c r="X52" s="42">
        <f t="shared" si="288"/>
        <v>0</v>
      </c>
      <c r="Y52" s="42">
        <f t="shared" si="288"/>
        <v>0</v>
      </c>
      <c r="Z52" s="42">
        <f t="shared" si="288"/>
        <v>0</v>
      </c>
      <c r="AA52" s="42">
        <f t="shared" si="288"/>
        <v>0</v>
      </c>
      <c r="AB52" s="42">
        <f t="shared" si="288"/>
        <v>0</v>
      </c>
      <c r="AC52" s="42">
        <f t="shared" si="288"/>
        <v>0</v>
      </c>
      <c r="AD52" s="42">
        <f t="shared" si="288"/>
        <v>0</v>
      </c>
      <c r="AE52" s="42">
        <f t="shared" si="288"/>
        <v>0</v>
      </c>
      <c r="AF52" s="42">
        <f t="shared" si="288"/>
        <v>0</v>
      </c>
      <c r="AG52" s="42">
        <f t="shared" si="288"/>
        <v>0</v>
      </c>
      <c r="AH52" s="42">
        <f t="shared" si="288"/>
        <v>0</v>
      </c>
      <c r="AI52" s="42">
        <f t="shared" si="288"/>
        <v>0</v>
      </c>
      <c r="AJ52" s="42">
        <f t="shared" si="288"/>
        <v>0</v>
      </c>
      <c r="AK52" s="42">
        <f t="shared" si="288"/>
        <v>0</v>
      </c>
      <c r="AL52" s="42">
        <f t="shared" si="288"/>
        <v>0</v>
      </c>
      <c r="AM52" s="42">
        <f t="shared" si="288"/>
        <v>0</v>
      </c>
      <c r="AN52" s="42">
        <f t="shared" si="0"/>
        <v>0</v>
      </c>
    </row>
    <row r="53" customHeight="1" spans="1:40">
      <c r="A53" s="41" t="s">
        <v>610</v>
      </c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38"/>
      <c r="AL53" s="38"/>
      <c r="AM53" s="38"/>
      <c r="AN53" s="38"/>
    </row>
    <row r="54" customHeight="1" spans="1:40">
      <c r="A54" s="41"/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38"/>
      <c r="AJ54" s="38"/>
      <c r="AK54" s="38"/>
      <c r="AL54" s="38"/>
      <c r="AM54" s="38"/>
      <c r="AN54" s="38"/>
    </row>
    <row r="55" customHeight="1" spans="1:40">
      <c r="A55" s="41"/>
      <c r="B55" s="38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</row>
    <row r="56" customHeight="1" spans="1:40">
      <c r="A56" s="41"/>
      <c r="B56" s="38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  <c r="AF56" s="38"/>
      <c r="AG56" s="38"/>
      <c r="AH56" s="38"/>
      <c r="AI56" s="38"/>
      <c r="AJ56" s="38"/>
      <c r="AK56" s="38"/>
      <c r="AL56" s="38"/>
      <c r="AM56" s="38"/>
      <c r="AN56" s="38"/>
    </row>
    <row r="57" customHeight="1" spans="1:40">
      <c r="A57" s="41"/>
      <c r="B57" s="38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F57" s="38"/>
      <c r="AG57" s="38"/>
      <c r="AH57" s="38"/>
      <c r="AI57" s="38"/>
      <c r="AJ57" s="38"/>
      <c r="AK57" s="38"/>
      <c r="AL57" s="38"/>
      <c r="AM57" s="38"/>
      <c r="AN57" s="38"/>
    </row>
    <row r="58" customHeight="1" spans="1:40">
      <c r="A58" s="41"/>
      <c r="B58" s="38" t="s">
        <v>113</v>
      </c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38"/>
      <c r="R58" s="38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  <c r="AF58" s="38"/>
      <c r="AG58" s="38"/>
      <c r="AH58" s="38"/>
      <c r="AI58" s="38"/>
      <c r="AJ58" s="38"/>
      <c r="AK58" s="38"/>
      <c r="AL58" s="38"/>
      <c r="AM58" s="38"/>
      <c r="AN58" s="38"/>
    </row>
    <row r="59" customHeight="1" spans="1:2">
      <c r="A59" s="41" t="s">
        <v>774</v>
      </c>
      <c r="B59" s="38"/>
    </row>
    <row r="60" customHeight="1" spans="1:2">
      <c r="A60" s="41"/>
      <c r="B60" s="38"/>
    </row>
    <row r="61" customHeight="1" spans="1:2">
      <c r="A61" s="41"/>
      <c r="B61" s="38"/>
    </row>
    <row r="62" customHeight="1" spans="1:2">
      <c r="A62" s="41"/>
      <c r="B62" s="38"/>
    </row>
    <row r="63" customHeight="1" spans="1:2">
      <c r="A63" s="41"/>
      <c r="B63" s="38"/>
    </row>
  </sheetData>
  <mergeCells count="8">
    <mergeCell ref="A2:A10"/>
    <mergeCell ref="A11:A19"/>
    <mergeCell ref="A20:A28"/>
    <mergeCell ref="A29:A37"/>
    <mergeCell ref="A38:A46"/>
    <mergeCell ref="A47:A52"/>
    <mergeCell ref="A53:A58"/>
    <mergeCell ref="A59:A63"/>
  </mergeCells>
  <pageMargins left="0.699305555555556" right="0.699305555555556" top="0.75" bottom="0.75" header="0.3" footer="0.3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8"/>
  <sheetViews>
    <sheetView workbookViewId="0">
      <selection activeCell="G190" sqref="G190"/>
    </sheetView>
  </sheetViews>
  <sheetFormatPr defaultColWidth="9" defaultRowHeight="14.25" outlineLevelRow="7"/>
  <cols>
    <col min="1" max="1" width="9.25" style="37" customWidth="1"/>
    <col min="2" max="3" width="10.875" style="37" customWidth="1"/>
    <col min="4" max="16384" width="9" style="37"/>
  </cols>
  <sheetData>
    <row r="1" ht="18.75" customHeight="1" spans="1:40">
      <c r="A1" s="38" t="s">
        <v>726</v>
      </c>
      <c r="B1" s="38" t="s">
        <v>727</v>
      </c>
      <c r="C1" s="38" t="s">
        <v>113</v>
      </c>
      <c r="D1" s="38" t="s">
        <v>728</v>
      </c>
      <c r="E1" s="38" t="s">
        <v>729</v>
      </c>
      <c r="F1" s="38" t="s">
        <v>730</v>
      </c>
      <c r="G1" s="38" t="s">
        <v>731</v>
      </c>
      <c r="H1" s="38" t="s">
        <v>732</v>
      </c>
      <c r="I1" s="38" t="s">
        <v>733</v>
      </c>
      <c r="J1" s="38" t="s">
        <v>734</v>
      </c>
      <c r="K1" s="38" t="s">
        <v>735</v>
      </c>
      <c r="L1" s="38" t="s">
        <v>736</v>
      </c>
      <c r="M1" s="38" t="s">
        <v>737</v>
      </c>
      <c r="N1" s="38" t="s">
        <v>738</v>
      </c>
      <c r="O1" s="38" t="s">
        <v>739</v>
      </c>
      <c r="P1" s="38" t="s">
        <v>740</v>
      </c>
      <c r="Q1" s="38" t="s">
        <v>741</v>
      </c>
      <c r="R1" s="38" t="s">
        <v>742</v>
      </c>
      <c r="S1" s="38" t="s">
        <v>743</v>
      </c>
      <c r="T1" s="38" t="s">
        <v>744</v>
      </c>
      <c r="U1" s="38" t="s">
        <v>745</v>
      </c>
      <c r="V1" s="38" t="s">
        <v>746</v>
      </c>
      <c r="W1" s="38" t="s">
        <v>747</v>
      </c>
      <c r="X1" s="38" t="s">
        <v>748</v>
      </c>
      <c r="Y1" s="38" t="s">
        <v>749</v>
      </c>
      <c r="Z1" s="38" t="s">
        <v>750</v>
      </c>
      <c r="AA1" s="38" t="s">
        <v>751</v>
      </c>
      <c r="AB1" s="38" t="s">
        <v>752</v>
      </c>
      <c r="AC1" s="38" t="s">
        <v>753</v>
      </c>
      <c r="AD1" s="38" t="s">
        <v>754</v>
      </c>
      <c r="AE1" s="38" t="s">
        <v>755</v>
      </c>
      <c r="AF1" s="38" t="s">
        <v>756</v>
      </c>
      <c r="AG1" s="38" t="s">
        <v>757</v>
      </c>
      <c r="AH1" s="38" t="s">
        <v>758</v>
      </c>
      <c r="AI1" s="38" t="s">
        <v>759</v>
      </c>
      <c r="AJ1" s="38" t="s">
        <v>760</v>
      </c>
      <c r="AK1" s="38" t="s">
        <v>761</v>
      </c>
      <c r="AL1" s="38" t="s">
        <v>762</v>
      </c>
      <c r="AM1" s="38" t="s">
        <v>763</v>
      </c>
      <c r="AN1" s="38" t="s">
        <v>34</v>
      </c>
    </row>
    <row r="2" ht="18.75" customHeight="1" spans="1:40">
      <c r="A2" s="39">
        <v>1</v>
      </c>
      <c r="B2" s="40"/>
      <c r="C2" s="40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  <c r="AH2" s="38"/>
      <c r="AI2" s="38"/>
      <c r="AJ2" s="38"/>
      <c r="AK2" s="38"/>
      <c r="AL2" s="38"/>
      <c r="AM2" s="38"/>
      <c r="AN2" s="42">
        <f>SUM(D2:AM2)</f>
        <v>0</v>
      </c>
    </row>
    <row r="3" ht="18.75" customHeight="1" spans="1:40">
      <c r="A3" s="41" t="s">
        <v>775</v>
      </c>
      <c r="B3" s="38" t="s">
        <v>776</v>
      </c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8"/>
      <c r="AH3" s="38"/>
      <c r="AI3" s="38"/>
      <c r="AJ3" s="38"/>
      <c r="AK3" s="38"/>
      <c r="AL3" s="38"/>
      <c r="AM3" s="38"/>
      <c r="AN3" s="38"/>
    </row>
    <row r="4" ht="18.75" customHeight="1" spans="1:40">
      <c r="A4" s="41"/>
      <c r="B4" s="38" t="s">
        <v>777</v>
      </c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  <c r="AB4" s="38"/>
      <c r="AC4" s="38"/>
      <c r="AD4" s="38"/>
      <c r="AE4" s="38"/>
      <c r="AF4" s="38"/>
      <c r="AG4" s="38"/>
      <c r="AH4" s="38"/>
      <c r="AI4" s="38"/>
      <c r="AJ4" s="38"/>
      <c r="AK4" s="38"/>
      <c r="AL4" s="38"/>
      <c r="AM4" s="38"/>
      <c r="AN4" s="38"/>
    </row>
    <row r="5" ht="18.75" customHeight="1" spans="1:40">
      <c r="A5" s="41"/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  <c r="AC5" s="38"/>
      <c r="AD5" s="38"/>
      <c r="AE5" s="38"/>
      <c r="AF5" s="38"/>
      <c r="AG5" s="38"/>
      <c r="AH5" s="38"/>
      <c r="AI5" s="38"/>
      <c r="AJ5" s="38"/>
      <c r="AK5" s="38"/>
      <c r="AL5" s="38"/>
      <c r="AM5" s="38"/>
      <c r="AN5" s="38"/>
    </row>
    <row r="6" ht="18.75" customHeight="1" spans="1:40">
      <c r="A6" s="41"/>
      <c r="B6" s="38" t="s">
        <v>777</v>
      </c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  <c r="AB6" s="38"/>
      <c r="AC6" s="38"/>
      <c r="AD6" s="38"/>
      <c r="AE6" s="38"/>
      <c r="AF6" s="38"/>
      <c r="AG6" s="38"/>
      <c r="AH6" s="38"/>
      <c r="AI6" s="38"/>
      <c r="AJ6" s="38"/>
      <c r="AK6" s="38"/>
      <c r="AL6" s="38"/>
      <c r="AM6" s="38"/>
      <c r="AN6" s="38"/>
    </row>
    <row r="7" ht="18.75" customHeight="1" spans="1:40">
      <c r="A7" s="41"/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</row>
    <row r="8" ht="18.75" customHeight="1" spans="1:40">
      <c r="A8" s="41"/>
      <c r="B8" s="38" t="s">
        <v>113</v>
      </c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  <c r="AF8" s="38"/>
      <c r="AG8" s="38"/>
      <c r="AH8" s="38"/>
      <c r="AI8" s="38"/>
      <c r="AJ8" s="38"/>
      <c r="AK8" s="38"/>
      <c r="AL8" s="38"/>
      <c r="AM8" s="38"/>
      <c r="AN8" s="38"/>
    </row>
  </sheetData>
  <mergeCells count="1">
    <mergeCell ref="A3:A8"/>
  </mergeCells>
  <pageMargins left="0.699305555555556" right="0.699305555555556" top="0.75" bottom="0.75" header="0.3" footer="0.3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8"/>
  <sheetViews>
    <sheetView workbookViewId="0">
      <selection activeCell="G190" sqref="G190"/>
    </sheetView>
  </sheetViews>
  <sheetFormatPr defaultColWidth="9" defaultRowHeight="14.25" outlineLevelRow="7"/>
  <sheetData>
    <row r="1" s="37" customFormat="1" ht="18.75" customHeight="1" spans="1:40">
      <c r="A1" s="38" t="s">
        <v>726</v>
      </c>
      <c r="B1" s="38" t="s">
        <v>727</v>
      </c>
      <c r="C1" s="38" t="s">
        <v>113</v>
      </c>
      <c r="D1" s="38" t="s">
        <v>728</v>
      </c>
      <c r="E1" s="38" t="s">
        <v>729</v>
      </c>
      <c r="F1" s="38" t="s">
        <v>730</v>
      </c>
      <c r="G1" s="38" t="s">
        <v>731</v>
      </c>
      <c r="H1" s="38" t="s">
        <v>732</v>
      </c>
      <c r="I1" s="38" t="s">
        <v>733</v>
      </c>
      <c r="J1" s="38" t="s">
        <v>734</v>
      </c>
      <c r="K1" s="38" t="s">
        <v>735</v>
      </c>
      <c r="L1" s="38" t="s">
        <v>736</v>
      </c>
      <c r="M1" s="38" t="s">
        <v>737</v>
      </c>
      <c r="N1" s="38" t="s">
        <v>738</v>
      </c>
      <c r="O1" s="38" t="s">
        <v>739</v>
      </c>
      <c r="P1" s="38" t="s">
        <v>740</v>
      </c>
      <c r="Q1" s="38" t="s">
        <v>741</v>
      </c>
      <c r="R1" s="38" t="s">
        <v>742</v>
      </c>
      <c r="S1" s="38" t="s">
        <v>743</v>
      </c>
      <c r="T1" s="38" t="s">
        <v>744</v>
      </c>
      <c r="U1" s="38" t="s">
        <v>745</v>
      </c>
      <c r="V1" s="38" t="s">
        <v>746</v>
      </c>
      <c r="W1" s="38" t="s">
        <v>747</v>
      </c>
      <c r="X1" s="38" t="s">
        <v>748</v>
      </c>
      <c r="Y1" s="38" t="s">
        <v>749</v>
      </c>
      <c r="Z1" s="38" t="s">
        <v>750</v>
      </c>
      <c r="AA1" s="38" t="s">
        <v>751</v>
      </c>
      <c r="AB1" s="38" t="s">
        <v>752</v>
      </c>
      <c r="AC1" s="38" t="s">
        <v>753</v>
      </c>
      <c r="AD1" s="38" t="s">
        <v>754</v>
      </c>
      <c r="AE1" s="38" t="s">
        <v>755</v>
      </c>
      <c r="AF1" s="38" t="s">
        <v>756</v>
      </c>
      <c r="AG1" s="38" t="s">
        <v>757</v>
      </c>
      <c r="AH1" s="38" t="s">
        <v>758</v>
      </c>
      <c r="AI1" s="38" t="s">
        <v>759</v>
      </c>
      <c r="AJ1" s="38" t="s">
        <v>760</v>
      </c>
      <c r="AK1" s="38" t="s">
        <v>761</v>
      </c>
      <c r="AL1" s="38" t="s">
        <v>762</v>
      </c>
      <c r="AM1" s="38" t="s">
        <v>763</v>
      </c>
      <c r="AN1" s="38" t="s">
        <v>34</v>
      </c>
    </row>
    <row r="2" s="37" customFormat="1" ht="18.75" customHeight="1" spans="1:40">
      <c r="A2" s="39">
        <v>1</v>
      </c>
      <c r="B2" s="40" t="s">
        <v>778</v>
      </c>
      <c r="C2" s="40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  <c r="AH2" s="38"/>
      <c r="AI2" s="38"/>
      <c r="AJ2" s="38"/>
      <c r="AK2" s="38"/>
      <c r="AL2" s="38"/>
      <c r="AM2" s="38"/>
      <c r="AN2" s="42">
        <f>SUM(D2:AM2)</f>
        <v>0</v>
      </c>
    </row>
    <row r="3" s="37" customFormat="1" ht="18.75" customHeight="1" spans="1:40">
      <c r="A3" s="41" t="s">
        <v>775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8"/>
      <c r="AH3" s="38"/>
      <c r="AI3" s="38"/>
      <c r="AJ3" s="38"/>
      <c r="AK3" s="38"/>
      <c r="AL3" s="38"/>
      <c r="AM3" s="38"/>
      <c r="AN3" s="38"/>
    </row>
    <row r="4" s="37" customFormat="1" ht="18.75" customHeight="1" spans="1:40">
      <c r="A4" s="41"/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  <c r="AB4" s="38"/>
      <c r="AC4" s="38"/>
      <c r="AD4" s="38"/>
      <c r="AE4" s="38"/>
      <c r="AF4" s="38"/>
      <c r="AG4" s="38"/>
      <c r="AH4" s="38"/>
      <c r="AI4" s="38"/>
      <c r="AJ4" s="38"/>
      <c r="AK4" s="38"/>
      <c r="AL4" s="38"/>
      <c r="AM4" s="38"/>
      <c r="AN4" s="38"/>
    </row>
    <row r="5" s="37" customFormat="1" ht="18.75" customHeight="1" spans="1:40">
      <c r="A5" s="41"/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  <c r="AC5" s="38"/>
      <c r="AD5" s="38"/>
      <c r="AE5" s="38"/>
      <c r="AF5" s="38"/>
      <c r="AG5" s="38"/>
      <c r="AH5" s="38"/>
      <c r="AI5" s="38"/>
      <c r="AJ5" s="38"/>
      <c r="AK5" s="38"/>
      <c r="AL5" s="38"/>
      <c r="AM5" s="38"/>
      <c r="AN5" s="38"/>
    </row>
    <row r="6" s="37" customFormat="1" ht="18.75" customHeight="1" spans="1:40">
      <c r="A6" s="41"/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  <c r="AB6" s="38"/>
      <c r="AC6" s="38"/>
      <c r="AD6" s="38"/>
      <c r="AE6" s="38"/>
      <c r="AF6" s="38"/>
      <c r="AG6" s="38"/>
      <c r="AH6" s="38"/>
      <c r="AI6" s="38"/>
      <c r="AJ6" s="38"/>
      <c r="AK6" s="38"/>
      <c r="AL6" s="38"/>
      <c r="AM6" s="38"/>
      <c r="AN6" s="38"/>
    </row>
    <row r="7" s="37" customFormat="1" ht="18.75" customHeight="1" spans="1:40">
      <c r="A7" s="41"/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</row>
    <row r="8" s="37" customFormat="1" ht="18.75" customHeight="1" spans="1:40">
      <c r="A8" s="41"/>
      <c r="B8" s="38" t="s">
        <v>113</v>
      </c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  <c r="AF8" s="38"/>
      <c r="AG8" s="38"/>
      <c r="AH8" s="38"/>
      <c r="AI8" s="38"/>
      <c r="AJ8" s="38"/>
      <c r="AK8" s="38"/>
      <c r="AL8" s="38"/>
      <c r="AM8" s="38"/>
      <c r="AN8" s="38"/>
    </row>
  </sheetData>
  <mergeCells count="1">
    <mergeCell ref="A3:A8"/>
  </mergeCells>
  <pageMargins left="0.699305555555556" right="0.699305555555556" top="0.75" bottom="0.75" header="0.3" footer="0.3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G190" sqref="G190"/>
    </sheetView>
  </sheetViews>
  <sheetFormatPr defaultColWidth="9" defaultRowHeight="14.25"/>
  <sheetData/>
  <pageMargins left="0.699305555555556" right="0.699305555555556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8"/>
  <sheetViews>
    <sheetView workbookViewId="0">
      <selection activeCell="G190" sqref="G190"/>
    </sheetView>
  </sheetViews>
  <sheetFormatPr defaultColWidth="9" defaultRowHeight="20.25" customHeight="1"/>
  <cols>
    <col min="1" max="1" width="17.5" customWidth="1"/>
    <col min="2" max="2" width="15.25" customWidth="1"/>
    <col min="3" max="3" width="16.625" style="26" customWidth="1"/>
  </cols>
  <sheetData>
    <row r="1" customHeight="1" spans="1:12">
      <c r="A1" s="27" t="s">
        <v>72</v>
      </c>
      <c r="B1" s="28" t="s">
        <v>73</v>
      </c>
      <c r="C1" s="29" t="s">
        <v>2</v>
      </c>
      <c r="H1" s="30" t="s">
        <v>779</v>
      </c>
      <c r="I1" s="36"/>
      <c r="J1" s="36"/>
      <c r="K1" s="36"/>
      <c r="L1" s="36"/>
    </row>
    <row r="2" customHeight="1" spans="1:12">
      <c r="A2" s="31" t="s">
        <v>77</v>
      </c>
      <c r="B2" s="32" t="s">
        <v>78</v>
      </c>
      <c r="C2" s="33" t="s">
        <v>17</v>
      </c>
      <c r="H2" s="34"/>
      <c r="I2" s="34"/>
      <c r="J2" s="34"/>
      <c r="K2" s="34"/>
      <c r="L2" s="34"/>
    </row>
    <row r="3" customHeight="1" spans="1:12">
      <c r="A3" s="31" t="s">
        <v>75</v>
      </c>
      <c r="B3" s="32" t="s">
        <v>82</v>
      </c>
      <c r="C3" s="33" t="s">
        <v>20</v>
      </c>
      <c r="H3" s="34"/>
      <c r="I3" s="34"/>
      <c r="J3" s="34"/>
      <c r="K3" s="34"/>
      <c r="L3" s="34"/>
    </row>
    <row r="4" customHeight="1" spans="1:12">
      <c r="A4" s="27" t="s">
        <v>84</v>
      </c>
      <c r="B4" s="32" t="s">
        <v>85</v>
      </c>
      <c r="C4" s="33" t="s">
        <v>14</v>
      </c>
      <c r="H4" s="34"/>
      <c r="I4" s="34"/>
      <c r="J4" s="34"/>
      <c r="K4" s="34"/>
      <c r="L4" s="34"/>
    </row>
    <row r="5" customHeight="1" spans="1:12">
      <c r="A5" s="27" t="s">
        <v>87</v>
      </c>
      <c r="B5" s="32"/>
      <c r="C5" s="33" t="s">
        <v>7</v>
      </c>
      <c r="H5" s="34"/>
      <c r="I5" s="34"/>
      <c r="J5" s="34"/>
      <c r="K5" s="34"/>
      <c r="L5" s="34"/>
    </row>
    <row r="6" customHeight="1" spans="1:12">
      <c r="A6" s="31" t="s">
        <v>90</v>
      </c>
      <c r="B6" s="32"/>
      <c r="C6" s="33" t="s">
        <v>11</v>
      </c>
      <c r="H6" s="34"/>
      <c r="I6" s="34"/>
      <c r="J6" s="34"/>
      <c r="K6" s="34"/>
      <c r="L6" s="34"/>
    </row>
    <row r="7" customHeight="1" spans="1:12">
      <c r="A7" s="27" t="s">
        <v>89</v>
      </c>
      <c r="B7" s="32"/>
      <c r="C7" s="33" t="s">
        <v>780</v>
      </c>
      <c r="H7" s="34"/>
      <c r="I7" s="34"/>
      <c r="J7" s="34"/>
      <c r="K7" s="34"/>
      <c r="L7" s="34"/>
    </row>
    <row r="8" customHeight="1" spans="1:12">
      <c r="A8" s="27" t="s">
        <v>69</v>
      </c>
      <c r="B8" s="32"/>
      <c r="C8" s="33" t="s">
        <v>781</v>
      </c>
      <c r="H8" s="34"/>
      <c r="I8" s="34"/>
      <c r="J8" s="34"/>
      <c r="K8" s="34"/>
      <c r="L8" s="34"/>
    </row>
    <row r="9" customHeight="1" spans="1:12">
      <c r="A9" s="31" t="s">
        <v>93</v>
      </c>
      <c r="B9" s="32"/>
      <c r="C9" s="35"/>
      <c r="H9" s="34"/>
      <c r="I9" s="34"/>
      <c r="J9" s="34"/>
      <c r="K9" s="34"/>
      <c r="L9" s="34"/>
    </row>
    <row r="10" customHeight="1" spans="1:12">
      <c r="A10" s="31" t="s">
        <v>95</v>
      </c>
      <c r="B10" s="32"/>
      <c r="C10" s="35"/>
      <c r="H10" s="34"/>
      <c r="I10" s="34"/>
      <c r="J10" s="34"/>
      <c r="K10" s="34"/>
      <c r="L10" s="34"/>
    </row>
    <row r="11" customHeight="1" spans="1:3">
      <c r="A11" s="31" t="s">
        <v>97</v>
      </c>
      <c r="B11" s="32"/>
      <c r="C11" s="35"/>
    </row>
    <row r="12" customHeight="1" spans="1:3">
      <c r="A12" s="27" t="s">
        <v>103</v>
      </c>
      <c r="B12" s="32"/>
      <c r="C12" s="35"/>
    </row>
    <row r="13" customHeight="1" spans="1:3">
      <c r="A13" s="31" t="s">
        <v>99</v>
      </c>
      <c r="B13" s="32"/>
      <c r="C13" s="35"/>
    </row>
    <row r="14" customHeight="1" spans="1:3">
      <c r="A14" s="31" t="s">
        <v>108</v>
      </c>
      <c r="B14" s="32"/>
      <c r="C14" s="35"/>
    </row>
    <row r="15" customHeight="1" spans="1:3">
      <c r="A15" s="31" t="s">
        <v>782</v>
      </c>
      <c r="B15" s="32"/>
      <c r="C15" s="35"/>
    </row>
    <row r="16" customHeight="1" spans="1:3">
      <c r="A16" s="31" t="s">
        <v>80</v>
      </c>
      <c r="B16" s="32"/>
      <c r="C16" s="35"/>
    </row>
    <row r="17" customHeight="1" spans="1:3">
      <c r="A17" s="27"/>
      <c r="B17" s="32"/>
      <c r="C17" s="35"/>
    </row>
    <row r="18" customHeight="1" spans="1:3">
      <c r="A18" s="27"/>
      <c r="B18" s="32"/>
      <c r="C18" s="35"/>
    </row>
  </sheetData>
  <mergeCells count="1">
    <mergeCell ref="H1:L1"/>
  </mergeCells>
  <pageMargins left="0.699305555555556" right="0.699305555555556" top="0.75" bottom="0.75" header="0.3" footer="0.3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9"/>
  <sheetViews>
    <sheetView workbookViewId="0">
      <selection activeCell="G22" sqref="G22"/>
    </sheetView>
  </sheetViews>
  <sheetFormatPr defaultColWidth="9" defaultRowHeight="14.25"/>
  <cols>
    <col min="4" max="4" width="13.5" customWidth="1"/>
    <col min="9" max="9" width="23.25" customWidth="1"/>
    <col min="10" max="10" width="19" customWidth="1"/>
    <col min="11" max="11" width="14.125" customWidth="1"/>
  </cols>
  <sheetData>
    <row r="1" customHeight="1" spans="1:3">
      <c r="A1" s="1">
        <v>0</v>
      </c>
      <c r="B1" s="1">
        <v>0.3</v>
      </c>
      <c r="C1" s="1">
        <v>0</v>
      </c>
    </row>
    <row r="2" spans="1:3">
      <c r="A2" s="1">
        <v>0.5</v>
      </c>
      <c r="B2" s="1">
        <v>0.4</v>
      </c>
      <c r="C2" s="1">
        <v>0.05</v>
      </c>
    </row>
    <row r="3" spans="1:3">
      <c r="A3" s="1">
        <v>1</v>
      </c>
      <c r="B3" s="1">
        <v>0.5</v>
      </c>
      <c r="C3" s="1">
        <v>0.15</v>
      </c>
    </row>
    <row r="4" spans="1:3">
      <c r="A4" s="1">
        <v>2</v>
      </c>
      <c r="B4" s="1">
        <v>0.6</v>
      </c>
      <c r="C4" s="1">
        <v>0.35</v>
      </c>
    </row>
    <row r="5" ht="15"/>
    <row r="6" ht="15" spans="1:9">
      <c r="A6" s="2" t="s">
        <v>783</v>
      </c>
      <c r="B6" s="3" t="s">
        <v>784</v>
      </c>
      <c r="C6" s="3"/>
      <c r="D6" s="3" t="s">
        <v>785</v>
      </c>
      <c r="E6" s="3"/>
      <c r="F6" s="3"/>
      <c r="G6" s="4" t="s">
        <v>786</v>
      </c>
      <c r="H6" s="5" t="s">
        <v>787</v>
      </c>
      <c r="I6" s="20" t="s">
        <v>788</v>
      </c>
    </row>
    <row r="7" ht="15" spans="1:9">
      <c r="A7" s="2"/>
      <c r="B7" s="3"/>
      <c r="C7" s="3"/>
      <c r="D7" s="3"/>
      <c r="E7" s="3"/>
      <c r="F7" s="3"/>
      <c r="G7" s="4"/>
      <c r="H7" s="6" t="s">
        <v>789</v>
      </c>
      <c r="I7" s="20"/>
    </row>
    <row r="8" ht="15" spans="1:11">
      <c r="A8" s="2"/>
      <c r="B8" s="6" t="s">
        <v>790</v>
      </c>
      <c r="C8" s="6" t="s">
        <v>791</v>
      </c>
      <c r="D8" s="6" t="s">
        <v>790</v>
      </c>
      <c r="E8" s="6" t="s">
        <v>791</v>
      </c>
      <c r="F8" s="6" t="s">
        <v>792</v>
      </c>
      <c r="G8" s="7"/>
      <c r="H8" s="7"/>
      <c r="I8" s="21"/>
      <c r="J8" t="s">
        <v>793</v>
      </c>
      <c r="K8">
        <f>E9+E10+E11+E12+E13+E14+E15+E16+E17+E18+E20+E21</f>
        <v>56338.32</v>
      </c>
    </row>
    <row r="9" ht="15" spans="1:9">
      <c r="A9" s="8" t="s">
        <v>794</v>
      </c>
      <c r="B9" s="9">
        <v>1</v>
      </c>
      <c r="C9" s="9">
        <v>8</v>
      </c>
      <c r="D9" s="10" t="s">
        <v>795</v>
      </c>
      <c r="E9" s="9">
        <v>4066.8</v>
      </c>
      <c r="F9" s="9">
        <v>4066.8</v>
      </c>
      <c r="G9" s="11">
        <v>581.82</v>
      </c>
      <c r="H9" s="9">
        <v>24.55</v>
      </c>
      <c r="I9" s="22" t="s">
        <v>796</v>
      </c>
    </row>
    <row r="10" ht="15" spans="1:9">
      <c r="A10" s="8" t="s">
        <v>797</v>
      </c>
      <c r="B10" s="9">
        <v>1</v>
      </c>
      <c r="C10" s="9">
        <v>8</v>
      </c>
      <c r="D10" s="10" t="s">
        <v>795</v>
      </c>
      <c r="E10" s="9">
        <v>5621.07</v>
      </c>
      <c r="F10" s="9">
        <v>5621.07</v>
      </c>
      <c r="G10" s="11">
        <v>704.72</v>
      </c>
      <c r="H10" s="9">
        <v>24.55</v>
      </c>
      <c r="I10" s="22" t="s">
        <v>798</v>
      </c>
    </row>
    <row r="11" ht="15" spans="1:9">
      <c r="A11" s="8" t="s">
        <v>799</v>
      </c>
      <c r="B11" s="9">
        <v>1</v>
      </c>
      <c r="C11" s="9">
        <v>8</v>
      </c>
      <c r="D11" s="10">
        <v>680.82</v>
      </c>
      <c r="E11" s="9">
        <v>5621.07</v>
      </c>
      <c r="F11" s="9">
        <f>E11+D11</f>
        <v>6301.89</v>
      </c>
      <c r="G11" s="11"/>
      <c r="H11" s="9"/>
      <c r="I11" s="22"/>
    </row>
    <row r="12" ht="15" spans="1:9">
      <c r="A12" s="8" t="s">
        <v>800</v>
      </c>
      <c r="B12" s="9"/>
      <c r="C12" s="9"/>
      <c r="D12" s="10">
        <v>493.39</v>
      </c>
      <c r="E12" s="9">
        <v>4066.8</v>
      </c>
      <c r="F12" s="9">
        <f>E12+D12</f>
        <v>4560.19</v>
      </c>
      <c r="G12" s="11"/>
      <c r="H12" s="9"/>
      <c r="I12" s="22"/>
    </row>
    <row r="13" ht="21.75" spans="1:9">
      <c r="A13" s="8" t="s">
        <v>801</v>
      </c>
      <c r="B13" s="9">
        <v>2</v>
      </c>
      <c r="C13" s="9">
        <v>9</v>
      </c>
      <c r="D13" s="10" t="s">
        <v>795</v>
      </c>
      <c r="E13" s="9">
        <v>4572.5</v>
      </c>
      <c r="F13" s="9">
        <v>4572.5</v>
      </c>
      <c r="G13" s="11">
        <v>581.82</v>
      </c>
      <c r="H13" s="9">
        <v>27.05</v>
      </c>
      <c r="I13" s="22" t="s">
        <v>802</v>
      </c>
    </row>
    <row r="14" ht="21.75" spans="1:9">
      <c r="A14" s="8" t="s">
        <v>803</v>
      </c>
      <c r="B14" s="9">
        <v>2</v>
      </c>
      <c r="C14" s="9">
        <v>8</v>
      </c>
      <c r="D14" s="10" t="s">
        <v>795</v>
      </c>
      <c r="E14" s="9">
        <v>4591.54</v>
      </c>
      <c r="F14" s="9">
        <v>4591.54</v>
      </c>
      <c r="G14" s="11">
        <v>599.79</v>
      </c>
      <c r="H14" s="9">
        <v>24.55</v>
      </c>
      <c r="I14" s="22" t="s">
        <v>804</v>
      </c>
    </row>
    <row r="15" ht="24" customHeight="1" spans="1:9">
      <c r="A15" s="8" t="s">
        <v>805</v>
      </c>
      <c r="B15" s="9">
        <v>2</v>
      </c>
      <c r="C15" s="9">
        <v>8</v>
      </c>
      <c r="D15" s="10" t="s">
        <v>795</v>
      </c>
      <c r="E15" s="9">
        <v>4380.63</v>
      </c>
      <c r="F15" s="9">
        <v>4380.63</v>
      </c>
      <c r="G15" s="11">
        <v>598.1</v>
      </c>
      <c r="H15" s="9">
        <v>24.55</v>
      </c>
      <c r="I15" s="22" t="s">
        <v>804</v>
      </c>
    </row>
    <row r="16" ht="24" customHeight="1" spans="1:9">
      <c r="A16" s="8" t="s">
        <v>806</v>
      </c>
      <c r="B16" s="9"/>
      <c r="C16" s="9"/>
      <c r="D16" s="10">
        <v>140.84</v>
      </c>
      <c r="E16" s="9">
        <v>4572.8</v>
      </c>
      <c r="F16" s="9">
        <f>D16+E16</f>
        <v>4713.64</v>
      </c>
      <c r="G16" s="11"/>
      <c r="H16" s="9"/>
      <c r="I16" s="22"/>
    </row>
    <row r="17" ht="15" spans="1:9">
      <c r="A17" s="8" t="s">
        <v>807</v>
      </c>
      <c r="B17" s="9">
        <v>1</v>
      </c>
      <c r="C17" s="9">
        <v>8</v>
      </c>
      <c r="D17" s="10" t="s">
        <v>795</v>
      </c>
      <c r="E17" s="9">
        <v>4380.63</v>
      </c>
      <c r="F17" s="9">
        <v>4380.63</v>
      </c>
      <c r="G17" s="11">
        <v>598.1</v>
      </c>
      <c r="H17" s="9">
        <v>24.55</v>
      </c>
      <c r="I17" s="22" t="s">
        <v>808</v>
      </c>
    </row>
    <row r="18" ht="21" customHeight="1" spans="1:9">
      <c r="A18" s="8" t="s">
        <v>809</v>
      </c>
      <c r="B18" s="9"/>
      <c r="C18" s="9"/>
      <c r="D18" s="10">
        <v>576.1</v>
      </c>
      <c r="E18" s="9">
        <v>4572.8</v>
      </c>
      <c r="F18" s="9">
        <f>D18+E18</f>
        <v>5148.9</v>
      </c>
      <c r="G18" s="11"/>
      <c r="H18" s="9"/>
      <c r="I18" s="22"/>
    </row>
    <row r="19" ht="21.75" spans="1:11">
      <c r="A19" s="8" t="s">
        <v>810</v>
      </c>
      <c r="B19" s="9">
        <v>2</v>
      </c>
      <c r="C19" s="9">
        <v>13</v>
      </c>
      <c r="D19" s="10" t="s">
        <v>795</v>
      </c>
      <c r="E19" s="12">
        <v>6452.72</v>
      </c>
      <c r="F19" s="9">
        <v>6452.72</v>
      </c>
      <c r="G19" s="11">
        <v>505.82</v>
      </c>
      <c r="H19" s="9">
        <v>38.65</v>
      </c>
      <c r="I19" s="22" t="s">
        <v>811</v>
      </c>
      <c r="J19" t="s">
        <v>80</v>
      </c>
      <c r="K19">
        <f>E19+E22+E23+E24+E25</f>
        <v>32304.18</v>
      </c>
    </row>
    <row r="20" ht="21.75" spans="1:9">
      <c r="A20" s="8" t="s">
        <v>812</v>
      </c>
      <c r="B20" s="9">
        <v>2</v>
      </c>
      <c r="C20" s="9">
        <v>9</v>
      </c>
      <c r="D20" s="10" t="s">
        <v>795</v>
      </c>
      <c r="E20" s="9">
        <v>5162.51</v>
      </c>
      <c r="F20" s="9">
        <v>5162.51</v>
      </c>
      <c r="G20" s="11">
        <v>599.87</v>
      </c>
      <c r="H20" s="9">
        <v>27.05</v>
      </c>
      <c r="I20" s="22" t="s">
        <v>811</v>
      </c>
    </row>
    <row r="21" ht="21.75" spans="1:11">
      <c r="A21" s="8" t="s">
        <v>813</v>
      </c>
      <c r="B21" s="9">
        <v>2</v>
      </c>
      <c r="C21" s="9">
        <v>9</v>
      </c>
      <c r="D21" s="10" t="s">
        <v>795</v>
      </c>
      <c r="E21" s="9">
        <v>4729.17</v>
      </c>
      <c r="F21" s="9">
        <v>4729.17</v>
      </c>
      <c r="G21" s="11">
        <v>551.67</v>
      </c>
      <c r="H21" s="9">
        <v>27.05</v>
      </c>
      <c r="I21" s="22" t="s">
        <v>814</v>
      </c>
      <c r="J21" t="s">
        <v>815</v>
      </c>
      <c r="K21">
        <f>F27</f>
        <v>587.25</v>
      </c>
    </row>
    <row r="22" ht="21.75" spans="1:9">
      <c r="A22" s="8" t="s">
        <v>816</v>
      </c>
      <c r="B22" s="9">
        <v>2</v>
      </c>
      <c r="C22" s="9">
        <v>13</v>
      </c>
      <c r="D22" s="10" t="s">
        <v>795</v>
      </c>
      <c r="E22" s="12">
        <v>7527.25</v>
      </c>
      <c r="F22" s="9">
        <v>7527.25</v>
      </c>
      <c r="G22" s="11">
        <v>601.95</v>
      </c>
      <c r="H22" s="9">
        <v>38.65</v>
      </c>
      <c r="I22" s="22" t="s">
        <v>817</v>
      </c>
    </row>
    <row r="23" ht="15" spans="1:9">
      <c r="A23" s="8" t="s">
        <v>818</v>
      </c>
      <c r="B23" s="9">
        <v>1</v>
      </c>
      <c r="C23" s="9">
        <v>13</v>
      </c>
      <c r="D23" s="10" t="s">
        <v>795</v>
      </c>
      <c r="E23" s="12">
        <v>5588.79</v>
      </c>
      <c r="F23" s="9">
        <v>5588.79</v>
      </c>
      <c r="G23" s="11">
        <v>421.89</v>
      </c>
      <c r="H23" s="9">
        <v>38.65</v>
      </c>
      <c r="I23" s="22" t="s">
        <v>808</v>
      </c>
    </row>
    <row r="24" ht="15" spans="1:9">
      <c r="A24" s="13" t="s">
        <v>819</v>
      </c>
      <c r="B24" s="11">
        <v>1</v>
      </c>
      <c r="C24" s="11">
        <v>13</v>
      </c>
      <c r="D24" s="11" t="s">
        <v>820</v>
      </c>
      <c r="E24" s="12">
        <v>6367.71</v>
      </c>
      <c r="F24" s="11">
        <v>6367.71</v>
      </c>
      <c r="G24" s="11">
        <v>475.99</v>
      </c>
      <c r="H24" s="9">
        <v>38.65</v>
      </c>
      <c r="I24" s="22" t="s">
        <v>808</v>
      </c>
    </row>
    <row r="25" ht="15" spans="1:9">
      <c r="A25" s="8" t="s">
        <v>821</v>
      </c>
      <c r="B25" s="9">
        <v>1</v>
      </c>
      <c r="C25" s="9">
        <v>13</v>
      </c>
      <c r="D25" s="10" t="s">
        <v>795</v>
      </c>
      <c r="E25" s="12">
        <v>6367.71</v>
      </c>
      <c r="F25" s="9">
        <v>6367.71</v>
      </c>
      <c r="G25" s="11">
        <v>475.99</v>
      </c>
      <c r="H25" s="9">
        <v>38.65</v>
      </c>
      <c r="I25" s="22" t="s">
        <v>808</v>
      </c>
    </row>
    <row r="26" ht="30" customHeight="1" spans="1:11">
      <c r="A26" s="8" t="s">
        <v>822</v>
      </c>
      <c r="B26" s="9">
        <v>1</v>
      </c>
      <c r="C26" s="9">
        <v>13</v>
      </c>
      <c r="D26" s="10" t="s">
        <v>795</v>
      </c>
      <c r="E26" s="9">
        <v>5328.71</v>
      </c>
      <c r="F26" s="12">
        <v>5328.71</v>
      </c>
      <c r="G26" s="11">
        <v>575.24</v>
      </c>
      <c r="H26" s="9">
        <v>38.65</v>
      </c>
      <c r="I26" s="22" t="s">
        <v>808</v>
      </c>
      <c r="J26" t="s">
        <v>823</v>
      </c>
      <c r="K26">
        <f>E26</f>
        <v>5328.71</v>
      </c>
    </row>
    <row r="27" ht="34.5" spans="1:9">
      <c r="A27" s="14" t="s">
        <v>815</v>
      </c>
      <c r="B27" s="11"/>
      <c r="C27" s="15">
        <v>2</v>
      </c>
      <c r="D27" s="16"/>
      <c r="E27" s="9" t="s">
        <v>824</v>
      </c>
      <c r="F27" s="17">
        <v>587.25</v>
      </c>
      <c r="G27" s="16"/>
      <c r="H27" s="11"/>
      <c r="I27" s="23"/>
    </row>
    <row r="28" ht="39" spans="1:11">
      <c r="A28" s="14" t="s">
        <v>825</v>
      </c>
      <c r="B28" s="9">
        <v>2</v>
      </c>
      <c r="C28" s="18">
        <v>0</v>
      </c>
      <c r="D28" s="18">
        <v>37467.36</v>
      </c>
      <c r="E28" s="16"/>
      <c r="F28" s="19">
        <v>37467.36</v>
      </c>
      <c r="G28" s="16"/>
      <c r="H28" s="11" t="s">
        <v>826</v>
      </c>
      <c r="I28" s="19" t="s">
        <v>827</v>
      </c>
      <c r="J28" t="s">
        <v>828</v>
      </c>
      <c r="K28">
        <f>F29-K29-K26-K19-K8-K21</f>
        <v>32776.96</v>
      </c>
    </row>
    <row r="29" ht="60" customHeight="1" spans="1:11">
      <c r="A29" s="8" t="s">
        <v>113</v>
      </c>
      <c r="B29" s="11"/>
      <c r="C29" s="11"/>
      <c r="D29" s="18"/>
      <c r="E29" s="18"/>
      <c r="F29" s="19">
        <f>SUM(F9:F28)</f>
        <v>133916.97</v>
      </c>
      <c r="G29" s="16"/>
      <c r="H29" s="11"/>
      <c r="I29" s="24"/>
      <c r="J29" t="s">
        <v>829</v>
      </c>
      <c r="K29" s="25">
        <v>6581.55</v>
      </c>
    </row>
  </sheetData>
  <mergeCells count="5">
    <mergeCell ref="A6:A8"/>
    <mergeCell ref="G6:G7"/>
    <mergeCell ref="I6:I7"/>
    <mergeCell ref="B6:C7"/>
    <mergeCell ref="D6:F7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0"/>
  <sheetViews>
    <sheetView topLeftCell="A7" workbookViewId="0">
      <selection activeCell="B13" sqref="B13"/>
    </sheetView>
  </sheetViews>
  <sheetFormatPr defaultColWidth="9" defaultRowHeight="30.75" customHeight="1" outlineLevelCol="4"/>
  <cols>
    <col min="1" max="1" width="18.5" style="386" customWidth="1"/>
    <col min="2" max="2" width="60.625" style="386" customWidth="1"/>
    <col min="3" max="3" width="35.25" style="386" customWidth="1"/>
    <col min="4" max="4" width="48" style="387" customWidth="1"/>
    <col min="5" max="5" width="67.625" style="387" customWidth="1"/>
    <col min="6" max="6" width="16.625" style="387" customWidth="1"/>
    <col min="7" max="16384" width="9" style="387"/>
  </cols>
  <sheetData>
    <row r="1" ht="24" customHeight="1" spans="1:3">
      <c r="A1" s="388" t="s">
        <v>29</v>
      </c>
      <c r="B1" s="389" t="str">
        <f>目录!C3</f>
        <v>投拓中心</v>
      </c>
      <c r="C1" s="390" t="s">
        <v>30</v>
      </c>
    </row>
    <row r="2" ht="24" customHeight="1" spans="1:3">
      <c r="A2" s="388" t="s">
        <v>3</v>
      </c>
      <c r="B2" s="389" t="str">
        <f>目录!D3</f>
        <v>方玉</v>
      </c>
      <c r="C2" s="391"/>
    </row>
    <row r="3" ht="24" customHeight="1" spans="1:3">
      <c r="A3" s="388" t="s">
        <v>4</v>
      </c>
      <c r="B3" s="392" t="str">
        <f>目录!E3</f>
        <v>2021.9.7</v>
      </c>
      <c r="C3" s="391"/>
    </row>
    <row r="4" customHeight="1" spans="1:5">
      <c r="A4" s="393" t="str">
        <f>B6&amp;"项目概况表"</f>
        <v>栾川S1地块项目概况表</v>
      </c>
      <c r="B4" s="393"/>
      <c r="C4" s="393"/>
      <c r="D4" s="393"/>
      <c r="E4" s="393"/>
    </row>
    <row r="5" customHeight="1" spans="1:5">
      <c r="A5" s="394" t="s">
        <v>31</v>
      </c>
      <c r="B5" s="394" t="s">
        <v>32</v>
      </c>
      <c r="C5" s="394" t="s">
        <v>5</v>
      </c>
      <c r="D5" s="394" t="s">
        <v>33</v>
      </c>
      <c r="E5" s="394" t="s">
        <v>34</v>
      </c>
    </row>
    <row r="6" customHeight="1" spans="1:5">
      <c r="A6" s="395" t="s">
        <v>35</v>
      </c>
      <c r="B6" s="396" t="s">
        <v>36</v>
      </c>
      <c r="C6" s="397"/>
      <c r="D6" s="398"/>
      <c r="E6" s="399"/>
    </row>
    <row r="7" customHeight="1" spans="1:5">
      <c r="A7" s="395" t="s">
        <v>37</v>
      </c>
      <c r="B7" s="400" t="s">
        <v>38</v>
      </c>
      <c r="C7" s="401"/>
      <c r="D7" s="402"/>
      <c r="E7" s="399"/>
    </row>
    <row r="8" customHeight="1" spans="1:5">
      <c r="A8" s="395" t="s">
        <v>39</v>
      </c>
      <c r="B8" s="403">
        <f>经济指标!G6</f>
        <v>70.37634</v>
      </c>
      <c r="C8" s="401" t="s">
        <v>40</v>
      </c>
      <c r="D8" s="402"/>
      <c r="E8" s="404">
        <f>B8-[2]经济指标!G6</f>
        <v>16.23795</v>
      </c>
    </row>
    <row r="9" customHeight="1" spans="1:5">
      <c r="A9" s="395" t="s">
        <v>41</v>
      </c>
      <c r="B9" s="405"/>
      <c r="C9" s="401"/>
      <c r="D9" s="402"/>
      <c r="E9" s="404"/>
    </row>
    <row r="10" customHeight="1" spans="1:5">
      <c r="A10" s="395" t="s">
        <v>42</v>
      </c>
      <c r="B10" s="403">
        <f>经济指标!G8</f>
        <v>2.01541725528779</v>
      </c>
      <c r="C10" s="401"/>
      <c r="D10" s="402"/>
      <c r="E10" s="404"/>
    </row>
    <row r="11" customHeight="1" spans="1:5">
      <c r="A11" s="395" t="s">
        <v>43</v>
      </c>
      <c r="B11" s="400"/>
      <c r="C11" s="401" t="s">
        <v>44</v>
      </c>
      <c r="D11" s="402"/>
      <c r="E11" s="404" t="e">
        <f>#REF!-[2]经济指标!G8</f>
        <v>#REF!</v>
      </c>
    </row>
    <row r="12" customHeight="1" spans="1:5">
      <c r="A12" s="395" t="s">
        <v>45</v>
      </c>
      <c r="B12" s="406">
        <v>98.96278</v>
      </c>
      <c r="C12" s="401" t="s">
        <v>46</v>
      </c>
      <c r="D12" s="407"/>
      <c r="E12" s="408"/>
    </row>
    <row r="13" customHeight="1" spans="1:5">
      <c r="A13" s="395" t="s">
        <v>47</v>
      </c>
      <c r="B13" s="406"/>
      <c r="C13" s="401" t="s">
        <v>48</v>
      </c>
      <c r="D13" s="409"/>
      <c r="E13" s="399"/>
    </row>
    <row r="14" customHeight="1" spans="1:5">
      <c r="A14" s="395" t="s">
        <v>49</v>
      </c>
      <c r="B14" s="410">
        <f>B8*B12</f>
        <v>6964.6382526252</v>
      </c>
      <c r="C14" s="401" t="s">
        <v>50</v>
      </c>
      <c r="D14" s="400"/>
      <c r="E14" s="399"/>
    </row>
    <row r="15" ht="190.5" customHeight="1" spans="1:5">
      <c r="A15" s="411" t="s">
        <v>51</v>
      </c>
      <c r="B15" s="409"/>
      <c r="C15" s="400"/>
      <c r="D15" s="400"/>
      <c r="E15" s="409"/>
    </row>
    <row r="16" ht="37.5" customHeight="1" spans="1:5">
      <c r="A16" s="411" t="s">
        <v>52</v>
      </c>
      <c r="B16" s="409"/>
      <c r="C16" s="400"/>
      <c r="D16" s="400"/>
      <c r="E16" s="409"/>
    </row>
    <row r="17" ht="172.5" customHeight="1" spans="1:5">
      <c r="A17" s="411" t="s">
        <v>53</v>
      </c>
      <c r="B17" s="412"/>
      <c r="C17" s="400"/>
      <c r="D17" s="400"/>
      <c r="E17" s="409"/>
    </row>
    <row r="18" ht="41.1" customHeight="1" spans="1:5">
      <c r="A18" s="411" t="s">
        <v>54</v>
      </c>
      <c r="B18" s="413"/>
      <c r="C18" s="414"/>
      <c r="D18" s="414"/>
      <c r="E18" s="415"/>
    </row>
    <row r="19" ht="16.5" customHeight="1" spans="1:5">
      <c r="A19" s="395" t="s">
        <v>55</v>
      </c>
      <c r="B19" s="416"/>
      <c r="C19" s="416"/>
      <c r="D19" s="416"/>
      <c r="E19" s="416"/>
    </row>
    <row r="20" ht="234.95" customHeight="1" spans="1:5">
      <c r="A20" s="395" t="s">
        <v>56</v>
      </c>
      <c r="B20" s="400"/>
      <c r="C20" s="400"/>
      <c r="D20" s="400"/>
      <c r="E20" s="400"/>
    </row>
  </sheetData>
  <mergeCells count="8">
    <mergeCell ref="A4:E4"/>
    <mergeCell ref="C15:D15"/>
    <mergeCell ref="C16:D16"/>
    <mergeCell ref="C17:D17"/>
    <mergeCell ref="B19:E19"/>
    <mergeCell ref="B20:E20"/>
    <mergeCell ref="C1:C3"/>
    <mergeCell ref="D6:D11"/>
  </mergeCells>
  <hyperlinks>
    <hyperlink ref="C1:C3" location="目录!A1" display="返回目录"/>
  </hyperlinks>
  <pageMargins left="0.699305555555556" right="0.699305555555556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Scroll Bar 1" r:id="rId3">
              <controlPr defaultSize="0">
                <anchor moveWithCells="1">
                  <from>
                    <xdr:col>3</xdr:col>
                    <xdr:colOff>95250</xdr:colOff>
                    <xdr:row>12</xdr:row>
                    <xdr:rowOff>47625</xdr:rowOff>
                  </from>
                  <to>
                    <xdr:col>3</xdr:col>
                    <xdr:colOff>1781175</xdr:colOff>
                    <xdr:row>12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Scroll Bar 3" r:id="rId4">
              <controlPr defaultSize="0">
                <anchor moveWithCells="1">
                  <from>
                    <xdr:col>3</xdr:col>
                    <xdr:colOff>95250</xdr:colOff>
                    <xdr:row>12</xdr:row>
                    <xdr:rowOff>47625</xdr:rowOff>
                  </from>
                  <to>
                    <xdr:col>4</xdr:col>
                    <xdr:colOff>28575</xdr:colOff>
                    <xdr:row>12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Scroll Bar 4" r:id="rId5">
              <controlPr defaultSize="0">
                <anchor moveWithCells="1">
                  <from>
                    <xdr:col>3</xdr:col>
                    <xdr:colOff>0</xdr:colOff>
                    <xdr:row>11</xdr:row>
                    <xdr:rowOff>0</xdr:rowOff>
                  </from>
                  <to>
                    <xdr:col>3</xdr:col>
                    <xdr:colOff>3590925</xdr:colOff>
                    <xdr:row>11</xdr:row>
                    <xdr:rowOff>295275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4"/>
  <sheetViews>
    <sheetView zoomScale="90" zoomScaleNormal="90" topLeftCell="A6" workbookViewId="0">
      <selection activeCell="E22" sqref="E22:E23"/>
    </sheetView>
  </sheetViews>
  <sheetFormatPr defaultColWidth="9" defaultRowHeight="30.75" customHeight="1"/>
  <cols>
    <col min="1" max="1" width="12" style="350" customWidth="1"/>
    <col min="2" max="2" width="29" style="350" customWidth="1"/>
    <col min="3" max="3" width="19.75" style="350" customWidth="1"/>
    <col min="4" max="4" width="6" style="350" customWidth="1"/>
    <col min="5" max="5" width="19" style="350" customWidth="1"/>
    <col min="6" max="6" width="9.875" style="350" customWidth="1"/>
    <col min="7" max="7" width="16.375" style="350" customWidth="1"/>
    <col min="8" max="8" width="17.5" style="350" customWidth="1"/>
    <col min="9" max="9" width="12.625" style="350"/>
    <col min="10" max="11" width="9" style="350" hidden="1" customWidth="1"/>
    <col min="12" max="12" width="20.75" style="350" customWidth="1"/>
    <col min="13" max="13" width="14.5" style="350" customWidth="1"/>
    <col min="14" max="16384" width="9" style="350"/>
  </cols>
  <sheetData>
    <row r="1" s="349" customFormat="1" ht="24" customHeight="1" spans="1:3">
      <c r="A1" s="351" t="s">
        <v>29</v>
      </c>
      <c r="B1" s="352" t="str">
        <f>目录!C4</f>
        <v>设计研发中心</v>
      </c>
      <c r="C1" s="353" t="s">
        <v>30</v>
      </c>
    </row>
    <row r="2" s="349" customFormat="1" ht="24" customHeight="1" spans="1:3">
      <c r="A2" s="351" t="s">
        <v>3</v>
      </c>
      <c r="B2" s="352" t="str">
        <f>目录!D4</f>
        <v>张志超</v>
      </c>
      <c r="C2" s="353"/>
    </row>
    <row r="3" s="349" customFormat="1" ht="25.5" customHeight="1" spans="1:3">
      <c r="A3" s="351" t="s">
        <v>4</v>
      </c>
      <c r="B3" s="354" t="str">
        <f>目录!E3</f>
        <v>2021.9.7</v>
      </c>
      <c r="C3" s="353"/>
    </row>
    <row r="4" customHeight="1" spans="1:8">
      <c r="A4" s="355" t="str">
        <f>项目概况!B6&amp;"项目经济技术指标"</f>
        <v>栾川S1地块项目经济技术指标</v>
      </c>
      <c r="B4" s="355"/>
      <c r="C4" s="355"/>
      <c r="D4" s="355"/>
      <c r="E4" s="355"/>
      <c r="F4" s="355"/>
      <c r="G4" s="355"/>
      <c r="H4" s="355"/>
    </row>
    <row r="5" customHeight="1" spans="1:8">
      <c r="A5" s="356" t="s">
        <v>0</v>
      </c>
      <c r="B5" s="356" t="s">
        <v>57</v>
      </c>
      <c r="C5" s="356" t="s">
        <v>58</v>
      </c>
      <c r="D5" s="356" t="s">
        <v>59</v>
      </c>
      <c r="E5" s="356" t="s">
        <v>60</v>
      </c>
      <c r="F5" s="356" t="s">
        <v>59</v>
      </c>
      <c r="G5" s="356" t="s">
        <v>61</v>
      </c>
      <c r="H5" s="356" t="s">
        <v>5</v>
      </c>
    </row>
    <row r="6" customHeight="1" spans="1:8">
      <c r="A6" s="357">
        <v>1</v>
      </c>
      <c r="B6" s="358" t="s">
        <v>62</v>
      </c>
      <c r="C6" s="359"/>
      <c r="D6" s="359" t="s">
        <v>63</v>
      </c>
      <c r="E6" s="360">
        <v>46917.56</v>
      </c>
      <c r="F6" s="361" t="s">
        <v>40</v>
      </c>
      <c r="G6" s="361">
        <f>E6*15/10000</f>
        <v>70.37634</v>
      </c>
      <c r="H6" s="362"/>
    </row>
    <row r="7" customHeight="1" spans="1:8">
      <c r="A7" s="356">
        <v>2</v>
      </c>
      <c r="B7" s="358" t="s">
        <v>64</v>
      </c>
      <c r="C7" s="358"/>
      <c r="D7" s="359" t="s">
        <v>63</v>
      </c>
      <c r="E7" s="361">
        <f>E8+E20</f>
        <v>133916.97</v>
      </c>
      <c r="F7" s="361"/>
      <c r="G7" s="361"/>
      <c r="H7" s="362"/>
    </row>
    <row r="8" customHeight="1" spans="1:12">
      <c r="A8" s="356">
        <v>3</v>
      </c>
      <c r="B8" s="359" t="s">
        <v>65</v>
      </c>
      <c r="C8" s="359"/>
      <c r="D8" s="359" t="s">
        <v>63</v>
      </c>
      <c r="E8" s="361">
        <f>SUM(E9:E19)</f>
        <v>94558.46</v>
      </c>
      <c r="F8" s="361" t="s">
        <v>66</v>
      </c>
      <c r="G8" s="361">
        <f>E8/E6</f>
        <v>2.01541725528779</v>
      </c>
      <c r="H8" s="358" t="s">
        <v>67</v>
      </c>
      <c r="L8" s="350">
        <f>G8*E6</f>
        <v>94558.46</v>
      </c>
    </row>
    <row r="9" customHeight="1" spans="1:11">
      <c r="A9" s="357">
        <v>4</v>
      </c>
      <c r="B9" s="359" t="s">
        <v>68</v>
      </c>
      <c r="C9" s="359" t="s">
        <v>69</v>
      </c>
      <c r="D9" s="359" t="s">
        <v>63</v>
      </c>
      <c r="E9" s="363">
        <f>'1'!K26</f>
        <v>5328.71</v>
      </c>
      <c r="F9" s="361" t="s">
        <v>70</v>
      </c>
      <c r="G9" s="364">
        <v>47</v>
      </c>
      <c r="H9" s="365" t="s">
        <v>71</v>
      </c>
      <c r="J9" s="27" t="s">
        <v>72</v>
      </c>
      <c r="K9" s="28" t="s">
        <v>73</v>
      </c>
    </row>
    <row r="10" customHeight="1" spans="1:11">
      <c r="A10" s="356">
        <v>5</v>
      </c>
      <c r="B10" s="359" t="s">
        <v>74</v>
      </c>
      <c r="C10" s="359" t="s">
        <v>75</v>
      </c>
      <c r="D10" s="359" t="s">
        <v>63</v>
      </c>
      <c r="E10" s="363">
        <f>'1'!K8</f>
        <v>56338.32</v>
      </c>
      <c r="F10" s="361" t="s">
        <v>70</v>
      </c>
      <c r="G10" s="364">
        <v>436</v>
      </c>
      <c r="H10" s="363" t="s">
        <v>76</v>
      </c>
      <c r="J10" s="31" t="s">
        <v>77</v>
      </c>
      <c r="K10" s="32" t="s">
        <v>78</v>
      </c>
    </row>
    <row r="11" customHeight="1" spans="1:11">
      <c r="A11" s="356">
        <v>6</v>
      </c>
      <c r="B11" s="359" t="s">
        <v>79</v>
      </c>
      <c r="C11" s="359" t="s">
        <v>80</v>
      </c>
      <c r="D11" s="359" t="s">
        <v>63</v>
      </c>
      <c r="E11" s="363">
        <f>'1'!K19</f>
        <v>32304.18</v>
      </c>
      <c r="F11" s="361" t="s">
        <v>70</v>
      </c>
      <c r="G11" s="363">
        <v>311</v>
      </c>
      <c r="H11" s="365" t="s">
        <v>81</v>
      </c>
      <c r="J11" s="31" t="s">
        <v>75</v>
      </c>
      <c r="K11" s="32" t="s">
        <v>82</v>
      </c>
    </row>
    <row r="12" customHeight="1" spans="1:11">
      <c r="A12" s="357">
        <v>7</v>
      </c>
      <c r="B12" s="359" t="s">
        <v>83</v>
      </c>
      <c r="C12" s="359" t="s">
        <v>84</v>
      </c>
      <c r="D12" s="359" t="s">
        <v>63</v>
      </c>
      <c r="E12" s="360">
        <v>0</v>
      </c>
      <c r="F12" s="361" t="s">
        <v>70</v>
      </c>
      <c r="G12" s="360">
        <v>0</v>
      </c>
      <c r="H12" s="362"/>
      <c r="J12" s="27" t="s">
        <v>84</v>
      </c>
      <c r="K12" s="32" t="s">
        <v>85</v>
      </c>
    </row>
    <row r="13" customHeight="1" spans="1:11">
      <c r="A13" s="356">
        <v>8</v>
      </c>
      <c r="B13" s="359" t="s">
        <v>86</v>
      </c>
      <c r="C13" s="359" t="s">
        <v>87</v>
      </c>
      <c r="D13" s="359" t="s">
        <v>63</v>
      </c>
      <c r="E13" s="360"/>
      <c r="F13" s="361" t="s">
        <v>70</v>
      </c>
      <c r="G13" s="360">
        <v>0</v>
      </c>
      <c r="H13" s="362"/>
      <c r="J13" s="27" t="s">
        <v>87</v>
      </c>
      <c r="K13" s="32"/>
    </row>
    <row r="14" customHeight="1" spans="1:11">
      <c r="A14" s="356">
        <v>9</v>
      </c>
      <c r="B14" s="359" t="s">
        <v>88</v>
      </c>
      <c r="C14" s="359" t="s">
        <v>89</v>
      </c>
      <c r="D14" s="359" t="s">
        <v>63</v>
      </c>
      <c r="E14" s="360">
        <v>0</v>
      </c>
      <c r="F14" s="361" t="s">
        <v>70</v>
      </c>
      <c r="G14" s="360">
        <v>0</v>
      </c>
      <c r="H14" s="362"/>
      <c r="J14" s="31" t="s">
        <v>90</v>
      </c>
      <c r="K14" s="32"/>
    </row>
    <row r="15" customHeight="1" spans="1:11">
      <c r="A15" s="357">
        <v>10</v>
      </c>
      <c r="B15" s="359" t="s">
        <v>91</v>
      </c>
      <c r="C15" s="359" t="s">
        <v>69</v>
      </c>
      <c r="D15" s="359" t="s">
        <v>63</v>
      </c>
      <c r="E15" s="360"/>
      <c r="F15" s="361" t="s">
        <v>70</v>
      </c>
      <c r="G15" s="360"/>
      <c r="H15" s="362"/>
      <c r="J15" s="27" t="s">
        <v>89</v>
      </c>
      <c r="K15" s="32"/>
    </row>
    <row r="16" customHeight="1" spans="1:11">
      <c r="A16" s="356">
        <v>11</v>
      </c>
      <c r="B16" s="359" t="s">
        <v>92</v>
      </c>
      <c r="C16" s="366" t="s">
        <v>93</v>
      </c>
      <c r="D16" s="359" t="s">
        <v>63</v>
      </c>
      <c r="E16" s="360"/>
      <c r="F16" s="361" t="s">
        <v>70</v>
      </c>
      <c r="G16" s="360"/>
      <c r="H16" s="362"/>
      <c r="J16" s="27" t="s">
        <v>69</v>
      </c>
      <c r="K16" s="32"/>
    </row>
    <row r="17" ht="28.5" customHeight="1" spans="1:11">
      <c r="A17" s="356">
        <v>12</v>
      </c>
      <c r="B17" s="359" t="s">
        <v>94</v>
      </c>
      <c r="C17" s="366" t="s">
        <v>95</v>
      </c>
      <c r="D17" s="359" t="s">
        <v>63</v>
      </c>
      <c r="E17" s="360"/>
      <c r="F17" s="361" t="s">
        <v>70</v>
      </c>
      <c r="G17" s="360"/>
      <c r="H17" s="362"/>
      <c r="J17" s="31" t="s">
        <v>93</v>
      </c>
      <c r="K17" s="32"/>
    </row>
    <row r="18" customHeight="1" spans="1:11">
      <c r="A18" s="357">
        <v>13</v>
      </c>
      <c r="B18" s="359" t="s">
        <v>96</v>
      </c>
      <c r="C18" s="367" t="s">
        <v>97</v>
      </c>
      <c r="D18" s="359" t="s">
        <v>63</v>
      </c>
      <c r="E18" s="363">
        <v>587.25</v>
      </c>
      <c r="F18" s="361" t="s">
        <v>70</v>
      </c>
      <c r="G18" s="360"/>
      <c r="H18" s="362"/>
      <c r="J18" s="31" t="s">
        <v>95</v>
      </c>
      <c r="K18" s="32"/>
    </row>
    <row r="19" customHeight="1" spans="1:11">
      <c r="A19" s="356">
        <v>14</v>
      </c>
      <c r="B19" s="359" t="s">
        <v>98</v>
      </c>
      <c r="C19" s="366" t="s">
        <v>99</v>
      </c>
      <c r="D19" s="359" t="s">
        <v>63</v>
      </c>
      <c r="E19" s="360"/>
      <c r="F19" s="361" t="s">
        <v>70</v>
      </c>
      <c r="G19" s="360"/>
      <c r="H19" s="362"/>
      <c r="J19" s="27" t="s">
        <v>100</v>
      </c>
      <c r="K19" s="32"/>
    </row>
    <row r="20" customHeight="1" spans="1:11">
      <c r="A20" s="356">
        <v>11</v>
      </c>
      <c r="B20" s="368" t="s">
        <v>101</v>
      </c>
      <c r="C20" s="368"/>
      <c r="D20" s="359" t="s">
        <v>63</v>
      </c>
      <c r="E20" s="361">
        <v>39358.51</v>
      </c>
      <c r="F20" s="361" t="s">
        <v>70</v>
      </c>
      <c r="G20" s="360"/>
      <c r="H20" s="362" t="s">
        <v>102</v>
      </c>
      <c r="J20" s="27" t="s">
        <v>103</v>
      </c>
      <c r="K20" s="32"/>
    </row>
    <row r="21" customHeight="1" spans="1:11">
      <c r="A21" s="356">
        <v>12</v>
      </c>
      <c r="B21" s="369" t="s">
        <v>104</v>
      </c>
      <c r="C21" s="359" t="s">
        <v>78</v>
      </c>
      <c r="D21" s="359" t="s">
        <v>63</v>
      </c>
      <c r="E21" s="360"/>
      <c r="F21" s="361" t="s">
        <v>70</v>
      </c>
      <c r="G21" s="360"/>
      <c r="H21" s="362" t="s">
        <v>105</v>
      </c>
      <c r="J21" s="27" t="s">
        <v>99</v>
      </c>
      <c r="K21" s="32"/>
    </row>
    <row r="22" customHeight="1" spans="1:11">
      <c r="A22" s="357">
        <v>13</v>
      </c>
      <c r="B22" s="369" t="s">
        <v>106</v>
      </c>
      <c r="C22" s="359" t="s">
        <v>82</v>
      </c>
      <c r="D22" s="359" t="s">
        <v>63</v>
      </c>
      <c r="E22" s="363">
        <v>6581.55</v>
      </c>
      <c r="F22" s="361" t="s">
        <v>107</v>
      </c>
      <c r="G22" s="370">
        <v>160</v>
      </c>
      <c r="H22" s="362"/>
      <c r="J22" s="27" t="s">
        <v>108</v>
      </c>
      <c r="K22" s="32"/>
    </row>
    <row r="23" customHeight="1" spans="1:9">
      <c r="A23" s="356">
        <v>14</v>
      </c>
      <c r="B23" s="369" t="s">
        <v>109</v>
      </c>
      <c r="C23" s="359" t="s">
        <v>85</v>
      </c>
      <c r="D23" s="359" t="s">
        <v>63</v>
      </c>
      <c r="E23" s="360">
        <f>'1'!K28</f>
        <v>32776.96</v>
      </c>
      <c r="F23" s="361" t="s">
        <v>107</v>
      </c>
      <c r="G23" s="370">
        <v>795</v>
      </c>
      <c r="H23" s="362"/>
      <c r="I23" s="385"/>
    </row>
    <row r="24" customHeight="1" spans="1:8">
      <c r="A24" s="357">
        <v>16</v>
      </c>
      <c r="B24" s="371" t="s">
        <v>110</v>
      </c>
      <c r="C24" s="372"/>
      <c r="D24" s="359" t="s">
        <v>111</v>
      </c>
      <c r="E24" s="373">
        <v>0.2158</v>
      </c>
      <c r="F24" s="361"/>
      <c r="G24" s="374"/>
      <c r="H24" s="375"/>
    </row>
    <row r="25" customHeight="1" spans="1:8">
      <c r="A25" s="356">
        <v>17</v>
      </c>
      <c r="B25" s="371" t="s">
        <v>112</v>
      </c>
      <c r="C25" s="372"/>
      <c r="D25" s="359" t="s">
        <v>111</v>
      </c>
      <c r="E25" s="373">
        <v>0.3</v>
      </c>
      <c r="F25" s="361"/>
      <c r="G25" s="376" t="s">
        <v>113</v>
      </c>
      <c r="H25" s="377">
        <f>H26+H27+H28+H29+H30+H31+H32+H33+H34</f>
        <v>9610</v>
      </c>
    </row>
    <row r="26" customHeight="1" spans="1:8">
      <c r="A26" s="357">
        <v>18</v>
      </c>
      <c r="B26" s="378" t="str">
        <f t="shared" ref="B26" si="0">C9</f>
        <v>小高层</v>
      </c>
      <c r="C26" s="378" t="s">
        <v>114</v>
      </c>
      <c r="D26" s="379" t="s">
        <v>107</v>
      </c>
      <c r="E26" s="380">
        <v>2</v>
      </c>
      <c r="F26" s="381" t="s">
        <v>115</v>
      </c>
      <c r="G26" s="376" t="s">
        <v>63</v>
      </c>
      <c r="H26" s="375">
        <v>401</v>
      </c>
    </row>
    <row r="27" customHeight="1" spans="1:8">
      <c r="A27" s="356">
        <v>19</v>
      </c>
      <c r="B27" s="378" t="s">
        <v>69</v>
      </c>
      <c r="C27" s="378" t="s">
        <v>114</v>
      </c>
      <c r="D27" s="379"/>
      <c r="E27" s="380"/>
      <c r="F27" s="382"/>
      <c r="G27" s="376" t="s">
        <v>63</v>
      </c>
      <c r="H27" s="375"/>
    </row>
    <row r="28" customHeight="1" spans="1:8">
      <c r="A28" s="357">
        <v>20</v>
      </c>
      <c r="B28" s="378" t="str">
        <f>C10</f>
        <v>洋房</v>
      </c>
      <c r="C28" s="378" t="s">
        <v>114</v>
      </c>
      <c r="D28" s="379" t="s">
        <v>107</v>
      </c>
      <c r="E28" s="380">
        <v>26</v>
      </c>
      <c r="F28" s="382"/>
      <c r="G28" s="379" t="s">
        <v>63</v>
      </c>
      <c r="H28" s="375">
        <v>6721</v>
      </c>
    </row>
    <row r="29" customHeight="1" spans="1:8">
      <c r="A29" s="356">
        <v>21</v>
      </c>
      <c r="B29" s="378" t="str">
        <f>C11</f>
        <v>装配式</v>
      </c>
      <c r="C29" s="378" t="s">
        <v>114</v>
      </c>
      <c r="D29" s="379" t="s">
        <v>107</v>
      </c>
      <c r="E29" s="380">
        <v>10</v>
      </c>
      <c r="F29" s="382"/>
      <c r="G29" s="379" t="s">
        <v>63</v>
      </c>
      <c r="H29" s="375">
        <v>2488</v>
      </c>
    </row>
    <row r="30" customHeight="1" spans="1:8">
      <c r="A30" s="357">
        <v>22</v>
      </c>
      <c r="B30" s="378" t="str">
        <f>C12</f>
        <v>别墅</v>
      </c>
      <c r="C30" s="378" t="s">
        <v>114</v>
      </c>
      <c r="D30" s="379" t="s">
        <v>107</v>
      </c>
      <c r="E30" s="380"/>
      <c r="F30" s="382"/>
      <c r="G30" s="379" t="s">
        <v>63</v>
      </c>
      <c r="H30" s="375"/>
    </row>
    <row r="31" customHeight="1" spans="1:8">
      <c r="A31" s="356">
        <v>23</v>
      </c>
      <c r="B31" s="378" t="str">
        <f>C13</f>
        <v>商业</v>
      </c>
      <c r="C31" s="378" t="s">
        <v>114</v>
      </c>
      <c r="D31" s="379" t="s">
        <v>107</v>
      </c>
      <c r="E31" s="380"/>
      <c r="F31" s="382"/>
      <c r="G31" s="379" t="s">
        <v>63</v>
      </c>
      <c r="H31" s="375"/>
    </row>
    <row r="32" customHeight="1" spans="1:8">
      <c r="A32" s="357">
        <v>24</v>
      </c>
      <c r="B32" s="378" t="str">
        <f>C14</f>
        <v>办公</v>
      </c>
      <c r="C32" s="378" t="s">
        <v>114</v>
      </c>
      <c r="D32" s="379" t="s">
        <v>107</v>
      </c>
      <c r="E32" s="380"/>
      <c r="F32" s="382"/>
      <c r="G32" s="379" t="s">
        <v>63</v>
      </c>
      <c r="H32" s="375"/>
    </row>
    <row r="33" customHeight="1" spans="1:8">
      <c r="A33" s="356">
        <v>25</v>
      </c>
      <c r="B33" s="376" t="s">
        <v>95</v>
      </c>
      <c r="C33" s="379"/>
      <c r="D33" s="379"/>
      <c r="E33" s="383"/>
      <c r="F33" s="382"/>
      <c r="G33" s="379" t="s">
        <v>63</v>
      </c>
      <c r="H33" s="383"/>
    </row>
    <row r="34" customHeight="1" spans="1:8">
      <c r="A34" s="356">
        <v>26</v>
      </c>
      <c r="B34" s="376" t="s">
        <v>116</v>
      </c>
      <c r="C34" s="379"/>
      <c r="D34" s="379"/>
      <c r="E34" s="383"/>
      <c r="F34" s="384"/>
      <c r="G34" s="379" t="s">
        <v>63</v>
      </c>
      <c r="H34" s="383"/>
    </row>
  </sheetData>
  <mergeCells count="9">
    <mergeCell ref="A4:H4"/>
    <mergeCell ref="B6:C6"/>
    <mergeCell ref="B7:C7"/>
    <mergeCell ref="B8:C8"/>
    <mergeCell ref="B20:C20"/>
    <mergeCell ref="B24:C24"/>
    <mergeCell ref="B25:C25"/>
    <mergeCell ref="C1:C3"/>
    <mergeCell ref="F26:F34"/>
  </mergeCells>
  <dataValidations count="4">
    <dataValidation type="list" allowBlank="1" showInputMessage="1" showErrorMessage="1" sqref="C11">
      <formula1>'数据源（不可删除）'!$A$2:$A$16</formula1>
    </dataValidation>
    <dataValidation type="list" allowBlank="1" showInputMessage="1" showErrorMessage="1" sqref="C16:C19">
      <formula1>'数据源（不可删除）'!$A$2:$A$18</formula1>
    </dataValidation>
    <dataValidation type="list" allowBlank="1" showInputMessage="1" showErrorMessage="1" sqref="C9:C10 C12:C15">
      <formula1>$J$10:$J$22</formula1>
    </dataValidation>
    <dataValidation type="list" allowBlank="1" showInputMessage="1" showErrorMessage="1" sqref="C21:C23">
      <formula1>$K$10:$K$12</formula1>
    </dataValidation>
  </dataValidations>
  <hyperlinks>
    <hyperlink ref="C1:C3" location="目录!A1" display="返回目录"/>
  </hyperlinks>
  <printOptions horizontalCentered="1"/>
  <pageMargins left="0.275" right="0.15625" top="0.747916666666667" bottom="0.747916666666667" header="0.313888888888889" footer="0.313888888888889"/>
  <pageSetup paperSize="9" scale="70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Y233"/>
  <sheetViews>
    <sheetView tabSelected="1" zoomScale="138" zoomScaleNormal="138" workbookViewId="0">
      <pane xSplit="2" ySplit="8" topLeftCell="F9" activePane="bottomRight" state="frozen"/>
      <selection/>
      <selection pane="topRight"/>
      <selection pane="bottomLeft"/>
      <selection pane="bottomRight" activeCell="G8" sqref="AI8 AG8 Y8 K8 I8 G8"/>
    </sheetView>
  </sheetViews>
  <sheetFormatPr defaultColWidth="9" defaultRowHeight="20.25" customHeight="1"/>
  <cols>
    <col min="1" max="1" width="10.75" style="156" customWidth="1"/>
    <col min="2" max="2" width="17" style="244" customWidth="1"/>
    <col min="3" max="3" width="12" style="156" customWidth="1"/>
    <col min="4" max="4" width="10.875" style="156" customWidth="1"/>
    <col min="5" max="5" width="10" style="156" customWidth="1"/>
    <col min="6" max="6" width="11.125" style="156" customWidth="1"/>
    <col min="7" max="7" width="9.625" style="156" customWidth="1" outlineLevel="1"/>
    <col min="8" max="8" width="10" style="156" customWidth="1" outlineLevel="1"/>
    <col min="9" max="9" width="9.375" style="156" customWidth="1" outlineLevel="1"/>
    <col min="10" max="10" width="9.875" style="156" customWidth="1" outlineLevel="1"/>
    <col min="11" max="11" width="9.375" style="156" customWidth="1" outlineLevel="1"/>
    <col min="12" max="12" width="8.375" style="156" customWidth="1" outlineLevel="1"/>
    <col min="13" max="14" width="8.375" style="156" hidden="1" customWidth="1" outlineLevel="1"/>
    <col min="15" max="15" width="10.375" style="156" hidden="1" customWidth="1" outlineLevel="1"/>
    <col min="16" max="20" width="8.375" style="156" hidden="1" customWidth="1" outlineLevel="1"/>
    <col min="21" max="21" width="10.625" style="156" hidden="1" customWidth="1" outlineLevel="1"/>
    <col min="22" max="22" width="8.375" style="156" hidden="1" customWidth="1" outlineLevel="1"/>
    <col min="23" max="23" width="9.875" style="156" hidden="1" customWidth="1" outlineLevel="1"/>
    <col min="24" max="24" width="8.375" style="156" hidden="1" customWidth="1" outlineLevel="1"/>
    <col min="25" max="25" width="10" style="166" customWidth="1" outlineLevel="1"/>
    <col min="26" max="26" width="8.375" style="166" customWidth="1" outlineLevel="1"/>
    <col min="27" max="27" width="9.875" style="156" hidden="1" customWidth="1" outlineLevel="1"/>
    <col min="28" max="28" width="8.375" style="156" hidden="1" customWidth="1" outlineLevel="1"/>
    <col min="29" max="29" width="8.875" style="156" customWidth="1"/>
    <col min="30" max="30" width="8.375" style="156" customWidth="1"/>
    <col min="31" max="31" width="8.625" style="156" hidden="1" customWidth="1" outlineLevel="1"/>
    <col min="32" max="32" width="10.625" style="156" hidden="1" customWidth="1" outlineLevel="1"/>
    <col min="33" max="33" width="8.375" style="156" customWidth="1" outlineLevel="1"/>
    <col min="34" max="34" width="9.875" style="156" customWidth="1" outlineLevel="1"/>
    <col min="35" max="35" width="8.75" style="156" customWidth="1" outlineLevel="1"/>
    <col min="36" max="36" width="8.375" style="156" customWidth="1" outlineLevel="1"/>
    <col min="37" max="37" width="9.875" style="166" customWidth="1"/>
    <col min="38" max="38" width="11.125" style="156" customWidth="1"/>
    <col min="39" max="39" width="12.5" style="156" customWidth="1"/>
    <col min="40" max="40" width="10.875" style="156" customWidth="1"/>
    <col min="41" max="41" width="13" style="156" customWidth="1"/>
    <col min="42" max="42" width="15.5" style="156" customWidth="1"/>
    <col min="43" max="58" width="4.625" style="156" customWidth="1"/>
    <col min="59" max="16384" width="9" style="156"/>
  </cols>
  <sheetData>
    <row r="1" hidden="1" customHeight="1" spans="1:8">
      <c r="A1" s="62" t="s">
        <v>29</v>
      </c>
      <c r="B1" s="63" t="str">
        <f>目录!C5</f>
        <v>成本中心</v>
      </c>
      <c r="C1" s="64" t="s">
        <v>30</v>
      </c>
      <c r="D1" s="93"/>
      <c r="E1" s="93"/>
      <c r="F1" s="93"/>
      <c r="G1" s="93"/>
      <c r="H1" s="93"/>
    </row>
    <row r="2" hidden="1" customHeight="1" spans="1:8">
      <c r="A2" s="62" t="s">
        <v>3</v>
      </c>
      <c r="B2" s="63" t="str">
        <f>目录!D5</f>
        <v>王艳强</v>
      </c>
      <c r="C2" s="64"/>
      <c r="D2" s="93"/>
      <c r="E2" s="93"/>
      <c r="F2" s="93"/>
      <c r="G2" s="93"/>
      <c r="H2" s="245"/>
    </row>
    <row r="3" hidden="1" customHeight="1" spans="1:8">
      <c r="A3" s="62" t="s">
        <v>4</v>
      </c>
      <c r="B3" s="65" t="str">
        <f>目录!E5</f>
        <v>2021.9.7</v>
      </c>
      <c r="C3" s="64"/>
      <c r="D3" s="93"/>
      <c r="E3" s="93"/>
      <c r="F3" s="93"/>
      <c r="G3" s="245">
        <f>D10+D19</f>
        <v>10640.6718547432</v>
      </c>
      <c r="H3" s="245"/>
    </row>
    <row r="4" ht="33.95" customHeight="1" spans="1:39">
      <c r="A4" s="177" t="str">
        <f>项目概况!B6&amp;"项目成本测算明细表"</f>
        <v>栾川S1地块项目成本测算明细表</v>
      </c>
      <c r="B4" s="177"/>
      <c r="C4" s="177"/>
      <c r="D4" s="177"/>
      <c r="E4" s="177"/>
      <c r="F4" s="177"/>
      <c r="G4" s="177"/>
      <c r="H4" s="177"/>
      <c r="I4" s="177"/>
      <c r="J4" s="177"/>
      <c r="K4" s="177"/>
      <c r="L4" s="177"/>
      <c r="M4" s="177"/>
      <c r="N4" s="177"/>
      <c r="O4" s="177"/>
      <c r="P4" s="177"/>
      <c r="Q4" s="177"/>
      <c r="R4" s="177"/>
      <c r="S4" s="177"/>
      <c r="T4" s="177"/>
      <c r="U4" s="177"/>
      <c r="V4" s="177"/>
      <c r="W4" s="177"/>
      <c r="X4" s="177"/>
      <c r="Y4" s="177"/>
      <c r="Z4" s="177"/>
      <c r="AA4" s="177"/>
      <c r="AB4" s="177"/>
      <c r="AC4" s="177"/>
      <c r="AD4" s="177"/>
      <c r="AE4" s="177"/>
      <c r="AF4" s="177"/>
      <c r="AG4" s="177"/>
      <c r="AH4" s="177"/>
      <c r="AI4" s="177"/>
      <c r="AJ4" s="177"/>
      <c r="AK4" s="282"/>
      <c r="AL4" s="283"/>
      <c r="AM4" s="283"/>
    </row>
    <row r="5" s="240" customFormat="1" ht="21.95" customHeight="1" spans="1:51">
      <c r="A5" s="246" t="s">
        <v>0</v>
      </c>
      <c r="B5" s="246" t="s">
        <v>117</v>
      </c>
      <c r="C5" s="246" t="s">
        <v>118</v>
      </c>
      <c r="D5" s="246"/>
      <c r="E5" s="247" t="s">
        <v>119</v>
      </c>
      <c r="F5" s="247"/>
      <c r="G5" s="247"/>
      <c r="H5" s="247"/>
      <c r="I5" s="247"/>
      <c r="J5" s="247"/>
      <c r="K5" s="247"/>
      <c r="L5" s="247"/>
      <c r="M5" s="247"/>
      <c r="N5" s="247"/>
      <c r="O5" s="247"/>
      <c r="P5" s="247"/>
      <c r="Q5" s="247"/>
      <c r="R5" s="247"/>
      <c r="S5" s="247"/>
      <c r="T5" s="247"/>
      <c r="U5" s="247"/>
      <c r="V5" s="247"/>
      <c r="W5" s="247"/>
      <c r="X5" s="247"/>
      <c r="Y5" s="247"/>
      <c r="Z5" s="247"/>
      <c r="AA5" s="247"/>
      <c r="AB5" s="247"/>
      <c r="AC5" s="281" t="s">
        <v>101</v>
      </c>
      <c r="AD5" s="281"/>
      <c r="AE5" s="281"/>
      <c r="AF5" s="281"/>
      <c r="AG5" s="281"/>
      <c r="AH5" s="281"/>
      <c r="AI5" s="281"/>
      <c r="AJ5" s="281"/>
      <c r="AK5" s="284" t="s">
        <v>120</v>
      </c>
      <c r="AL5" s="285" t="s">
        <v>121</v>
      </c>
      <c r="AM5" s="285" t="s">
        <v>122</v>
      </c>
      <c r="AP5" s="287"/>
      <c r="AQ5" s="287"/>
      <c r="AR5" s="287"/>
      <c r="AS5" s="287"/>
      <c r="AT5" s="287"/>
      <c r="AU5" s="287"/>
      <c r="AV5" s="287"/>
      <c r="AW5" s="287"/>
      <c r="AX5" s="287"/>
      <c r="AY5" s="287"/>
    </row>
    <row r="6" s="240" customFormat="1" customHeight="1" spans="1:51">
      <c r="A6" s="246"/>
      <c r="B6" s="246" t="s">
        <v>123</v>
      </c>
      <c r="C6" s="246"/>
      <c r="D6" s="246"/>
      <c r="E6" s="246" t="str">
        <f>经济指标!B8</f>
        <v>地上计容建筑面积</v>
      </c>
      <c r="F6" s="246"/>
      <c r="G6" s="248" t="str">
        <f>经济指标!B9</f>
        <v>地上部分1</v>
      </c>
      <c r="H6" s="248"/>
      <c r="I6" s="248" t="str">
        <f>经济指标!B10</f>
        <v>地上部分2</v>
      </c>
      <c r="J6" s="248"/>
      <c r="K6" s="248" t="str">
        <f>经济指标!B11</f>
        <v>地上部分3</v>
      </c>
      <c r="L6" s="248"/>
      <c r="M6" s="274" t="str">
        <f>经济指标!B12</f>
        <v>地上部分4</v>
      </c>
      <c r="N6" s="275"/>
      <c r="O6" s="274" t="str">
        <f>经济指标!B13</f>
        <v>地上部分5</v>
      </c>
      <c r="P6" s="275"/>
      <c r="Q6" s="274" t="str">
        <f>经济指标!B14</f>
        <v>地上部分6</v>
      </c>
      <c r="R6" s="275"/>
      <c r="S6" s="274" t="str">
        <f>经济指标!B15</f>
        <v>地上部分7</v>
      </c>
      <c r="T6" s="275"/>
      <c r="U6" s="248" t="str">
        <f>经济指标!B16</f>
        <v>地上部分8</v>
      </c>
      <c r="V6" s="248"/>
      <c r="W6" s="248" t="str">
        <f>经济指标!B17</f>
        <v>地上部分9</v>
      </c>
      <c r="X6" s="248"/>
      <c r="Y6" s="248" t="str">
        <f>经济指标!B18</f>
        <v>地上部分10</v>
      </c>
      <c r="Z6" s="248"/>
      <c r="AA6" s="248" t="str">
        <f>经济指标!B19</f>
        <v>地上部分11</v>
      </c>
      <c r="AB6" s="248"/>
      <c r="AC6" s="248" t="str">
        <f>经济指标!B20</f>
        <v>地下建筑面积</v>
      </c>
      <c r="AD6" s="248"/>
      <c r="AE6" s="248" t="str">
        <f>经济指标!B21</f>
        <v>地下部分1</v>
      </c>
      <c r="AF6" s="248"/>
      <c r="AG6" s="248" t="str">
        <f>经济指标!B22</f>
        <v>地下部分2</v>
      </c>
      <c r="AH6" s="248"/>
      <c r="AI6" s="248" t="str">
        <f>经济指标!B23</f>
        <v>地下部分3</v>
      </c>
      <c r="AJ6" s="248"/>
      <c r="AK6" s="286"/>
      <c r="AL6" s="285"/>
      <c r="AM6" s="285"/>
      <c r="AN6" s="287"/>
      <c r="AO6" s="287"/>
      <c r="AP6" s="287"/>
      <c r="AQ6" s="287"/>
      <c r="AR6" s="287"/>
      <c r="AS6" s="287"/>
      <c r="AT6" s="287"/>
      <c r="AU6" s="287"/>
      <c r="AV6" s="287"/>
      <c r="AW6" s="287"/>
      <c r="AX6" s="287"/>
      <c r="AY6" s="287"/>
    </row>
    <row r="7" customHeight="1" spans="1:51">
      <c r="A7" s="246"/>
      <c r="B7" s="246" t="s">
        <v>124</v>
      </c>
      <c r="C7" s="246"/>
      <c r="D7" s="246"/>
      <c r="E7" s="246" t="str">
        <f>E6</f>
        <v>地上计容建筑面积</v>
      </c>
      <c r="F7" s="246"/>
      <c r="G7" s="249" t="str">
        <f>经济指标!C9</f>
        <v>小高层</v>
      </c>
      <c r="H7" s="249"/>
      <c r="I7" s="249" t="str">
        <f>经济指标!C10</f>
        <v>洋房</v>
      </c>
      <c r="J7" s="249"/>
      <c r="K7" s="276" t="str">
        <f>经济指标!C11</f>
        <v>装配式</v>
      </c>
      <c r="L7" s="276"/>
      <c r="M7" s="277" t="str">
        <f>经济指标!C12</f>
        <v>别墅</v>
      </c>
      <c r="N7" s="278"/>
      <c r="O7" s="274" t="str">
        <f>经济指标!C13</f>
        <v>商业</v>
      </c>
      <c r="P7" s="275"/>
      <c r="Q7" s="274" t="str">
        <f>经济指标!C14</f>
        <v>办公</v>
      </c>
      <c r="R7" s="275"/>
      <c r="S7" s="279" t="str">
        <f>经济指标!C15</f>
        <v>小高层</v>
      </c>
      <c r="T7" s="280"/>
      <c r="U7" s="279" t="str">
        <f>经济指标!C16</f>
        <v>社区服务中心</v>
      </c>
      <c r="V7" s="280"/>
      <c r="W7" s="279" t="str">
        <f>经济指标!C17</f>
        <v>幼儿园</v>
      </c>
      <c r="X7" s="280"/>
      <c r="Y7" s="279" t="str">
        <f>经济指标!C18</f>
        <v>配套</v>
      </c>
      <c r="Z7" s="280"/>
      <c r="AA7" s="246" t="str">
        <f>经济指标!C19</f>
        <v>社区卫生服务站</v>
      </c>
      <c r="AB7" s="246"/>
      <c r="AC7" s="279" t="str">
        <f>AC6</f>
        <v>地下建筑面积</v>
      </c>
      <c r="AD7" s="280"/>
      <c r="AE7" s="279" t="str">
        <f>经济指标!C21</f>
        <v>储藏室</v>
      </c>
      <c r="AF7" s="280"/>
      <c r="AG7" s="246" t="str">
        <f>经济指标!C22</f>
        <v>人防车位</v>
      </c>
      <c r="AH7" s="246"/>
      <c r="AI7" s="246" t="str">
        <f>经济指标!C23</f>
        <v>非人防车位</v>
      </c>
      <c r="AJ7" s="246"/>
      <c r="AK7" s="286"/>
      <c r="AL7" s="285"/>
      <c r="AM7" s="285"/>
      <c r="AN7" s="288"/>
      <c r="AO7" s="288"/>
      <c r="AP7" s="288"/>
      <c r="AQ7" s="288"/>
      <c r="AR7" s="288"/>
      <c r="AS7" s="288"/>
      <c r="AT7" s="288"/>
      <c r="AU7" s="288"/>
      <c r="AV7" s="288"/>
      <c r="AW7" s="288"/>
      <c r="AX7" s="288"/>
      <c r="AY7" s="288"/>
    </row>
    <row r="8" customHeight="1" spans="1:51">
      <c r="A8" s="246"/>
      <c r="B8" s="246" t="s">
        <v>125</v>
      </c>
      <c r="C8" s="250">
        <f>经济指标!E7/10000</f>
        <v>13.391697</v>
      </c>
      <c r="D8" s="251" t="s">
        <v>126</v>
      </c>
      <c r="E8" s="252">
        <f>经济指标!E8/10000</f>
        <v>9.455846</v>
      </c>
      <c r="F8" s="251" t="s">
        <v>127</v>
      </c>
      <c r="G8" s="252">
        <f>经济指标!E9/10000</f>
        <v>0.532871</v>
      </c>
      <c r="H8" s="251" t="s">
        <v>126</v>
      </c>
      <c r="I8" s="252">
        <f>经济指标!E10/10000</f>
        <v>5.633832</v>
      </c>
      <c r="J8" s="251" t="s">
        <v>128</v>
      </c>
      <c r="K8" s="252">
        <f>经济指标!E11/10000</f>
        <v>3.230418</v>
      </c>
      <c r="L8" s="251" t="s">
        <v>129</v>
      </c>
      <c r="M8" s="252">
        <f>经济指标!E12/10000</f>
        <v>0</v>
      </c>
      <c r="N8" s="251" t="s">
        <v>130</v>
      </c>
      <c r="O8" s="252">
        <f>经济指标!E13/10000</f>
        <v>0</v>
      </c>
      <c r="P8" s="251" t="s">
        <v>131</v>
      </c>
      <c r="Q8" s="252">
        <f>经济指标!E14/10000</f>
        <v>0</v>
      </c>
      <c r="R8" s="251" t="s">
        <v>132</v>
      </c>
      <c r="S8" s="252">
        <f>经济指标!E15/10000</f>
        <v>0</v>
      </c>
      <c r="T8" s="251" t="s">
        <v>133</v>
      </c>
      <c r="U8" s="252">
        <f>经济指标!E16/10000</f>
        <v>0</v>
      </c>
      <c r="V8" s="251" t="s">
        <v>130</v>
      </c>
      <c r="W8" s="252">
        <f>经济指标!E17/10000</f>
        <v>0</v>
      </c>
      <c r="X8" s="251" t="s">
        <v>131</v>
      </c>
      <c r="Y8" s="252">
        <f>经济指标!E18/10000</f>
        <v>0.058725</v>
      </c>
      <c r="Z8" s="251" t="s">
        <v>132</v>
      </c>
      <c r="AA8" s="252">
        <f>经济指标!E19/10000</f>
        <v>0</v>
      </c>
      <c r="AB8" s="251" t="s">
        <v>133</v>
      </c>
      <c r="AC8" s="252">
        <f>经济指标!E20/10000</f>
        <v>3.935851</v>
      </c>
      <c r="AD8" s="251" t="s">
        <v>127</v>
      </c>
      <c r="AE8" s="252">
        <f>经济指标!E21/10000</f>
        <v>0</v>
      </c>
      <c r="AF8" s="251" t="s">
        <v>126</v>
      </c>
      <c r="AG8" s="252">
        <f>经济指标!E22/10000</f>
        <v>0.658155</v>
      </c>
      <c r="AH8" s="251" t="s">
        <v>128</v>
      </c>
      <c r="AI8" s="252">
        <f>经济指标!E23/10000</f>
        <v>3.277696</v>
      </c>
      <c r="AJ8" s="251" t="s">
        <v>129</v>
      </c>
      <c r="AK8" s="286"/>
      <c r="AL8" s="285"/>
      <c r="AM8" s="285"/>
      <c r="AN8" s="288"/>
      <c r="AO8" s="288"/>
      <c r="AP8" s="288"/>
      <c r="AQ8" s="288"/>
      <c r="AR8" s="288"/>
      <c r="AS8" s="288"/>
      <c r="AT8" s="288"/>
      <c r="AU8" s="288"/>
      <c r="AV8" s="288"/>
      <c r="AW8" s="288"/>
      <c r="AX8" s="288"/>
      <c r="AY8" s="288"/>
    </row>
    <row r="9" ht="27" customHeight="1" spans="1:51">
      <c r="A9" s="246"/>
      <c r="B9" s="246" t="s">
        <v>134</v>
      </c>
      <c r="C9" s="246" t="s">
        <v>135</v>
      </c>
      <c r="D9" s="246" t="s">
        <v>136</v>
      </c>
      <c r="E9" s="246" t="s">
        <v>137</v>
      </c>
      <c r="F9" s="246" t="s">
        <v>138</v>
      </c>
      <c r="G9" s="246" t="s">
        <v>135</v>
      </c>
      <c r="H9" s="246" t="s">
        <v>138</v>
      </c>
      <c r="I9" s="246" t="s">
        <v>139</v>
      </c>
      <c r="J9" s="246" t="s">
        <v>138</v>
      </c>
      <c r="K9" s="246" t="s">
        <v>140</v>
      </c>
      <c r="L9" s="246" t="s">
        <v>138</v>
      </c>
      <c r="M9" s="246" t="s">
        <v>141</v>
      </c>
      <c r="N9" s="246" t="s">
        <v>138</v>
      </c>
      <c r="O9" s="246" t="s">
        <v>142</v>
      </c>
      <c r="P9" s="246" t="s">
        <v>138</v>
      </c>
      <c r="Q9" s="246" t="s">
        <v>143</v>
      </c>
      <c r="R9" s="246" t="s">
        <v>138</v>
      </c>
      <c r="S9" s="246" t="s">
        <v>144</v>
      </c>
      <c r="T9" s="246" t="s">
        <v>138</v>
      </c>
      <c r="U9" s="246" t="s">
        <v>141</v>
      </c>
      <c r="V9" s="246" t="s">
        <v>138</v>
      </c>
      <c r="W9" s="246" t="s">
        <v>142</v>
      </c>
      <c r="X9" s="246" t="s">
        <v>138</v>
      </c>
      <c r="Y9" s="246" t="s">
        <v>143</v>
      </c>
      <c r="Z9" s="246" t="s">
        <v>138</v>
      </c>
      <c r="AA9" s="246" t="s">
        <v>144</v>
      </c>
      <c r="AB9" s="246" t="s">
        <v>138</v>
      </c>
      <c r="AC9" s="246" t="s">
        <v>135</v>
      </c>
      <c r="AD9" s="246" t="s">
        <v>138</v>
      </c>
      <c r="AE9" s="246" t="s">
        <v>139</v>
      </c>
      <c r="AF9" s="246" t="s">
        <v>138</v>
      </c>
      <c r="AG9" s="246" t="s">
        <v>140</v>
      </c>
      <c r="AH9" s="246" t="s">
        <v>138</v>
      </c>
      <c r="AI9" s="246" t="s">
        <v>141</v>
      </c>
      <c r="AJ9" s="246" t="s">
        <v>138</v>
      </c>
      <c r="AK9" s="289"/>
      <c r="AL9" s="290"/>
      <c r="AM9" s="290"/>
      <c r="AN9" s="288"/>
      <c r="AO9" s="288"/>
      <c r="AP9" s="288"/>
      <c r="AQ9" s="288"/>
      <c r="AR9" s="288"/>
      <c r="AS9" s="288"/>
      <c r="AT9" s="288"/>
      <c r="AU9" s="288"/>
      <c r="AV9" s="288"/>
      <c r="AW9" s="288"/>
      <c r="AX9" s="288"/>
      <c r="AY9" s="288"/>
    </row>
    <row r="10" s="241" customFormat="1" customHeight="1" collapsed="1" spans="1:51">
      <c r="A10" s="424" t="s">
        <v>145</v>
      </c>
      <c r="B10" s="253" t="s">
        <v>146</v>
      </c>
      <c r="C10" s="254">
        <f>SUM(C11:C18)</f>
        <v>542.507551447901</v>
      </c>
      <c r="D10" s="254">
        <f>SUM(D11:D18)</f>
        <v>7265.09674920221</v>
      </c>
      <c r="E10" s="254">
        <f>SUM(E11:E18)</f>
        <v>768.318006575214</v>
      </c>
      <c r="F10" s="254">
        <f t="shared" ref="F10:AE10" si="0">SUM(F11:F18)</f>
        <v>7265.09674920221</v>
      </c>
      <c r="G10" s="254">
        <f t="shared" si="0"/>
        <v>768.318006575214</v>
      </c>
      <c r="H10" s="254">
        <f t="shared" si="0"/>
        <v>409.414384481741</v>
      </c>
      <c r="I10" s="254">
        <f t="shared" si="0"/>
        <v>768.318006575214</v>
      </c>
      <c r="J10" s="254">
        <f t="shared" si="0"/>
        <v>4328.57457161965</v>
      </c>
      <c r="K10" s="254">
        <f t="shared" si="0"/>
        <v>768.318006575214</v>
      </c>
      <c r="L10" s="254">
        <f t="shared" si="0"/>
        <v>2481.98831816469</v>
      </c>
      <c r="M10" s="254">
        <f t="shared" ref="M10:U10" si="1">SUM(M11:M18)</f>
        <v>768.318006575214</v>
      </c>
      <c r="N10" s="254">
        <f t="shared" si="1"/>
        <v>0</v>
      </c>
      <c r="O10" s="254">
        <f t="shared" si="1"/>
        <v>768.318006575214</v>
      </c>
      <c r="P10" s="254">
        <f t="shared" si="1"/>
        <v>0</v>
      </c>
      <c r="Q10" s="254">
        <f t="shared" si="1"/>
        <v>768.318006575214</v>
      </c>
      <c r="R10" s="254">
        <f t="shared" si="1"/>
        <v>0</v>
      </c>
      <c r="S10" s="254">
        <f t="shared" si="1"/>
        <v>768.318006575214</v>
      </c>
      <c r="T10" s="254">
        <f t="shared" si="1"/>
        <v>0</v>
      </c>
      <c r="U10" s="254">
        <f t="shared" si="1"/>
        <v>768.318006575214</v>
      </c>
      <c r="V10" s="254">
        <f t="shared" si="0"/>
        <v>0</v>
      </c>
      <c r="W10" s="254">
        <f t="shared" si="0"/>
        <v>768.318006575214</v>
      </c>
      <c r="X10" s="254">
        <f t="shared" si="0"/>
        <v>0</v>
      </c>
      <c r="Y10" s="254">
        <f t="shared" si="0"/>
        <v>768.318006575214</v>
      </c>
      <c r="Z10" s="254">
        <f t="shared" si="0"/>
        <v>45.1194749361294</v>
      </c>
      <c r="AA10" s="254">
        <f t="shared" si="0"/>
        <v>768.318006575214</v>
      </c>
      <c r="AB10" s="254">
        <f t="shared" si="0"/>
        <v>0</v>
      </c>
      <c r="AC10" s="254">
        <f t="shared" si="0"/>
        <v>0</v>
      </c>
      <c r="AD10" s="254">
        <f t="shared" si="0"/>
        <v>0</v>
      </c>
      <c r="AE10" s="254">
        <f t="shared" si="0"/>
        <v>0</v>
      </c>
      <c r="AF10" s="254">
        <f t="shared" ref="AF10:AG10" si="2">SUM(AF11:AF18)</f>
        <v>0</v>
      </c>
      <c r="AG10" s="254">
        <f t="shared" si="2"/>
        <v>0</v>
      </c>
      <c r="AH10" s="254">
        <f t="shared" ref="AH10:AI10" si="3">SUM(AH11:AH18)</f>
        <v>0</v>
      </c>
      <c r="AI10" s="254">
        <f t="shared" si="3"/>
        <v>0</v>
      </c>
      <c r="AJ10" s="254">
        <f t="shared" ref="AJ10" si="4">SUM(AJ11:AJ18)</f>
        <v>0</v>
      </c>
      <c r="AK10" s="291"/>
      <c r="AL10" s="292">
        <f>H10+J10+L10+Z10+AH10+AJ10</f>
        <v>7265.09674920221</v>
      </c>
      <c r="AM10" s="293"/>
      <c r="AN10" s="294"/>
      <c r="AO10" s="294"/>
      <c r="AP10" s="294"/>
      <c r="AQ10" s="294"/>
      <c r="AR10" s="294"/>
      <c r="AS10" s="294"/>
      <c r="AT10" s="294"/>
      <c r="AU10" s="294"/>
      <c r="AV10" s="294"/>
      <c r="AW10" s="294"/>
      <c r="AX10" s="294"/>
      <c r="AY10" s="294"/>
    </row>
    <row r="11" customHeight="1" outlineLevel="1" collapsed="1" spans="1:51">
      <c r="A11" s="255" t="s">
        <v>147</v>
      </c>
      <c r="B11" s="255" t="s">
        <v>148</v>
      </c>
      <c r="C11" s="250">
        <f t="shared" ref="C11:C18" si="5">D11/$C$8</f>
        <v>520.071373525342</v>
      </c>
      <c r="D11" s="256">
        <f>项目概况!B14</f>
        <v>6964.6382526252</v>
      </c>
      <c r="E11" s="250">
        <f>F11/$E$8</f>
        <v>736.543113395163</v>
      </c>
      <c r="F11" s="250">
        <f>D11</f>
        <v>6964.6382526252</v>
      </c>
      <c r="G11" s="250">
        <f t="shared" ref="G11:G18" si="6">$E11</f>
        <v>736.543113395163</v>
      </c>
      <c r="H11" s="250">
        <f t="shared" ref="H11:L11" si="7">G11*G$8</f>
        <v>392.482465377994</v>
      </c>
      <c r="I11" s="250">
        <f t="shared" ref="I11:I18" si="8">$E11</f>
        <v>736.543113395163</v>
      </c>
      <c r="J11" s="250">
        <f t="shared" si="7"/>
        <v>4149.5601616253</v>
      </c>
      <c r="K11" s="250">
        <f t="shared" ref="K11:K18" si="9">$E11</f>
        <v>736.543113395163</v>
      </c>
      <c r="L11" s="250">
        <f t="shared" si="7"/>
        <v>2379.34213128778</v>
      </c>
      <c r="M11" s="250">
        <f>$E11</f>
        <v>736.543113395163</v>
      </c>
      <c r="N11" s="250">
        <f t="shared" ref="N11:R11" si="10">M11*M$8</f>
        <v>0</v>
      </c>
      <c r="O11" s="250">
        <f>$E11</f>
        <v>736.543113395163</v>
      </c>
      <c r="P11" s="250">
        <f t="shared" si="10"/>
        <v>0</v>
      </c>
      <c r="Q11" s="250">
        <f>$E11</f>
        <v>736.543113395163</v>
      </c>
      <c r="R11" s="250">
        <f t="shared" si="10"/>
        <v>0</v>
      </c>
      <c r="S11" s="250">
        <f>$E11</f>
        <v>736.543113395163</v>
      </c>
      <c r="T11" s="250">
        <f t="shared" ref="T11:X11" si="11">S11*S$8</f>
        <v>0</v>
      </c>
      <c r="U11" s="250">
        <f t="shared" ref="U11:U18" si="12">$E11</f>
        <v>736.543113395163</v>
      </c>
      <c r="V11" s="250">
        <f t="shared" si="11"/>
        <v>0</v>
      </c>
      <c r="W11" s="250">
        <f t="shared" ref="W11:W18" si="13">$E11</f>
        <v>736.543113395163</v>
      </c>
      <c r="X11" s="250">
        <f t="shared" si="11"/>
        <v>0</v>
      </c>
      <c r="Y11" s="250">
        <f t="shared" ref="Y11:Y18" si="14">$E11</f>
        <v>736.543113395163</v>
      </c>
      <c r="Z11" s="250">
        <f>Y11*Y$8</f>
        <v>43.2534943341309</v>
      </c>
      <c r="AA11" s="250">
        <f t="shared" ref="AA11:AA18" si="15">$E11</f>
        <v>736.543113395163</v>
      </c>
      <c r="AB11" s="250">
        <f>AA11*AA$8</f>
        <v>0</v>
      </c>
      <c r="AC11" s="250">
        <f>AD11/$AC$8</f>
        <v>0</v>
      </c>
      <c r="AD11" s="250">
        <f>D11-F11</f>
        <v>0</v>
      </c>
      <c r="AE11" s="250">
        <f>AC11</f>
        <v>0</v>
      </c>
      <c r="AF11" s="250">
        <f t="shared" ref="AF11:AJ11" si="16">AE11*AE$8</f>
        <v>0</v>
      </c>
      <c r="AG11" s="250">
        <f>AC11</f>
        <v>0</v>
      </c>
      <c r="AH11" s="250">
        <f t="shared" si="16"/>
        <v>0</v>
      </c>
      <c r="AI11" s="250">
        <f>AC11</f>
        <v>0</v>
      </c>
      <c r="AJ11" s="250">
        <f t="shared" si="16"/>
        <v>0</v>
      </c>
      <c r="AK11" s="295"/>
      <c r="AL11" s="292">
        <f t="shared" ref="AL11:AL42" si="17">H11+J11+L11+Z11+AH11+AJ11</f>
        <v>6964.6382526252</v>
      </c>
      <c r="AM11" s="290"/>
      <c r="AN11" s="288"/>
      <c r="AO11" s="288"/>
      <c r="AP11" s="288"/>
      <c r="AQ11" s="288"/>
      <c r="AR11" s="288"/>
      <c r="AS11" s="288"/>
      <c r="AT11" s="288"/>
      <c r="AU11" s="288"/>
      <c r="AV11" s="288"/>
      <c r="AW11" s="288"/>
      <c r="AX11" s="288"/>
      <c r="AY11" s="288"/>
    </row>
    <row r="12" customHeight="1" outlineLevel="1" spans="1:51">
      <c r="A12" s="255" t="s">
        <v>149</v>
      </c>
      <c r="B12" s="255" t="s">
        <v>150</v>
      </c>
      <c r="C12" s="250">
        <f t="shared" si="5"/>
        <v>20.8028549410137</v>
      </c>
      <c r="D12" s="256">
        <f>D11*0.04</f>
        <v>278.585530105008</v>
      </c>
      <c r="E12" s="250">
        <f>F12/$E$8</f>
        <v>29.4617245358065</v>
      </c>
      <c r="F12" s="250">
        <f>D12</f>
        <v>278.585530105008</v>
      </c>
      <c r="G12" s="250">
        <f t="shared" si="6"/>
        <v>29.4617245358065</v>
      </c>
      <c r="H12" s="250">
        <f t="shared" ref="H12:L12" si="18">G12*G$8</f>
        <v>15.6992986151198</v>
      </c>
      <c r="I12" s="250">
        <f t="shared" si="8"/>
        <v>29.4617245358065</v>
      </c>
      <c r="J12" s="250">
        <f t="shared" si="18"/>
        <v>165.982406465012</v>
      </c>
      <c r="K12" s="250">
        <f t="shared" si="9"/>
        <v>29.4617245358065</v>
      </c>
      <c r="L12" s="250">
        <f t="shared" si="18"/>
        <v>95.173685251511</v>
      </c>
      <c r="M12" s="250">
        <f>$E12</f>
        <v>29.4617245358065</v>
      </c>
      <c r="N12" s="250">
        <f t="shared" ref="N12:R12" si="19">M12*M$8</f>
        <v>0</v>
      </c>
      <c r="O12" s="250">
        <f>$E12</f>
        <v>29.4617245358065</v>
      </c>
      <c r="P12" s="250">
        <f t="shared" si="19"/>
        <v>0</v>
      </c>
      <c r="Q12" s="250">
        <f>$E12</f>
        <v>29.4617245358065</v>
      </c>
      <c r="R12" s="250">
        <f t="shared" si="19"/>
        <v>0</v>
      </c>
      <c r="S12" s="250">
        <f>$E12</f>
        <v>29.4617245358065</v>
      </c>
      <c r="T12" s="250">
        <f t="shared" ref="T12:X12" si="20">S12*S$8</f>
        <v>0</v>
      </c>
      <c r="U12" s="250">
        <f t="shared" si="12"/>
        <v>29.4617245358065</v>
      </c>
      <c r="V12" s="250">
        <f t="shared" si="20"/>
        <v>0</v>
      </c>
      <c r="W12" s="250">
        <f t="shared" si="13"/>
        <v>29.4617245358065</v>
      </c>
      <c r="X12" s="250">
        <f t="shared" si="20"/>
        <v>0</v>
      </c>
      <c r="Y12" s="250">
        <f t="shared" si="14"/>
        <v>29.4617245358065</v>
      </c>
      <c r="Z12" s="250">
        <f>Y12*Y$8</f>
        <v>1.73013977336524</v>
      </c>
      <c r="AA12" s="250">
        <f t="shared" si="15"/>
        <v>29.4617245358065</v>
      </c>
      <c r="AB12" s="250">
        <f>AA12*AA$8</f>
        <v>0</v>
      </c>
      <c r="AC12" s="250">
        <f>AD12/$AC$8</f>
        <v>0</v>
      </c>
      <c r="AD12" s="250">
        <f>D12-F12</f>
        <v>0</v>
      </c>
      <c r="AE12" s="250">
        <f>AC12</f>
        <v>0</v>
      </c>
      <c r="AF12" s="250">
        <f t="shared" ref="AF12:AJ12" si="21">AE12*AE$8</f>
        <v>0</v>
      </c>
      <c r="AG12" s="250">
        <f>AC12</f>
        <v>0</v>
      </c>
      <c r="AH12" s="250">
        <f t="shared" si="21"/>
        <v>0</v>
      </c>
      <c r="AI12" s="250">
        <f>AC12</f>
        <v>0</v>
      </c>
      <c r="AJ12" s="250">
        <f t="shared" si="21"/>
        <v>0</v>
      </c>
      <c r="AK12" s="295"/>
      <c r="AL12" s="292">
        <f t="shared" si="17"/>
        <v>278.585530105008</v>
      </c>
      <c r="AM12" s="290"/>
      <c r="AN12" s="288"/>
      <c r="AO12" s="288"/>
      <c r="AP12" s="288"/>
      <c r="AQ12" s="288"/>
      <c r="AR12" s="288"/>
      <c r="AS12" s="288"/>
      <c r="AT12" s="288"/>
      <c r="AU12" s="288"/>
      <c r="AV12" s="288"/>
      <c r="AW12" s="288"/>
      <c r="AX12" s="288"/>
      <c r="AY12" s="288"/>
    </row>
    <row r="13" customHeight="1" outlineLevel="1" collapsed="1" spans="1:51">
      <c r="A13" s="255" t="s">
        <v>151</v>
      </c>
      <c r="B13" s="255" t="s">
        <v>152</v>
      </c>
      <c r="C13" s="250">
        <f t="shared" si="5"/>
        <v>0</v>
      </c>
      <c r="D13" s="256"/>
      <c r="E13" s="250">
        <f t="shared" ref="E13:E18" si="22">F13/$E$8</f>
        <v>0</v>
      </c>
      <c r="F13" s="250">
        <f>D13</f>
        <v>0</v>
      </c>
      <c r="G13" s="250">
        <f t="shared" si="6"/>
        <v>0</v>
      </c>
      <c r="H13" s="250">
        <f t="shared" ref="H13:H18" si="23">G13*G$8</f>
        <v>0</v>
      </c>
      <c r="I13" s="250">
        <f t="shared" si="8"/>
        <v>0</v>
      </c>
      <c r="J13" s="250">
        <f t="shared" ref="J13:J18" si="24">I13*I$8</f>
        <v>0</v>
      </c>
      <c r="K13" s="250">
        <f t="shared" si="9"/>
        <v>0</v>
      </c>
      <c r="L13" s="250">
        <f t="shared" ref="L13:L18" si="25">K13*K$8</f>
        <v>0</v>
      </c>
      <c r="M13" s="250">
        <f t="shared" ref="M13:M18" si="26">$E13</f>
        <v>0</v>
      </c>
      <c r="N13" s="250">
        <f t="shared" ref="N13:N18" si="27">M13*M$8</f>
        <v>0</v>
      </c>
      <c r="O13" s="250">
        <f t="shared" ref="O13:O18" si="28">$E13</f>
        <v>0</v>
      </c>
      <c r="P13" s="250">
        <f t="shared" ref="P13:P18" si="29">O13*O$8</f>
        <v>0</v>
      </c>
      <c r="Q13" s="250">
        <f t="shared" ref="Q13:Q18" si="30">$E13</f>
        <v>0</v>
      </c>
      <c r="R13" s="250">
        <f t="shared" ref="R13:R18" si="31">Q13*Q$8</f>
        <v>0</v>
      </c>
      <c r="S13" s="250">
        <f t="shared" ref="S13:S18" si="32">$E13</f>
        <v>0</v>
      </c>
      <c r="T13" s="250">
        <f t="shared" ref="T13:T18" si="33">S13*S$8</f>
        <v>0</v>
      </c>
      <c r="U13" s="250">
        <f t="shared" si="12"/>
        <v>0</v>
      </c>
      <c r="V13" s="250">
        <f t="shared" ref="V13:V18" si="34">U13*U$8</f>
        <v>0</v>
      </c>
      <c r="W13" s="250">
        <f t="shared" si="13"/>
        <v>0</v>
      </c>
      <c r="X13" s="250">
        <f t="shared" ref="X13:X18" si="35">W13*W$8</f>
        <v>0</v>
      </c>
      <c r="Y13" s="250">
        <f t="shared" si="14"/>
        <v>0</v>
      </c>
      <c r="Z13" s="250">
        <f t="shared" ref="Z13:Z18" si="36">Y13*Y$8</f>
        <v>0</v>
      </c>
      <c r="AA13" s="250">
        <f t="shared" si="15"/>
        <v>0</v>
      </c>
      <c r="AB13" s="250">
        <f t="shared" ref="AB13:AB18" si="37">AA13*AA$8</f>
        <v>0</v>
      </c>
      <c r="AC13" s="250">
        <f t="shared" ref="AC13:AC18" si="38">AD13/$AC$8</f>
        <v>0</v>
      </c>
      <c r="AD13" s="250">
        <f t="shared" ref="AD13:AD18" si="39">D13-F13</f>
        <v>0</v>
      </c>
      <c r="AE13" s="250">
        <f t="shared" ref="AE13:AE18" si="40">AC13</f>
        <v>0</v>
      </c>
      <c r="AF13" s="250">
        <f t="shared" ref="AF13:AH18" si="41">AE13*AE$8</f>
        <v>0</v>
      </c>
      <c r="AG13" s="250">
        <f t="shared" ref="AG13:AG18" si="42">AC13</f>
        <v>0</v>
      </c>
      <c r="AH13" s="250">
        <f t="shared" si="41"/>
        <v>0</v>
      </c>
      <c r="AI13" s="250">
        <f t="shared" ref="AI13:AI18" si="43">AC13</f>
        <v>0</v>
      </c>
      <c r="AJ13" s="250">
        <f t="shared" ref="AJ13" si="44">AI13*AI$8</f>
        <v>0</v>
      </c>
      <c r="AK13" s="295"/>
      <c r="AL13" s="292">
        <f t="shared" si="17"/>
        <v>0</v>
      </c>
      <c r="AM13" s="290"/>
      <c r="AN13" s="288"/>
      <c r="AO13" s="288"/>
      <c r="AP13" s="288"/>
      <c r="AQ13" s="288"/>
      <c r="AR13" s="288"/>
      <c r="AS13" s="288"/>
      <c r="AT13" s="288"/>
      <c r="AU13" s="288"/>
      <c r="AV13" s="288"/>
      <c r="AW13" s="288"/>
      <c r="AX13" s="288"/>
      <c r="AY13" s="288"/>
    </row>
    <row r="14" customHeight="1" outlineLevel="1" spans="1:51">
      <c r="A14" s="255" t="s">
        <v>153</v>
      </c>
      <c r="B14" s="255" t="s">
        <v>154</v>
      </c>
      <c r="C14" s="250">
        <f t="shared" si="5"/>
        <v>0</v>
      </c>
      <c r="D14" s="256"/>
      <c r="E14" s="250">
        <f t="shared" si="22"/>
        <v>0</v>
      </c>
      <c r="F14" s="250">
        <f t="shared" ref="F14:F18" si="45">D14</f>
        <v>0</v>
      </c>
      <c r="G14" s="250">
        <f t="shared" si="6"/>
        <v>0</v>
      </c>
      <c r="H14" s="250">
        <f t="shared" si="23"/>
        <v>0</v>
      </c>
      <c r="I14" s="250">
        <f t="shared" si="8"/>
        <v>0</v>
      </c>
      <c r="J14" s="250">
        <f t="shared" si="24"/>
        <v>0</v>
      </c>
      <c r="K14" s="250">
        <f t="shared" si="9"/>
        <v>0</v>
      </c>
      <c r="L14" s="250">
        <f t="shared" si="25"/>
        <v>0</v>
      </c>
      <c r="M14" s="250">
        <f t="shared" si="26"/>
        <v>0</v>
      </c>
      <c r="N14" s="250">
        <f t="shared" si="27"/>
        <v>0</v>
      </c>
      <c r="O14" s="250">
        <f t="shared" si="28"/>
        <v>0</v>
      </c>
      <c r="P14" s="250">
        <f t="shared" si="29"/>
        <v>0</v>
      </c>
      <c r="Q14" s="250">
        <f t="shared" si="30"/>
        <v>0</v>
      </c>
      <c r="R14" s="250">
        <f t="shared" si="31"/>
        <v>0</v>
      </c>
      <c r="S14" s="250">
        <f t="shared" si="32"/>
        <v>0</v>
      </c>
      <c r="T14" s="250">
        <f t="shared" si="33"/>
        <v>0</v>
      </c>
      <c r="U14" s="250">
        <f t="shared" si="12"/>
        <v>0</v>
      </c>
      <c r="V14" s="250">
        <f t="shared" si="34"/>
        <v>0</v>
      </c>
      <c r="W14" s="250">
        <f t="shared" si="13"/>
        <v>0</v>
      </c>
      <c r="X14" s="250">
        <f t="shared" si="35"/>
        <v>0</v>
      </c>
      <c r="Y14" s="250">
        <f t="shared" si="14"/>
        <v>0</v>
      </c>
      <c r="Z14" s="250">
        <f t="shared" si="36"/>
        <v>0</v>
      </c>
      <c r="AA14" s="250">
        <f t="shared" si="15"/>
        <v>0</v>
      </c>
      <c r="AB14" s="250">
        <f t="shared" si="37"/>
        <v>0</v>
      </c>
      <c r="AC14" s="250">
        <f t="shared" si="38"/>
        <v>0</v>
      </c>
      <c r="AD14" s="250">
        <f t="shared" si="39"/>
        <v>0</v>
      </c>
      <c r="AE14" s="250">
        <f t="shared" si="40"/>
        <v>0</v>
      </c>
      <c r="AF14" s="250">
        <f t="shared" si="41"/>
        <v>0</v>
      </c>
      <c r="AG14" s="250">
        <f t="shared" si="42"/>
        <v>0</v>
      </c>
      <c r="AH14" s="250">
        <f t="shared" si="41"/>
        <v>0</v>
      </c>
      <c r="AI14" s="250">
        <f t="shared" si="43"/>
        <v>0</v>
      </c>
      <c r="AJ14" s="250">
        <f t="shared" ref="AJ14" si="46">AI14*AI$8</f>
        <v>0</v>
      </c>
      <c r="AK14" s="295"/>
      <c r="AL14" s="292">
        <f t="shared" si="17"/>
        <v>0</v>
      </c>
      <c r="AM14" s="290"/>
      <c r="AN14" s="288"/>
      <c r="AO14" s="288"/>
      <c r="AP14" s="288"/>
      <c r="AQ14" s="288"/>
      <c r="AR14" s="288"/>
      <c r="AS14" s="288"/>
      <c r="AT14" s="288"/>
      <c r="AU14" s="288"/>
      <c r="AV14" s="288"/>
      <c r="AW14" s="288"/>
      <c r="AX14" s="288"/>
      <c r="AY14" s="288"/>
    </row>
    <row r="15" customHeight="1" outlineLevel="1" spans="1:51">
      <c r="A15" s="255" t="s">
        <v>155</v>
      </c>
      <c r="B15" s="255" t="s">
        <v>156</v>
      </c>
      <c r="C15" s="250">
        <f t="shared" si="5"/>
        <v>0</v>
      </c>
      <c r="D15" s="256"/>
      <c r="E15" s="250">
        <f t="shared" si="22"/>
        <v>0</v>
      </c>
      <c r="F15" s="250">
        <f t="shared" si="45"/>
        <v>0</v>
      </c>
      <c r="G15" s="250">
        <f t="shared" si="6"/>
        <v>0</v>
      </c>
      <c r="H15" s="250">
        <f t="shared" si="23"/>
        <v>0</v>
      </c>
      <c r="I15" s="250">
        <f t="shared" si="8"/>
        <v>0</v>
      </c>
      <c r="J15" s="250">
        <f t="shared" si="24"/>
        <v>0</v>
      </c>
      <c r="K15" s="250">
        <f t="shared" si="9"/>
        <v>0</v>
      </c>
      <c r="L15" s="250">
        <f t="shared" si="25"/>
        <v>0</v>
      </c>
      <c r="M15" s="250">
        <f t="shared" si="26"/>
        <v>0</v>
      </c>
      <c r="N15" s="250">
        <f t="shared" si="27"/>
        <v>0</v>
      </c>
      <c r="O15" s="250">
        <f t="shared" si="28"/>
        <v>0</v>
      </c>
      <c r="P15" s="250">
        <f t="shared" si="29"/>
        <v>0</v>
      </c>
      <c r="Q15" s="250">
        <f t="shared" si="30"/>
        <v>0</v>
      </c>
      <c r="R15" s="250">
        <f t="shared" si="31"/>
        <v>0</v>
      </c>
      <c r="S15" s="250">
        <f t="shared" si="32"/>
        <v>0</v>
      </c>
      <c r="T15" s="250">
        <f t="shared" si="33"/>
        <v>0</v>
      </c>
      <c r="U15" s="250">
        <f t="shared" si="12"/>
        <v>0</v>
      </c>
      <c r="V15" s="250">
        <f t="shared" si="34"/>
        <v>0</v>
      </c>
      <c r="W15" s="250">
        <f t="shared" si="13"/>
        <v>0</v>
      </c>
      <c r="X15" s="250">
        <f t="shared" si="35"/>
        <v>0</v>
      </c>
      <c r="Y15" s="250">
        <f t="shared" si="14"/>
        <v>0</v>
      </c>
      <c r="Z15" s="250">
        <f t="shared" si="36"/>
        <v>0</v>
      </c>
      <c r="AA15" s="250">
        <f t="shared" si="15"/>
        <v>0</v>
      </c>
      <c r="AB15" s="250">
        <f t="shared" si="37"/>
        <v>0</v>
      </c>
      <c r="AC15" s="250">
        <f t="shared" si="38"/>
        <v>0</v>
      </c>
      <c r="AD15" s="250">
        <f t="shared" si="39"/>
        <v>0</v>
      </c>
      <c r="AE15" s="250">
        <f t="shared" si="40"/>
        <v>0</v>
      </c>
      <c r="AF15" s="250">
        <f t="shared" si="41"/>
        <v>0</v>
      </c>
      <c r="AG15" s="250">
        <f t="shared" si="42"/>
        <v>0</v>
      </c>
      <c r="AH15" s="250">
        <f t="shared" si="41"/>
        <v>0</v>
      </c>
      <c r="AI15" s="250">
        <f t="shared" si="43"/>
        <v>0</v>
      </c>
      <c r="AJ15" s="250">
        <f t="shared" ref="AJ15" si="47">AI15*AI$8</f>
        <v>0</v>
      </c>
      <c r="AK15" s="295"/>
      <c r="AL15" s="292">
        <f t="shared" si="17"/>
        <v>0</v>
      </c>
      <c r="AM15" s="290"/>
      <c r="AN15" s="288"/>
      <c r="AO15" s="288"/>
      <c r="AP15" s="288"/>
      <c r="AQ15" s="288"/>
      <c r="AR15" s="288"/>
      <c r="AS15" s="288"/>
      <c r="AT15" s="288"/>
      <c r="AU15" s="288"/>
      <c r="AV15" s="288"/>
      <c r="AW15" s="288"/>
      <c r="AX15" s="288"/>
      <c r="AY15" s="288"/>
    </row>
    <row r="16" ht="27.95" customHeight="1" outlineLevel="1" spans="1:51">
      <c r="A16" s="255" t="s">
        <v>157</v>
      </c>
      <c r="B16" s="255" t="s">
        <v>158</v>
      </c>
      <c r="C16" s="250">
        <f t="shared" si="5"/>
        <v>1.63332298154595</v>
      </c>
      <c r="D16" s="256">
        <f>经济指标!E6*4.662/10000</f>
        <v>21.872966472</v>
      </c>
      <c r="E16" s="250">
        <f t="shared" si="22"/>
        <v>2.31316864424399</v>
      </c>
      <c r="F16" s="250">
        <f t="shared" si="45"/>
        <v>21.872966472</v>
      </c>
      <c r="G16" s="250">
        <f t="shared" si="6"/>
        <v>2.31316864424399</v>
      </c>
      <c r="H16" s="250">
        <f t="shared" si="23"/>
        <v>1.23262048862694</v>
      </c>
      <c r="I16" s="250">
        <f t="shared" si="8"/>
        <v>2.31316864424399</v>
      </c>
      <c r="J16" s="250">
        <f t="shared" si="24"/>
        <v>13.0320035293384</v>
      </c>
      <c r="K16" s="250">
        <f t="shared" si="9"/>
        <v>2.31316864424399</v>
      </c>
      <c r="L16" s="250">
        <f t="shared" si="25"/>
        <v>7.4725016254014</v>
      </c>
      <c r="M16" s="250">
        <f t="shared" si="26"/>
        <v>2.31316864424399</v>
      </c>
      <c r="N16" s="250">
        <f t="shared" si="27"/>
        <v>0</v>
      </c>
      <c r="O16" s="250">
        <f t="shared" si="28"/>
        <v>2.31316864424399</v>
      </c>
      <c r="P16" s="250">
        <f t="shared" si="29"/>
        <v>0</v>
      </c>
      <c r="Q16" s="250">
        <f t="shared" si="30"/>
        <v>2.31316864424399</v>
      </c>
      <c r="R16" s="250">
        <f t="shared" si="31"/>
        <v>0</v>
      </c>
      <c r="S16" s="250">
        <f t="shared" si="32"/>
        <v>2.31316864424399</v>
      </c>
      <c r="T16" s="250">
        <f t="shared" si="33"/>
        <v>0</v>
      </c>
      <c r="U16" s="250">
        <f t="shared" si="12"/>
        <v>2.31316864424399</v>
      </c>
      <c r="V16" s="250">
        <f t="shared" si="34"/>
        <v>0</v>
      </c>
      <c r="W16" s="250">
        <f t="shared" si="13"/>
        <v>2.31316864424399</v>
      </c>
      <c r="X16" s="250">
        <f t="shared" si="35"/>
        <v>0</v>
      </c>
      <c r="Y16" s="250">
        <f t="shared" si="14"/>
        <v>2.31316864424399</v>
      </c>
      <c r="Z16" s="250">
        <f t="shared" si="36"/>
        <v>0.135840828633228</v>
      </c>
      <c r="AA16" s="250">
        <f t="shared" si="15"/>
        <v>2.31316864424399</v>
      </c>
      <c r="AB16" s="250">
        <f t="shared" si="37"/>
        <v>0</v>
      </c>
      <c r="AC16" s="250">
        <f t="shared" si="38"/>
        <v>0</v>
      </c>
      <c r="AD16" s="250">
        <f t="shared" si="39"/>
        <v>0</v>
      </c>
      <c r="AE16" s="250">
        <f t="shared" si="40"/>
        <v>0</v>
      </c>
      <c r="AF16" s="250">
        <f t="shared" si="41"/>
        <v>0</v>
      </c>
      <c r="AG16" s="250">
        <f t="shared" si="42"/>
        <v>0</v>
      </c>
      <c r="AH16" s="250">
        <f t="shared" si="41"/>
        <v>0</v>
      </c>
      <c r="AI16" s="250">
        <f t="shared" si="43"/>
        <v>0</v>
      </c>
      <c r="AJ16" s="250">
        <f t="shared" ref="AJ16" si="48">AI16*AI$8</f>
        <v>0</v>
      </c>
      <c r="AK16" s="295" t="s">
        <v>159</v>
      </c>
      <c r="AL16" s="292">
        <f t="shared" si="17"/>
        <v>21.872966472</v>
      </c>
      <c r="AM16" s="290"/>
      <c r="AN16" s="288"/>
      <c r="AO16" s="288"/>
      <c r="AP16" s="288"/>
      <c r="AQ16" s="288"/>
      <c r="AR16" s="288"/>
      <c r="AS16" s="288"/>
      <c r="AT16" s="288"/>
      <c r="AU16" s="288"/>
      <c r="AV16" s="288"/>
      <c r="AW16" s="288"/>
      <c r="AX16" s="288"/>
      <c r="AY16" s="288"/>
    </row>
    <row r="17" customHeight="1" outlineLevel="1" spans="1:51">
      <c r="A17" s="255" t="s">
        <v>160</v>
      </c>
      <c r="B17" s="255" t="s">
        <v>161</v>
      </c>
      <c r="C17" s="250">
        <f t="shared" si="5"/>
        <v>0</v>
      </c>
      <c r="D17" s="256"/>
      <c r="E17" s="250">
        <f t="shared" si="22"/>
        <v>0</v>
      </c>
      <c r="F17" s="250">
        <f t="shared" si="45"/>
        <v>0</v>
      </c>
      <c r="G17" s="250">
        <f t="shared" si="6"/>
        <v>0</v>
      </c>
      <c r="H17" s="250">
        <f t="shared" si="23"/>
        <v>0</v>
      </c>
      <c r="I17" s="250">
        <f t="shared" si="8"/>
        <v>0</v>
      </c>
      <c r="J17" s="250">
        <f t="shared" si="24"/>
        <v>0</v>
      </c>
      <c r="K17" s="250">
        <f t="shared" si="9"/>
        <v>0</v>
      </c>
      <c r="L17" s="250">
        <f t="shared" si="25"/>
        <v>0</v>
      </c>
      <c r="M17" s="250">
        <f t="shared" si="26"/>
        <v>0</v>
      </c>
      <c r="N17" s="250">
        <f t="shared" si="27"/>
        <v>0</v>
      </c>
      <c r="O17" s="250">
        <f t="shared" si="28"/>
        <v>0</v>
      </c>
      <c r="P17" s="250">
        <f t="shared" si="29"/>
        <v>0</v>
      </c>
      <c r="Q17" s="250">
        <f t="shared" si="30"/>
        <v>0</v>
      </c>
      <c r="R17" s="250">
        <f t="shared" si="31"/>
        <v>0</v>
      </c>
      <c r="S17" s="250">
        <f t="shared" si="32"/>
        <v>0</v>
      </c>
      <c r="T17" s="250">
        <f t="shared" si="33"/>
        <v>0</v>
      </c>
      <c r="U17" s="250">
        <f t="shared" si="12"/>
        <v>0</v>
      </c>
      <c r="V17" s="250">
        <f t="shared" si="34"/>
        <v>0</v>
      </c>
      <c r="W17" s="250">
        <f t="shared" si="13"/>
        <v>0</v>
      </c>
      <c r="X17" s="250">
        <f t="shared" si="35"/>
        <v>0</v>
      </c>
      <c r="Y17" s="250">
        <f t="shared" si="14"/>
        <v>0</v>
      </c>
      <c r="Z17" s="250">
        <f t="shared" si="36"/>
        <v>0</v>
      </c>
      <c r="AA17" s="250">
        <f t="shared" si="15"/>
        <v>0</v>
      </c>
      <c r="AB17" s="250">
        <f t="shared" si="37"/>
        <v>0</v>
      </c>
      <c r="AC17" s="250">
        <f t="shared" si="38"/>
        <v>0</v>
      </c>
      <c r="AD17" s="250">
        <f t="shared" si="39"/>
        <v>0</v>
      </c>
      <c r="AE17" s="250">
        <f t="shared" si="40"/>
        <v>0</v>
      </c>
      <c r="AF17" s="250">
        <f t="shared" si="41"/>
        <v>0</v>
      </c>
      <c r="AG17" s="250">
        <f t="shared" si="42"/>
        <v>0</v>
      </c>
      <c r="AH17" s="250">
        <f t="shared" si="41"/>
        <v>0</v>
      </c>
      <c r="AI17" s="250">
        <f t="shared" si="43"/>
        <v>0</v>
      </c>
      <c r="AJ17" s="250">
        <f t="shared" ref="AJ17" si="49">AI17*AI$8</f>
        <v>0</v>
      </c>
      <c r="AK17" s="295"/>
      <c r="AL17" s="292">
        <f t="shared" si="17"/>
        <v>0</v>
      </c>
      <c r="AM17" s="290"/>
      <c r="AN17" s="288"/>
      <c r="AO17" s="288"/>
      <c r="AP17" s="288"/>
      <c r="AQ17" s="288"/>
      <c r="AR17" s="288"/>
      <c r="AS17" s="288"/>
      <c r="AT17" s="288"/>
      <c r="AU17" s="288"/>
      <c r="AV17" s="288"/>
      <c r="AW17" s="288"/>
      <c r="AX17" s="288"/>
      <c r="AY17" s="288"/>
    </row>
    <row r="18" customHeight="1" outlineLevel="1" spans="1:51">
      <c r="A18" s="255" t="s">
        <v>162</v>
      </c>
      <c r="B18" s="255" t="s">
        <v>163</v>
      </c>
      <c r="C18" s="250">
        <f t="shared" si="5"/>
        <v>0</v>
      </c>
      <c r="D18" s="256"/>
      <c r="E18" s="250">
        <f t="shared" si="22"/>
        <v>0</v>
      </c>
      <c r="F18" s="250">
        <f t="shared" si="45"/>
        <v>0</v>
      </c>
      <c r="G18" s="250">
        <f t="shared" si="6"/>
        <v>0</v>
      </c>
      <c r="H18" s="250">
        <f t="shared" si="23"/>
        <v>0</v>
      </c>
      <c r="I18" s="250">
        <f t="shared" si="8"/>
        <v>0</v>
      </c>
      <c r="J18" s="250">
        <f t="shared" si="24"/>
        <v>0</v>
      </c>
      <c r="K18" s="250">
        <f t="shared" si="9"/>
        <v>0</v>
      </c>
      <c r="L18" s="250">
        <f t="shared" si="25"/>
        <v>0</v>
      </c>
      <c r="M18" s="250">
        <f t="shared" si="26"/>
        <v>0</v>
      </c>
      <c r="N18" s="250">
        <f t="shared" si="27"/>
        <v>0</v>
      </c>
      <c r="O18" s="250">
        <f t="shared" si="28"/>
        <v>0</v>
      </c>
      <c r="P18" s="250">
        <f t="shared" si="29"/>
        <v>0</v>
      </c>
      <c r="Q18" s="250">
        <f t="shared" si="30"/>
        <v>0</v>
      </c>
      <c r="R18" s="250">
        <f t="shared" si="31"/>
        <v>0</v>
      </c>
      <c r="S18" s="250">
        <f t="shared" si="32"/>
        <v>0</v>
      </c>
      <c r="T18" s="250">
        <f t="shared" si="33"/>
        <v>0</v>
      </c>
      <c r="U18" s="250">
        <f t="shared" si="12"/>
        <v>0</v>
      </c>
      <c r="V18" s="250">
        <f t="shared" si="34"/>
        <v>0</v>
      </c>
      <c r="W18" s="250">
        <f t="shared" si="13"/>
        <v>0</v>
      </c>
      <c r="X18" s="250">
        <f t="shared" si="35"/>
        <v>0</v>
      </c>
      <c r="Y18" s="250">
        <f t="shared" si="14"/>
        <v>0</v>
      </c>
      <c r="Z18" s="250">
        <f t="shared" si="36"/>
        <v>0</v>
      </c>
      <c r="AA18" s="250">
        <f t="shared" si="15"/>
        <v>0</v>
      </c>
      <c r="AB18" s="250">
        <f t="shared" si="37"/>
        <v>0</v>
      </c>
      <c r="AC18" s="250">
        <f t="shared" si="38"/>
        <v>0</v>
      </c>
      <c r="AD18" s="250">
        <f t="shared" si="39"/>
        <v>0</v>
      </c>
      <c r="AE18" s="250">
        <f t="shared" si="40"/>
        <v>0</v>
      </c>
      <c r="AF18" s="250">
        <f t="shared" si="41"/>
        <v>0</v>
      </c>
      <c r="AG18" s="250">
        <f t="shared" si="42"/>
        <v>0</v>
      </c>
      <c r="AH18" s="250">
        <f t="shared" si="41"/>
        <v>0</v>
      </c>
      <c r="AI18" s="250">
        <f t="shared" si="43"/>
        <v>0</v>
      </c>
      <c r="AJ18" s="250">
        <f t="shared" ref="AJ18" si="50">AI18*AI$8</f>
        <v>0</v>
      </c>
      <c r="AK18" s="295"/>
      <c r="AL18" s="292">
        <f t="shared" si="17"/>
        <v>0</v>
      </c>
      <c r="AM18" s="290"/>
      <c r="AN18" s="288"/>
      <c r="AO18" s="288"/>
      <c r="AP18" s="288"/>
      <c r="AQ18" s="288"/>
      <c r="AR18" s="288"/>
      <c r="AS18" s="288"/>
      <c r="AT18" s="288"/>
      <c r="AU18" s="288"/>
      <c r="AV18" s="288"/>
      <c r="AW18" s="288"/>
      <c r="AX18" s="288"/>
      <c r="AY18" s="288"/>
    </row>
    <row r="19" customHeight="1" spans="1:51">
      <c r="A19" s="253" t="s">
        <v>164</v>
      </c>
      <c r="B19" s="253" t="s">
        <v>165</v>
      </c>
      <c r="C19" s="254">
        <f>C20+C25+C29+C38+C52+C70+C71+C72</f>
        <v>252.064776072892</v>
      </c>
      <c r="D19" s="254">
        <f>D20+D25+D29+D38+D52+D70+D71+D72</f>
        <v>3375.57510554102</v>
      </c>
      <c r="E19" s="254">
        <f>E20+E25+E29+E38+E52+E70+E71+E72</f>
        <v>254.406930583575</v>
      </c>
      <c r="F19" s="254">
        <f t="shared" ref="F19:AJ19" si="51">F20+F25+F29+F38+F52+F70+F71+F72</f>
        <v>2405.63275693097</v>
      </c>
      <c r="G19" s="254">
        <f t="shared" si="51"/>
        <v>246.64172145619</v>
      </c>
      <c r="H19" s="254">
        <f t="shared" si="51"/>
        <v>131.428220754081</v>
      </c>
      <c r="I19" s="254">
        <f t="shared" si="51"/>
        <v>246.555226572042</v>
      </c>
      <c r="J19" s="254">
        <f t="shared" si="51"/>
        <v>1389.05072522882</v>
      </c>
      <c r="K19" s="254">
        <f t="shared" si="51"/>
        <v>269.535153934041</v>
      </c>
      <c r="L19" s="254">
        <f t="shared" si="51"/>
        <v>870.711212901298</v>
      </c>
      <c r="M19" s="254">
        <f t="shared" ref="M19:T19" si="52">M20+M25+M29+M38+M52+M70+M71+M72</f>
        <v>213.736109779067</v>
      </c>
      <c r="N19" s="254">
        <f t="shared" si="52"/>
        <v>0</v>
      </c>
      <c r="O19" s="254">
        <f t="shared" si="52"/>
        <v>193.736109779067</v>
      </c>
      <c r="P19" s="254">
        <f t="shared" si="52"/>
        <v>0</v>
      </c>
      <c r="Q19" s="254">
        <f t="shared" si="52"/>
        <v>208.736109779067</v>
      </c>
      <c r="R19" s="254">
        <f t="shared" si="52"/>
        <v>0</v>
      </c>
      <c r="S19" s="254">
        <f t="shared" si="52"/>
        <v>265.736109779067</v>
      </c>
      <c r="T19" s="254">
        <f t="shared" si="52"/>
        <v>0</v>
      </c>
      <c r="U19" s="254">
        <f t="shared" si="51"/>
        <v>258.736109779067</v>
      </c>
      <c r="V19" s="254">
        <f t="shared" si="51"/>
        <v>0</v>
      </c>
      <c r="W19" s="254">
        <f t="shared" si="51"/>
        <v>138.736109779067</v>
      </c>
      <c r="X19" s="254">
        <f t="shared" si="51"/>
        <v>0</v>
      </c>
      <c r="Y19" s="254">
        <f t="shared" si="51"/>
        <v>245.936109779067</v>
      </c>
      <c r="Z19" s="254">
        <f t="shared" si="51"/>
        <v>14.4425980467757</v>
      </c>
      <c r="AA19" s="254">
        <f t="shared" si="51"/>
        <v>277.736109779067</v>
      </c>
      <c r="AB19" s="254">
        <f t="shared" si="51"/>
        <v>0</v>
      </c>
      <c r="AC19" s="254">
        <f t="shared" si="51"/>
        <v>246.437771300298</v>
      </c>
      <c r="AD19" s="254">
        <f t="shared" si="51"/>
        <v>969.94234861005</v>
      </c>
      <c r="AE19" s="254">
        <f t="shared" si="51"/>
        <v>271.736109779067</v>
      </c>
      <c r="AF19" s="254">
        <f t="shared" si="51"/>
        <v>0</v>
      </c>
      <c r="AG19" s="254">
        <f t="shared" si="51"/>
        <v>248.936109779067</v>
      </c>
      <c r="AH19" s="254">
        <f t="shared" si="51"/>
        <v>163.838545331642</v>
      </c>
      <c r="AI19" s="254">
        <f t="shared" si="51"/>
        <v>245.936109779067</v>
      </c>
      <c r="AJ19" s="254">
        <f t="shared" si="51"/>
        <v>806.103803278409</v>
      </c>
      <c r="AK19" s="295"/>
      <c r="AL19" s="292">
        <f t="shared" si="17"/>
        <v>3375.57510554103</v>
      </c>
      <c r="AM19" s="290"/>
      <c r="AN19" s="288"/>
      <c r="AO19" s="288"/>
      <c r="AP19" s="288"/>
      <c r="AQ19" s="288"/>
      <c r="AR19" s="288"/>
      <c r="AS19" s="288"/>
      <c r="AT19" s="288"/>
      <c r="AU19" s="288"/>
      <c r="AV19" s="288"/>
      <c r="AW19" s="288"/>
      <c r="AX19" s="288"/>
      <c r="AY19" s="288"/>
    </row>
    <row r="20" s="242" customFormat="1" customHeight="1" outlineLevel="1" collapsed="1" spans="1:51">
      <c r="A20" s="257" t="s">
        <v>166</v>
      </c>
      <c r="B20" s="257" t="s">
        <v>167</v>
      </c>
      <c r="C20" s="258">
        <f>SUM(C21:C24)</f>
        <v>24</v>
      </c>
      <c r="D20" s="258">
        <f t="shared" ref="D20:AD20" si="53">SUM(D21:D24)</f>
        <v>321.400728</v>
      </c>
      <c r="E20" s="258">
        <f t="shared" si="53"/>
        <v>24</v>
      </c>
      <c r="F20" s="258">
        <f t="shared" si="53"/>
        <v>226.940304</v>
      </c>
      <c r="G20" s="258">
        <f t="shared" si="53"/>
        <v>24</v>
      </c>
      <c r="H20" s="258">
        <f t="shared" si="53"/>
        <v>12.788904</v>
      </c>
      <c r="I20" s="258">
        <f t="shared" si="53"/>
        <v>24</v>
      </c>
      <c r="J20" s="258">
        <f t="shared" si="53"/>
        <v>135.211968</v>
      </c>
      <c r="K20" s="258">
        <f t="shared" si="53"/>
        <v>24</v>
      </c>
      <c r="L20" s="258">
        <f t="shared" si="53"/>
        <v>77.530032</v>
      </c>
      <c r="M20" s="258">
        <f t="shared" ref="M20:T20" si="54">SUM(M21:M24)</f>
        <v>12</v>
      </c>
      <c r="N20" s="258">
        <f t="shared" si="54"/>
        <v>0</v>
      </c>
      <c r="O20" s="258">
        <f t="shared" si="54"/>
        <v>12</v>
      </c>
      <c r="P20" s="258">
        <f t="shared" si="54"/>
        <v>0</v>
      </c>
      <c r="Q20" s="258">
        <f t="shared" si="54"/>
        <v>12</v>
      </c>
      <c r="R20" s="258">
        <f t="shared" si="54"/>
        <v>0</v>
      </c>
      <c r="S20" s="258">
        <f t="shared" si="54"/>
        <v>12</v>
      </c>
      <c r="T20" s="258">
        <f t="shared" si="54"/>
        <v>0</v>
      </c>
      <c r="U20" s="258">
        <f t="shared" si="53"/>
        <v>12</v>
      </c>
      <c r="V20" s="258">
        <f t="shared" si="53"/>
        <v>0</v>
      </c>
      <c r="W20" s="258">
        <f t="shared" si="53"/>
        <v>12</v>
      </c>
      <c r="X20" s="258">
        <f t="shared" si="53"/>
        <v>0</v>
      </c>
      <c r="Y20" s="258">
        <f t="shared" si="53"/>
        <v>24</v>
      </c>
      <c r="Z20" s="258">
        <f t="shared" si="53"/>
        <v>1.4094</v>
      </c>
      <c r="AA20" s="258">
        <f t="shared" si="53"/>
        <v>24</v>
      </c>
      <c r="AB20" s="258">
        <f t="shared" si="53"/>
        <v>0</v>
      </c>
      <c r="AC20" s="258">
        <f t="shared" si="53"/>
        <v>24</v>
      </c>
      <c r="AD20" s="258">
        <f t="shared" si="53"/>
        <v>94.460424</v>
      </c>
      <c r="AE20" s="258">
        <f t="shared" ref="AE20:AJ20" si="55">SUM(AE21:AE24)</f>
        <v>24</v>
      </c>
      <c r="AF20" s="258">
        <f t="shared" si="55"/>
        <v>0</v>
      </c>
      <c r="AG20" s="258">
        <f t="shared" si="55"/>
        <v>24</v>
      </c>
      <c r="AH20" s="258">
        <f t="shared" si="55"/>
        <v>15.79572</v>
      </c>
      <c r="AI20" s="258">
        <f t="shared" si="55"/>
        <v>24</v>
      </c>
      <c r="AJ20" s="258">
        <f t="shared" si="55"/>
        <v>78.664704</v>
      </c>
      <c r="AK20" s="295"/>
      <c r="AL20" s="292">
        <f t="shared" si="17"/>
        <v>321.400728</v>
      </c>
      <c r="AM20" s="296"/>
      <c r="AN20" s="297"/>
      <c r="AO20" s="297"/>
      <c r="AP20" s="288"/>
      <c r="AQ20" s="297"/>
      <c r="AR20" s="297"/>
      <c r="AS20" s="297"/>
      <c r="AT20" s="297"/>
      <c r="AU20" s="297"/>
      <c r="AV20" s="297"/>
      <c r="AW20" s="297"/>
      <c r="AX20" s="297"/>
      <c r="AY20" s="297"/>
    </row>
    <row r="21" customHeight="1" outlineLevel="2" spans="1:51">
      <c r="A21" s="259" t="s">
        <v>168</v>
      </c>
      <c r="B21" s="259" t="s">
        <v>169</v>
      </c>
      <c r="C21" s="250">
        <f>D21/$C$8</f>
        <v>5</v>
      </c>
      <c r="D21" s="256">
        <f>F21+AD21</f>
        <v>66.958485</v>
      </c>
      <c r="E21" s="250">
        <f>F21/$E$8</f>
        <v>5</v>
      </c>
      <c r="F21" s="250">
        <f>H21+J21+L21+N21+P21+R21+T21+V21+X21+Z21+AB21</f>
        <v>47.27923</v>
      </c>
      <c r="G21" s="260">
        <v>5</v>
      </c>
      <c r="H21" s="250">
        <f>G21*G$8</f>
        <v>2.664355</v>
      </c>
      <c r="I21" s="260">
        <v>5</v>
      </c>
      <c r="J21" s="250">
        <f t="shared" ref="J21" si="56">I21*I$8</f>
        <v>28.16916</v>
      </c>
      <c r="K21" s="260">
        <v>5</v>
      </c>
      <c r="L21" s="250">
        <f>K21*K$8</f>
        <v>16.15209</v>
      </c>
      <c r="M21" s="260">
        <v>5</v>
      </c>
      <c r="N21" s="250">
        <f t="shared" ref="N21:N24" si="57">M21*M$8</f>
        <v>0</v>
      </c>
      <c r="O21" s="260">
        <v>5</v>
      </c>
      <c r="P21" s="250">
        <f t="shared" ref="P21:P24" si="58">O21*O$8</f>
        <v>0</v>
      </c>
      <c r="Q21" s="260">
        <v>5</v>
      </c>
      <c r="R21" s="250">
        <f t="shared" ref="R21:R24" si="59">Q21*Q$8</f>
        <v>0</v>
      </c>
      <c r="S21" s="260">
        <v>5</v>
      </c>
      <c r="T21" s="250">
        <f t="shared" ref="T21:T24" si="60">S21*S$8</f>
        <v>0</v>
      </c>
      <c r="U21" s="260">
        <v>5</v>
      </c>
      <c r="V21" s="250">
        <f t="shared" ref="V21" si="61">U21*U$8</f>
        <v>0</v>
      </c>
      <c r="W21" s="260">
        <v>5</v>
      </c>
      <c r="X21" s="250">
        <f t="shared" ref="X21" si="62">W21*W$8</f>
        <v>0</v>
      </c>
      <c r="Y21" s="260">
        <v>5</v>
      </c>
      <c r="Z21" s="250">
        <f t="shared" ref="Z21" si="63">Y21*Y$8</f>
        <v>0.293625</v>
      </c>
      <c r="AA21" s="260">
        <v>5</v>
      </c>
      <c r="AB21" s="250">
        <f t="shared" ref="AB21" si="64">AA21*AA$8</f>
        <v>0</v>
      </c>
      <c r="AC21" s="250">
        <f>AD21/AC$8</f>
        <v>5</v>
      </c>
      <c r="AD21" s="250">
        <f>AF21+AH21+AJ21</f>
        <v>19.679255</v>
      </c>
      <c r="AE21" s="260">
        <v>5</v>
      </c>
      <c r="AF21" s="250">
        <f t="shared" ref="AF21" si="65">AE21*AE$8</f>
        <v>0</v>
      </c>
      <c r="AG21" s="260">
        <v>5</v>
      </c>
      <c r="AH21" s="250">
        <f t="shared" ref="AH21" si="66">AG21*AG$8</f>
        <v>3.290775</v>
      </c>
      <c r="AI21" s="260">
        <v>5</v>
      </c>
      <c r="AJ21" s="250">
        <f t="shared" ref="AJ21" si="67">AI21*AI$8</f>
        <v>16.38848</v>
      </c>
      <c r="AK21" s="295" t="s">
        <v>170</v>
      </c>
      <c r="AL21" s="292">
        <f t="shared" si="17"/>
        <v>66.958485</v>
      </c>
      <c r="AM21" s="290"/>
      <c r="AN21" s="288"/>
      <c r="AO21" s="288"/>
      <c r="AP21" s="288"/>
      <c r="AQ21" s="288"/>
      <c r="AR21" s="288"/>
      <c r="AS21" s="288"/>
      <c r="AT21" s="288"/>
      <c r="AU21" s="288"/>
      <c r="AV21" s="288"/>
      <c r="AW21" s="288"/>
      <c r="AX21" s="288"/>
      <c r="AY21" s="288"/>
    </row>
    <row r="22" customHeight="1" outlineLevel="2" spans="1:51">
      <c r="A22" s="259" t="s">
        <v>171</v>
      </c>
      <c r="B22" s="259" t="s">
        <v>172</v>
      </c>
      <c r="C22" s="250">
        <f>D22/$C$8</f>
        <v>3</v>
      </c>
      <c r="D22" s="256">
        <f>F22+AD22</f>
        <v>40.175091</v>
      </c>
      <c r="E22" s="250">
        <v>3</v>
      </c>
      <c r="F22" s="250">
        <f>H22+J22+L22+N22+P22+R22+T22+V22+X22+Z22+AB22</f>
        <v>28.367538</v>
      </c>
      <c r="G22" s="260">
        <v>3</v>
      </c>
      <c r="H22" s="250">
        <f>G22*G$8</f>
        <v>1.598613</v>
      </c>
      <c r="I22" s="260">
        <v>3</v>
      </c>
      <c r="J22" s="250">
        <f t="shared" ref="J22" si="68">I22*I$8</f>
        <v>16.901496</v>
      </c>
      <c r="K22" s="260">
        <v>3</v>
      </c>
      <c r="L22" s="250">
        <f t="shared" ref="L22" si="69">K22*K$8</f>
        <v>9.691254</v>
      </c>
      <c r="M22" s="260">
        <v>3</v>
      </c>
      <c r="N22" s="250">
        <f t="shared" si="57"/>
        <v>0</v>
      </c>
      <c r="O22" s="260">
        <v>3</v>
      </c>
      <c r="P22" s="250">
        <f t="shared" si="58"/>
        <v>0</v>
      </c>
      <c r="Q22" s="260">
        <v>3</v>
      </c>
      <c r="R22" s="250">
        <f t="shared" si="59"/>
        <v>0</v>
      </c>
      <c r="S22" s="260">
        <v>3</v>
      </c>
      <c r="T22" s="250">
        <f t="shared" si="60"/>
        <v>0</v>
      </c>
      <c r="U22" s="260">
        <v>3</v>
      </c>
      <c r="V22" s="250">
        <f t="shared" ref="V22" si="70">U22*U$8</f>
        <v>0</v>
      </c>
      <c r="W22" s="260">
        <v>3</v>
      </c>
      <c r="X22" s="250">
        <f t="shared" ref="X22" si="71">W22*W$8</f>
        <v>0</v>
      </c>
      <c r="Y22" s="260">
        <v>3</v>
      </c>
      <c r="Z22" s="250">
        <f t="shared" ref="Z22" si="72">Y22*Y$8</f>
        <v>0.176175</v>
      </c>
      <c r="AA22" s="260">
        <v>3</v>
      </c>
      <c r="AB22" s="250">
        <f t="shared" ref="AB22" si="73">AA22*AA$8</f>
        <v>0</v>
      </c>
      <c r="AC22" s="250">
        <f>AD22/AC$8</f>
        <v>3</v>
      </c>
      <c r="AD22" s="250">
        <f>AF22+AH22+AJ22</f>
        <v>11.807553</v>
      </c>
      <c r="AE22" s="260">
        <v>3</v>
      </c>
      <c r="AF22" s="250">
        <f t="shared" ref="AF22" si="74">AE22*AE$8</f>
        <v>0</v>
      </c>
      <c r="AG22" s="260">
        <v>3</v>
      </c>
      <c r="AH22" s="250">
        <f t="shared" ref="AH22" si="75">AG22*AG$8</f>
        <v>1.974465</v>
      </c>
      <c r="AI22" s="260">
        <v>3</v>
      </c>
      <c r="AJ22" s="250">
        <f t="shared" ref="AJ22" si="76">AI22*AI$8</f>
        <v>9.833088</v>
      </c>
      <c r="AK22" s="295" t="s">
        <v>173</v>
      </c>
      <c r="AL22" s="292">
        <f t="shared" si="17"/>
        <v>40.175091</v>
      </c>
      <c r="AM22" s="290"/>
      <c r="AN22" s="288"/>
      <c r="AO22" s="288"/>
      <c r="AP22" s="288"/>
      <c r="AQ22" s="288"/>
      <c r="AR22" s="288"/>
      <c r="AS22" s="288"/>
      <c r="AT22" s="288"/>
      <c r="AU22" s="288"/>
      <c r="AV22" s="288"/>
      <c r="AW22" s="288"/>
      <c r="AX22" s="288"/>
      <c r="AY22" s="288"/>
    </row>
    <row r="23" customHeight="1" outlineLevel="2" spans="1:51">
      <c r="A23" s="259" t="s">
        <v>174</v>
      </c>
      <c r="B23" s="259" t="s">
        <v>175</v>
      </c>
      <c r="C23" s="250">
        <f>D23/$C$8</f>
        <v>14</v>
      </c>
      <c r="D23" s="256">
        <f>F23+AD23</f>
        <v>187.483758</v>
      </c>
      <c r="E23" s="250">
        <f>F23/$E$8</f>
        <v>14</v>
      </c>
      <c r="F23" s="250">
        <f t="shared" ref="F23:F24" si="77">H23+J23+L23+N23+P23+R23+T23+V23+X23+Z23+AB23</f>
        <v>132.381844</v>
      </c>
      <c r="G23" s="260">
        <v>14</v>
      </c>
      <c r="H23" s="250">
        <f>G23*G$8</f>
        <v>7.460194</v>
      </c>
      <c r="I23" s="260">
        <v>14</v>
      </c>
      <c r="J23" s="250">
        <f t="shared" ref="J23" si="78">I23*I$8</f>
        <v>78.873648</v>
      </c>
      <c r="K23" s="260">
        <v>14</v>
      </c>
      <c r="L23" s="250">
        <f t="shared" ref="L23" si="79">K23*K$8</f>
        <v>45.225852</v>
      </c>
      <c r="M23" s="260">
        <v>2</v>
      </c>
      <c r="N23" s="250">
        <f t="shared" si="57"/>
        <v>0</v>
      </c>
      <c r="O23" s="260">
        <v>2</v>
      </c>
      <c r="P23" s="250">
        <f t="shared" si="58"/>
        <v>0</v>
      </c>
      <c r="Q23" s="260">
        <v>2</v>
      </c>
      <c r="R23" s="250">
        <f t="shared" si="59"/>
        <v>0</v>
      </c>
      <c r="S23" s="260">
        <v>2</v>
      </c>
      <c r="T23" s="250">
        <f t="shared" si="60"/>
        <v>0</v>
      </c>
      <c r="U23" s="260">
        <v>2</v>
      </c>
      <c r="V23" s="250">
        <f t="shared" ref="V23" si="80">U23*U$8</f>
        <v>0</v>
      </c>
      <c r="W23" s="260">
        <v>2</v>
      </c>
      <c r="X23" s="250">
        <f t="shared" ref="X23" si="81">W23*W$8</f>
        <v>0</v>
      </c>
      <c r="Y23" s="260">
        <v>14</v>
      </c>
      <c r="Z23" s="250">
        <f t="shared" ref="Z23" si="82">Y23*Y$8</f>
        <v>0.82215</v>
      </c>
      <c r="AA23" s="260">
        <v>14</v>
      </c>
      <c r="AB23" s="250">
        <f t="shared" ref="AB23" si="83">AA23*AA$8</f>
        <v>0</v>
      </c>
      <c r="AC23" s="250">
        <f>AD23/AC$8</f>
        <v>14</v>
      </c>
      <c r="AD23" s="250">
        <f>AF23+AH23+AJ23</f>
        <v>55.101914</v>
      </c>
      <c r="AE23" s="260">
        <v>14</v>
      </c>
      <c r="AF23" s="250">
        <f t="shared" ref="AF23" si="84">AE23*AE$8</f>
        <v>0</v>
      </c>
      <c r="AG23" s="260">
        <v>14</v>
      </c>
      <c r="AH23" s="250">
        <f t="shared" ref="AH23" si="85">AG23*AG$8</f>
        <v>9.21417</v>
      </c>
      <c r="AI23" s="260">
        <v>14</v>
      </c>
      <c r="AJ23" s="250">
        <f t="shared" ref="AJ23" si="86">AI23*AI$8</f>
        <v>45.887744</v>
      </c>
      <c r="AK23" s="295" t="s">
        <v>176</v>
      </c>
      <c r="AL23" s="292">
        <f t="shared" si="17"/>
        <v>187.483758</v>
      </c>
      <c r="AM23" s="290"/>
      <c r="AN23" s="288"/>
      <c r="AO23" s="288"/>
      <c r="AP23" s="288"/>
      <c r="AQ23" s="288"/>
      <c r="AR23" s="288"/>
      <c r="AS23" s="288"/>
      <c r="AT23" s="288"/>
      <c r="AU23" s="288"/>
      <c r="AV23" s="288"/>
      <c r="AW23" s="288"/>
      <c r="AX23" s="288"/>
      <c r="AY23" s="288"/>
    </row>
    <row r="24" customHeight="1" outlineLevel="2" spans="1:51">
      <c r="A24" s="259" t="s">
        <v>177</v>
      </c>
      <c r="B24" s="259" t="s">
        <v>178</v>
      </c>
      <c r="C24" s="250">
        <f>D24/$C$8</f>
        <v>2</v>
      </c>
      <c r="D24" s="256">
        <f>F24+AD24</f>
        <v>26.783394</v>
      </c>
      <c r="E24" s="250">
        <f>F24/$E$8</f>
        <v>2</v>
      </c>
      <c r="F24" s="250">
        <f t="shared" si="77"/>
        <v>18.911692</v>
      </c>
      <c r="G24" s="260">
        <v>2</v>
      </c>
      <c r="H24" s="250">
        <f>G24*G$8</f>
        <v>1.065742</v>
      </c>
      <c r="I24" s="260">
        <v>2</v>
      </c>
      <c r="J24" s="250">
        <f t="shared" ref="J24" si="87">I24*I$8</f>
        <v>11.267664</v>
      </c>
      <c r="K24" s="260">
        <v>2</v>
      </c>
      <c r="L24" s="250">
        <f t="shared" ref="L24" si="88">K24*K$8</f>
        <v>6.460836</v>
      </c>
      <c r="M24" s="260">
        <v>2</v>
      </c>
      <c r="N24" s="250">
        <f t="shared" si="57"/>
        <v>0</v>
      </c>
      <c r="O24" s="260">
        <v>2</v>
      </c>
      <c r="P24" s="250">
        <f t="shared" si="58"/>
        <v>0</v>
      </c>
      <c r="Q24" s="260">
        <v>2</v>
      </c>
      <c r="R24" s="250">
        <f t="shared" si="59"/>
        <v>0</v>
      </c>
      <c r="S24" s="260">
        <v>2</v>
      </c>
      <c r="T24" s="250">
        <f t="shared" si="60"/>
        <v>0</v>
      </c>
      <c r="U24" s="260">
        <v>2</v>
      </c>
      <c r="V24" s="250">
        <f t="shared" ref="V24" si="89">U24*U$8</f>
        <v>0</v>
      </c>
      <c r="W24" s="260">
        <v>2</v>
      </c>
      <c r="X24" s="250">
        <f t="shared" ref="X24" si="90">W24*W$8</f>
        <v>0</v>
      </c>
      <c r="Y24" s="260">
        <v>2</v>
      </c>
      <c r="Z24" s="250">
        <f t="shared" ref="Z24" si="91">Y24*Y$8</f>
        <v>0.11745</v>
      </c>
      <c r="AA24" s="260">
        <v>2</v>
      </c>
      <c r="AB24" s="250">
        <f t="shared" ref="AB24" si="92">AA24*AA$8</f>
        <v>0</v>
      </c>
      <c r="AC24" s="250">
        <f>AD24/AC$8</f>
        <v>2</v>
      </c>
      <c r="AD24" s="250">
        <f>AF24+AH24+AJ24</f>
        <v>7.87170200000001</v>
      </c>
      <c r="AE24" s="260">
        <v>2</v>
      </c>
      <c r="AF24" s="250">
        <f t="shared" ref="AF24" si="93">AE24*AE$8</f>
        <v>0</v>
      </c>
      <c r="AG24" s="260">
        <v>2</v>
      </c>
      <c r="AH24" s="250">
        <f t="shared" ref="AH24" si="94">AG24*AG$8</f>
        <v>1.31631</v>
      </c>
      <c r="AI24" s="260">
        <v>2</v>
      </c>
      <c r="AJ24" s="250">
        <f t="shared" ref="AJ24" si="95">AI24*AI$8</f>
        <v>6.55539200000001</v>
      </c>
      <c r="AK24" s="295" t="s">
        <v>176</v>
      </c>
      <c r="AL24" s="292">
        <f t="shared" si="17"/>
        <v>26.783394</v>
      </c>
      <c r="AM24" s="290"/>
      <c r="AN24" s="288"/>
      <c r="AO24" s="288"/>
      <c r="AP24" s="288"/>
      <c r="AQ24" s="288"/>
      <c r="AR24" s="288"/>
      <c r="AS24" s="288"/>
      <c r="AT24" s="288"/>
      <c r="AU24" s="288"/>
      <c r="AV24" s="288"/>
      <c r="AW24" s="288"/>
      <c r="AX24" s="288"/>
      <c r="AY24" s="288"/>
    </row>
    <row r="25" customHeight="1" outlineLevel="1" spans="1:51">
      <c r="A25" s="257" t="s">
        <v>179</v>
      </c>
      <c r="B25" s="257" t="s">
        <v>180</v>
      </c>
      <c r="C25" s="258">
        <f>SUM(C26:C28)</f>
        <v>4.10702243337794</v>
      </c>
      <c r="D25" s="258">
        <f t="shared" ref="D25:AA25" si="96">SUM(D26:D28)</f>
        <v>55</v>
      </c>
      <c r="E25" s="258">
        <f t="shared" si="96"/>
        <v>4.10702243337794</v>
      </c>
      <c r="F25" s="258">
        <f t="shared" si="96"/>
        <v>38.835371648567</v>
      </c>
      <c r="G25" s="258">
        <f t="shared" si="96"/>
        <v>4.10702243337794</v>
      </c>
      <c r="H25" s="258">
        <f t="shared" si="96"/>
        <v>2.18851315109653</v>
      </c>
      <c r="I25" s="258">
        <f t="shared" si="96"/>
        <v>4.10702243337794</v>
      </c>
      <c r="J25" s="258">
        <f t="shared" si="96"/>
        <v>23.1382744098825</v>
      </c>
      <c r="K25" s="258">
        <f t="shared" si="96"/>
        <v>4.10702243337794</v>
      </c>
      <c r="L25" s="258">
        <f t="shared" si="96"/>
        <v>13.2673991951879</v>
      </c>
      <c r="M25" s="258">
        <f t="shared" si="96"/>
        <v>4.10702243337794</v>
      </c>
      <c r="N25" s="258">
        <f t="shared" si="96"/>
        <v>0</v>
      </c>
      <c r="O25" s="258">
        <f t="shared" si="96"/>
        <v>4.10702243337794</v>
      </c>
      <c r="P25" s="258">
        <f t="shared" si="96"/>
        <v>0</v>
      </c>
      <c r="Q25" s="258">
        <f t="shared" si="96"/>
        <v>4.10702243337794</v>
      </c>
      <c r="R25" s="258">
        <f t="shared" si="96"/>
        <v>0</v>
      </c>
      <c r="S25" s="258">
        <f t="shared" si="96"/>
        <v>4.10702243337794</v>
      </c>
      <c r="T25" s="258">
        <f t="shared" si="96"/>
        <v>0</v>
      </c>
      <c r="U25" s="258">
        <f t="shared" si="96"/>
        <v>4.10702243337794</v>
      </c>
      <c r="V25" s="258">
        <f t="shared" si="96"/>
        <v>0</v>
      </c>
      <c r="W25" s="258">
        <f t="shared" si="96"/>
        <v>4.10702243337794</v>
      </c>
      <c r="X25" s="258">
        <f t="shared" si="96"/>
        <v>0</v>
      </c>
      <c r="Y25" s="258">
        <f t="shared" si="96"/>
        <v>4.10702243337794</v>
      </c>
      <c r="Z25" s="258">
        <f t="shared" si="96"/>
        <v>0.24118489240012</v>
      </c>
      <c r="AA25" s="258">
        <f t="shared" si="96"/>
        <v>4.10702243337794</v>
      </c>
      <c r="AB25" s="258">
        <f t="shared" ref="AB25" si="97">SUM(AB26:AB28)</f>
        <v>0</v>
      </c>
      <c r="AC25" s="258">
        <f t="shared" ref="AC25" si="98">SUM(AC26:AC28)</f>
        <v>4.10702243337794</v>
      </c>
      <c r="AD25" s="258">
        <f t="shared" ref="AD25" si="99">SUM(AD26:AD28)</f>
        <v>16.164628351433</v>
      </c>
      <c r="AE25" s="258">
        <f t="shared" ref="AE25" si="100">SUM(AE26:AE28)</f>
        <v>4.10702243337794</v>
      </c>
      <c r="AF25" s="258">
        <f t="shared" ref="AF25" si="101">SUM(AF26:AF28)</f>
        <v>0</v>
      </c>
      <c r="AG25" s="258">
        <f t="shared" ref="AG25" si="102">SUM(AG26:AG28)</f>
        <v>4.10702243337794</v>
      </c>
      <c r="AH25" s="258">
        <f t="shared" ref="AH25" si="103">SUM(AH26:AH28)</f>
        <v>2.70305734963985</v>
      </c>
      <c r="AI25" s="258">
        <f t="shared" ref="AI25" si="104">SUM(AI26:AI28)</f>
        <v>4.10702243337794</v>
      </c>
      <c r="AJ25" s="258">
        <f t="shared" ref="AJ25" si="105">SUM(AJ26:AJ28)</f>
        <v>13.4615710017931</v>
      </c>
      <c r="AK25" s="295"/>
      <c r="AL25" s="292">
        <f t="shared" si="17"/>
        <v>55</v>
      </c>
      <c r="AM25" s="290"/>
      <c r="AN25" s="288"/>
      <c r="AO25" s="288"/>
      <c r="AP25" s="288"/>
      <c r="AQ25" s="288"/>
      <c r="AR25" s="288"/>
      <c r="AS25" s="288"/>
      <c r="AT25" s="288"/>
      <c r="AU25" s="288"/>
      <c r="AV25" s="288"/>
      <c r="AW25" s="288"/>
      <c r="AX25" s="288"/>
      <c r="AY25" s="288"/>
    </row>
    <row r="26" ht="29.25" customHeight="1" outlineLevel="2" spans="1:51">
      <c r="A26" s="259" t="s">
        <v>181</v>
      </c>
      <c r="B26" s="259" t="s">
        <v>182</v>
      </c>
      <c r="C26" s="250">
        <f>D26/$C$8</f>
        <v>4.10702243337794</v>
      </c>
      <c r="D26" s="256">
        <f>F26+AD26</f>
        <v>55</v>
      </c>
      <c r="E26" s="250">
        <f>F26/$E$8</f>
        <v>4.10702243337794</v>
      </c>
      <c r="F26" s="250">
        <f>H26+J26+L26+N26+P26+R26+T26+V26+X26+Z26+AB26</f>
        <v>38.835371648567</v>
      </c>
      <c r="G26" s="260">
        <f>$AM$26/$C$8</f>
        <v>4.10702243337794</v>
      </c>
      <c r="H26" s="250">
        <f>G26*G$8</f>
        <v>2.18851315109653</v>
      </c>
      <c r="I26" s="260">
        <f>$AM$26/$C$8</f>
        <v>4.10702243337794</v>
      </c>
      <c r="J26" s="250">
        <f t="shared" ref="J26" si="106">I26*I$8</f>
        <v>23.1382744098825</v>
      </c>
      <c r="K26" s="260">
        <f>$AM$26/$C$8</f>
        <v>4.10702243337794</v>
      </c>
      <c r="L26" s="250">
        <f t="shared" ref="L26:L27" si="107">K26*K$8</f>
        <v>13.2673991951879</v>
      </c>
      <c r="M26" s="260">
        <f>$AM$26/$C$8</f>
        <v>4.10702243337794</v>
      </c>
      <c r="N26" s="250">
        <f t="shared" ref="N26:N28" si="108">M26*M$8</f>
        <v>0</v>
      </c>
      <c r="O26" s="260">
        <f>$AM$26/$C$8</f>
        <v>4.10702243337794</v>
      </c>
      <c r="P26" s="250">
        <f t="shared" ref="P26:P28" si="109">O26*O$8</f>
        <v>0</v>
      </c>
      <c r="Q26" s="260">
        <f>$AM$26/$C$8</f>
        <v>4.10702243337794</v>
      </c>
      <c r="R26" s="250">
        <f t="shared" ref="R26:R28" si="110">Q26*Q$8</f>
        <v>0</v>
      </c>
      <c r="S26" s="260">
        <f>$AM$26/$C$8</f>
        <v>4.10702243337794</v>
      </c>
      <c r="T26" s="250">
        <f t="shared" ref="T26:T28" si="111">S26*S$8</f>
        <v>0</v>
      </c>
      <c r="U26" s="260">
        <f>$AM$26/$C$8</f>
        <v>4.10702243337794</v>
      </c>
      <c r="V26" s="250">
        <f t="shared" ref="V26" si="112">U26*U$8</f>
        <v>0</v>
      </c>
      <c r="W26" s="260">
        <f>$AM$26/$C$8</f>
        <v>4.10702243337794</v>
      </c>
      <c r="X26" s="250">
        <f t="shared" ref="X26" si="113">W26*W$8</f>
        <v>0</v>
      </c>
      <c r="Y26" s="260">
        <f>$AM$26/$C$8</f>
        <v>4.10702243337794</v>
      </c>
      <c r="Z26" s="250">
        <f t="shared" ref="Z26" si="114">Y26*Y$8</f>
        <v>0.24118489240012</v>
      </c>
      <c r="AA26" s="260">
        <f>$AM$26/$C$8</f>
        <v>4.10702243337794</v>
      </c>
      <c r="AB26" s="250">
        <f t="shared" ref="AB26" si="115">AA26*AA$8</f>
        <v>0</v>
      </c>
      <c r="AC26" s="250">
        <f>AD26/AC$8</f>
        <v>4.10702243337794</v>
      </c>
      <c r="AD26" s="250">
        <f>AF26+AH26+AJ26</f>
        <v>16.164628351433</v>
      </c>
      <c r="AE26" s="260">
        <f>$AM$26/$C$8</f>
        <v>4.10702243337794</v>
      </c>
      <c r="AF26" s="250">
        <f t="shared" ref="AF26" si="116">AE26*AE$8</f>
        <v>0</v>
      </c>
      <c r="AG26" s="260">
        <f>$AM$26/$C$8</f>
        <v>4.10702243337794</v>
      </c>
      <c r="AH26" s="250">
        <f t="shared" ref="AH26" si="117">AG26*AG$8</f>
        <v>2.70305734963985</v>
      </c>
      <c r="AI26" s="260">
        <f>$AM$26/$C$8</f>
        <v>4.10702243337794</v>
      </c>
      <c r="AJ26" s="250">
        <f t="shared" ref="AJ26" si="118">AI26*AI$8</f>
        <v>13.4615710017931</v>
      </c>
      <c r="AK26" s="295" t="s">
        <v>183</v>
      </c>
      <c r="AL26" s="292">
        <f t="shared" si="17"/>
        <v>55</v>
      </c>
      <c r="AM26" s="290">
        <f>(1000*1100)/10000*50%</f>
        <v>55</v>
      </c>
      <c r="AN26" s="288"/>
      <c r="AO26" s="288"/>
      <c r="AP26" s="288"/>
      <c r="AQ26" s="288"/>
      <c r="AR26" s="288"/>
      <c r="AS26" s="288"/>
      <c r="AT26" s="288"/>
      <c r="AU26" s="288"/>
      <c r="AV26" s="288"/>
      <c r="AW26" s="288"/>
      <c r="AX26" s="288"/>
      <c r="AY26" s="288"/>
    </row>
    <row r="27" ht="27" customHeight="1" outlineLevel="2" spans="1:51">
      <c r="A27" s="259" t="s">
        <v>184</v>
      </c>
      <c r="B27" s="259" t="s">
        <v>185</v>
      </c>
      <c r="C27" s="250">
        <f>D27/$C$8</f>
        <v>0</v>
      </c>
      <c r="D27" s="256">
        <f>F27+AD27</f>
        <v>0</v>
      </c>
      <c r="E27" s="250">
        <f>F27/$E$8</f>
        <v>0</v>
      </c>
      <c r="F27" s="250">
        <f>H27+J27+L27+N27+P27+R27+T27+V27+X27+Z27+AB27</f>
        <v>0</v>
      </c>
      <c r="G27" s="260"/>
      <c r="H27" s="250">
        <f>G27*G$8</f>
        <v>0</v>
      </c>
      <c r="I27" s="260"/>
      <c r="J27" s="250">
        <f t="shared" ref="J27" si="119">I27*I$8</f>
        <v>0</v>
      </c>
      <c r="K27" s="260"/>
      <c r="L27" s="250">
        <f t="shared" si="107"/>
        <v>0</v>
      </c>
      <c r="M27" s="260"/>
      <c r="N27" s="250">
        <f t="shared" si="108"/>
        <v>0</v>
      </c>
      <c r="O27" s="260"/>
      <c r="P27" s="250">
        <f t="shared" si="109"/>
        <v>0</v>
      </c>
      <c r="Q27" s="260"/>
      <c r="R27" s="250">
        <f t="shared" si="110"/>
        <v>0</v>
      </c>
      <c r="S27" s="260"/>
      <c r="T27" s="250">
        <f t="shared" si="111"/>
        <v>0</v>
      </c>
      <c r="U27" s="260"/>
      <c r="V27" s="250">
        <f t="shared" ref="V27" si="120">U27*U$8</f>
        <v>0</v>
      </c>
      <c r="W27" s="260"/>
      <c r="X27" s="250">
        <f t="shared" ref="X27" si="121">W27*W$8</f>
        <v>0</v>
      </c>
      <c r="Y27" s="260"/>
      <c r="Z27" s="250">
        <f t="shared" ref="Z27" si="122">Y27*Y$8</f>
        <v>0</v>
      </c>
      <c r="AA27" s="260"/>
      <c r="AB27" s="250">
        <f t="shared" ref="AB27" si="123">AA27*AA$8</f>
        <v>0</v>
      </c>
      <c r="AC27" s="250">
        <f>AD27/AC$8</f>
        <v>0</v>
      </c>
      <c r="AD27" s="250">
        <f>AF27+AH27+AJ27</f>
        <v>0</v>
      </c>
      <c r="AE27" s="260"/>
      <c r="AF27" s="250">
        <f t="shared" ref="AF27" si="124">AE27*AE$8</f>
        <v>0</v>
      </c>
      <c r="AG27" s="260"/>
      <c r="AH27" s="250">
        <f t="shared" ref="AH27" si="125">AG27*AG$8</f>
        <v>0</v>
      </c>
      <c r="AI27" s="260"/>
      <c r="AJ27" s="250">
        <f t="shared" ref="AJ27" si="126">AI27*AI$8</f>
        <v>0</v>
      </c>
      <c r="AK27" s="295"/>
      <c r="AL27" s="292">
        <f t="shared" si="17"/>
        <v>0</v>
      </c>
      <c r="AM27" s="290"/>
      <c r="AN27" s="288"/>
      <c r="AO27" s="288"/>
      <c r="AP27" s="288"/>
      <c r="AQ27" s="288"/>
      <c r="AR27" s="288"/>
      <c r="AS27" s="288"/>
      <c r="AT27" s="288"/>
      <c r="AU27" s="288"/>
      <c r="AV27" s="288"/>
      <c r="AW27" s="288"/>
      <c r="AX27" s="288"/>
      <c r="AY27" s="288"/>
    </row>
    <row r="28" customHeight="1" outlineLevel="2" spans="1:51">
      <c r="A28" s="259" t="s">
        <v>186</v>
      </c>
      <c r="B28" s="259" t="s">
        <v>187</v>
      </c>
      <c r="C28" s="250">
        <f>D28/$C$8</f>
        <v>0</v>
      </c>
      <c r="D28" s="256">
        <f>F28+AD28</f>
        <v>0</v>
      </c>
      <c r="E28" s="250">
        <f>F28/$E$8</f>
        <v>0</v>
      </c>
      <c r="F28" s="250">
        <f>H28+J28+L28+N28+P28+R28+T28+V28+X28+Z28+AB28</f>
        <v>0</v>
      </c>
      <c r="G28" s="260"/>
      <c r="H28" s="250">
        <f>G28*G$8</f>
        <v>0</v>
      </c>
      <c r="I28" s="260"/>
      <c r="J28" s="250">
        <f t="shared" ref="J28" si="127">I28*I$8</f>
        <v>0</v>
      </c>
      <c r="K28" s="260"/>
      <c r="L28" s="250">
        <f t="shared" ref="L28" si="128">K28*K$8</f>
        <v>0</v>
      </c>
      <c r="M28" s="260"/>
      <c r="N28" s="250">
        <f t="shared" si="108"/>
        <v>0</v>
      </c>
      <c r="O28" s="260"/>
      <c r="P28" s="250">
        <f t="shared" si="109"/>
        <v>0</v>
      </c>
      <c r="Q28" s="260"/>
      <c r="R28" s="250">
        <f t="shared" si="110"/>
        <v>0</v>
      </c>
      <c r="S28" s="260"/>
      <c r="T28" s="250">
        <f t="shared" si="111"/>
        <v>0</v>
      </c>
      <c r="U28" s="260"/>
      <c r="V28" s="250">
        <f t="shared" ref="V28" si="129">U28*U$8</f>
        <v>0</v>
      </c>
      <c r="W28" s="260"/>
      <c r="X28" s="250">
        <f t="shared" ref="X28" si="130">W28*W$8</f>
        <v>0</v>
      </c>
      <c r="Y28" s="260"/>
      <c r="Z28" s="250">
        <f t="shared" ref="Z28" si="131">Y28*Y$8</f>
        <v>0</v>
      </c>
      <c r="AA28" s="260"/>
      <c r="AB28" s="250">
        <f t="shared" ref="AB28" si="132">AA28*AA$8</f>
        <v>0</v>
      </c>
      <c r="AC28" s="250">
        <f>AD28/AC$8</f>
        <v>0</v>
      </c>
      <c r="AD28" s="250">
        <f>AF28+AH28+AJ28</f>
        <v>0</v>
      </c>
      <c r="AE28" s="260"/>
      <c r="AF28" s="250">
        <f t="shared" ref="AF28" si="133">AE28*AE$8</f>
        <v>0</v>
      </c>
      <c r="AG28" s="260"/>
      <c r="AH28" s="250">
        <f t="shared" ref="AH28" si="134">AG28*AG$8</f>
        <v>0</v>
      </c>
      <c r="AI28" s="260"/>
      <c r="AJ28" s="250">
        <f t="shared" ref="AJ28" si="135">AI28*AI$8</f>
        <v>0</v>
      </c>
      <c r="AK28" s="295"/>
      <c r="AL28" s="292">
        <f t="shared" si="17"/>
        <v>0</v>
      </c>
      <c r="AM28" s="290"/>
      <c r="AN28" s="288"/>
      <c r="AO28" s="288"/>
      <c r="AP28" s="288"/>
      <c r="AQ28" s="288"/>
      <c r="AR28" s="288"/>
      <c r="AS28" s="288"/>
      <c r="AT28" s="288"/>
      <c r="AU28" s="288"/>
      <c r="AV28" s="288"/>
      <c r="AW28" s="288"/>
      <c r="AX28" s="288"/>
      <c r="AY28" s="288"/>
    </row>
    <row r="29" customHeight="1" outlineLevel="1" spans="1:51">
      <c r="A29" s="257" t="s">
        <v>188</v>
      </c>
      <c r="B29" s="257" t="s">
        <v>189</v>
      </c>
      <c r="C29" s="258">
        <f>SUM(C30:C36)</f>
        <v>44.2466076197082</v>
      </c>
      <c r="D29" s="258">
        <f t="shared" ref="D29:AJ29" si="136">SUM(D30:D36)</f>
        <v>592.537162521024</v>
      </c>
      <c r="E29" s="258">
        <f t="shared" si="136"/>
        <v>46.5387716277262</v>
      </c>
      <c r="F29" s="258">
        <f t="shared" si="136"/>
        <v>440.063457540949</v>
      </c>
      <c r="G29" s="258">
        <f t="shared" si="136"/>
        <v>38.7397045721689</v>
      </c>
      <c r="H29" s="258">
        <f t="shared" si="136"/>
        <v>20.6432651150762</v>
      </c>
      <c r="I29" s="258">
        <f t="shared" si="136"/>
        <v>38.7397045721689</v>
      </c>
      <c r="J29" s="258">
        <f t="shared" si="136"/>
        <v>218.252987289231</v>
      </c>
      <c r="K29" s="258">
        <f t="shared" si="136"/>
        <v>61.5685697595917</v>
      </c>
      <c r="L29" s="258">
        <f t="shared" si="136"/>
        <v>198.892215985641</v>
      </c>
      <c r="M29" s="258">
        <f t="shared" si="136"/>
        <v>51.2397045721689</v>
      </c>
      <c r="N29" s="258">
        <f t="shared" si="136"/>
        <v>0</v>
      </c>
      <c r="O29" s="258">
        <f t="shared" si="136"/>
        <v>46.2397045721689</v>
      </c>
      <c r="P29" s="258">
        <f t="shared" si="136"/>
        <v>0</v>
      </c>
      <c r="Q29" s="258">
        <f t="shared" si="136"/>
        <v>46.2397045721689</v>
      </c>
      <c r="R29" s="258">
        <f t="shared" si="136"/>
        <v>0</v>
      </c>
      <c r="S29" s="258">
        <f t="shared" si="136"/>
        <v>51.2397045721689</v>
      </c>
      <c r="T29" s="258">
        <f t="shared" si="136"/>
        <v>0</v>
      </c>
      <c r="U29" s="258">
        <f t="shared" si="136"/>
        <v>46.2397045721689</v>
      </c>
      <c r="V29" s="258">
        <f t="shared" si="136"/>
        <v>0</v>
      </c>
      <c r="W29" s="258">
        <f t="shared" si="136"/>
        <v>46.2397045721689</v>
      </c>
      <c r="X29" s="258">
        <f t="shared" si="136"/>
        <v>0</v>
      </c>
      <c r="Y29" s="258">
        <f t="shared" si="136"/>
        <v>38.7397045721689</v>
      </c>
      <c r="Z29" s="258">
        <f t="shared" si="136"/>
        <v>2.27498915100062</v>
      </c>
      <c r="AA29" s="258">
        <f t="shared" si="136"/>
        <v>51.2397045721689</v>
      </c>
      <c r="AB29" s="258">
        <f t="shared" si="136"/>
        <v>0</v>
      </c>
      <c r="AC29" s="258">
        <f t="shared" si="136"/>
        <v>38.7397045721689</v>
      </c>
      <c r="AD29" s="258">
        <f t="shared" si="136"/>
        <v>152.473704980075</v>
      </c>
      <c r="AE29" s="258">
        <f t="shared" si="136"/>
        <v>46.2397045721689</v>
      </c>
      <c r="AF29" s="258">
        <f t="shared" si="136"/>
        <v>0</v>
      </c>
      <c r="AG29" s="258">
        <f t="shared" si="136"/>
        <v>38.7397045721689</v>
      </c>
      <c r="AH29" s="258">
        <f t="shared" si="136"/>
        <v>25.4967302626958</v>
      </c>
      <c r="AI29" s="258">
        <f t="shared" si="136"/>
        <v>38.7397045721689</v>
      </c>
      <c r="AJ29" s="258">
        <f t="shared" si="136"/>
        <v>126.97697471738</v>
      </c>
      <c r="AK29" s="295"/>
      <c r="AL29" s="292">
        <f t="shared" si="17"/>
        <v>592.537162521024</v>
      </c>
      <c r="AM29" s="290"/>
      <c r="AN29" s="288"/>
      <c r="AO29" s="288"/>
      <c r="AP29" s="288"/>
      <c r="AQ29" s="288"/>
      <c r="AR29" s="288"/>
      <c r="AS29" s="288"/>
      <c r="AT29" s="288"/>
      <c r="AU29" s="288"/>
      <c r="AV29" s="288"/>
      <c r="AW29" s="288"/>
      <c r="AX29" s="288"/>
      <c r="AY29" s="288"/>
    </row>
    <row r="30" customHeight="1" outlineLevel="2" spans="1:51">
      <c r="A30" s="259" t="s">
        <v>190</v>
      </c>
      <c r="B30" s="259" t="s">
        <v>191</v>
      </c>
      <c r="C30" s="250">
        <f t="shared" ref="C30:C36" si="137">D30/$C$8</f>
        <v>10.0679653594313</v>
      </c>
      <c r="D30" s="256">
        <f t="shared" ref="D30:D36" si="138">F30+AD30</f>
        <v>134.8271415</v>
      </c>
      <c r="E30" s="250">
        <f t="shared" ref="E30:E36" si="139">F30/$E$8</f>
        <v>10.7206069134375</v>
      </c>
      <c r="F30" s="250">
        <f t="shared" ref="F30:F36" si="140">H30+J30+L30+N30+P30+R30+T30+V30+X30+Z30+AB30</f>
        <v>101.372408</v>
      </c>
      <c r="G30" s="261">
        <v>8.5</v>
      </c>
      <c r="H30" s="250">
        <f t="shared" ref="H30:H36" si="141">G30*G$8</f>
        <v>4.5294035</v>
      </c>
      <c r="I30" s="261">
        <v>8.5</v>
      </c>
      <c r="J30" s="250">
        <f t="shared" ref="J30" si="142">I30*I$8</f>
        <v>47.887572</v>
      </c>
      <c r="K30" s="261">
        <f>8.5+6.5</f>
        <v>15</v>
      </c>
      <c r="L30" s="250">
        <f t="shared" ref="L30" si="143">K30*K$8</f>
        <v>48.45627</v>
      </c>
      <c r="M30" s="260">
        <v>15</v>
      </c>
      <c r="N30" s="250">
        <f t="shared" ref="N30:N36" si="144">M30*M$8</f>
        <v>0</v>
      </c>
      <c r="O30" s="260">
        <v>10</v>
      </c>
      <c r="P30" s="250">
        <f t="shared" ref="P30:P36" si="145">O30*O$8</f>
        <v>0</v>
      </c>
      <c r="Q30" s="260">
        <v>10</v>
      </c>
      <c r="R30" s="250">
        <f t="shared" ref="R30:R36" si="146">Q30*Q$8</f>
        <v>0</v>
      </c>
      <c r="S30" s="260">
        <v>15</v>
      </c>
      <c r="T30" s="250">
        <f>S30*S$8</f>
        <v>0</v>
      </c>
      <c r="U30" s="260">
        <v>15</v>
      </c>
      <c r="V30" s="250">
        <f t="shared" ref="V30" si="147">U30*U$8</f>
        <v>0</v>
      </c>
      <c r="W30" s="260">
        <v>15</v>
      </c>
      <c r="X30" s="250">
        <f t="shared" ref="X30" si="148">W30*W$8</f>
        <v>0</v>
      </c>
      <c r="Y30" s="261">
        <v>8.5</v>
      </c>
      <c r="Z30" s="250">
        <f t="shared" ref="Z30" si="149">Y30*Y$8</f>
        <v>0.4991625</v>
      </c>
      <c r="AA30" s="260">
        <v>15</v>
      </c>
      <c r="AB30" s="250">
        <f t="shared" ref="AB30" si="150">AA30*AA$8</f>
        <v>0</v>
      </c>
      <c r="AC30" s="250">
        <f t="shared" ref="AC30:AC36" si="151">AD30/AC$8</f>
        <v>8.50000000000001</v>
      </c>
      <c r="AD30" s="250">
        <f t="shared" ref="AD30:AD36" si="152">AF30+AH30+AJ30</f>
        <v>33.4547335</v>
      </c>
      <c r="AE30" s="260">
        <v>15</v>
      </c>
      <c r="AF30" s="250">
        <f t="shared" ref="AF30" si="153">AE30*AE$8</f>
        <v>0</v>
      </c>
      <c r="AG30" s="261">
        <v>8.5</v>
      </c>
      <c r="AH30" s="250">
        <f t="shared" ref="AH30" si="154">AG30*AG$8</f>
        <v>5.5943175</v>
      </c>
      <c r="AI30" s="261">
        <v>8.5</v>
      </c>
      <c r="AJ30" s="250">
        <f t="shared" ref="AJ30" si="155">AI30*AI$8</f>
        <v>27.860416</v>
      </c>
      <c r="AK30" s="295"/>
      <c r="AL30" s="292">
        <f t="shared" si="17"/>
        <v>134.8271415</v>
      </c>
      <c r="AM30" s="290"/>
      <c r="AN30" s="288"/>
      <c r="AO30" s="288"/>
      <c r="AP30" s="288"/>
      <c r="AQ30" s="288"/>
      <c r="AR30" s="288"/>
      <c r="AS30" s="288"/>
      <c r="AT30" s="288"/>
      <c r="AU30" s="288"/>
      <c r="AV30" s="288"/>
      <c r="AW30" s="288"/>
      <c r="AX30" s="288"/>
      <c r="AY30" s="288"/>
    </row>
    <row r="31" customHeight="1" outlineLevel="2" spans="1:51">
      <c r="A31" s="259" t="s">
        <v>192</v>
      </c>
      <c r="B31" s="259" t="s">
        <v>193</v>
      </c>
      <c r="C31" s="250">
        <f t="shared" si="137"/>
        <v>9</v>
      </c>
      <c r="D31" s="256">
        <f t="shared" si="138"/>
        <v>120.525273</v>
      </c>
      <c r="E31" s="250">
        <f t="shared" si="139"/>
        <v>9</v>
      </c>
      <c r="F31" s="250">
        <f t="shared" si="140"/>
        <v>85.102614</v>
      </c>
      <c r="G31" s="262">
        <v>9</v>
      </c>
      <c r="H31" s="250">
        <f t="shared" si="141"/>
        <v>4.795839</v>
      </c>
      <c r="I31" s="262">
        <v>9</v>
      </c>
      <c r="J31" s="250">
        <f t="shared" ref="J31" si="156">I31*I$8</f>
        <v>50.704488</v>
      </c>
      <c r="K31" s="262">
        <v>9</v>
      </c>
      <c r="L31" s="250">
        <f t="shared" ref="L31:L32" si="157">K31*K$8</f>
        <v>29.073762</v>
      </c>
      <c r="M31" s="260">
        <v>15</v>
      </c>
      <c r="N31" s="250">
        <f t="shared" si="144"/>
        <v>0</v>
      </c>
      <c r="O31" s="260">
        <v>15</v>
      </c>
      <c r="P31" s="250">
        <f t="shared" si="145"/>
        <v>0</v>
      </c>
      <c r="Q31" s="260">
        <v>15</v>
      </c>
      <c r="R31" s="250">
        <f t="shared" si="146"/>
        <v>0</v>
      </c>
      <c r="S31" s="260">
        <v>15</v>
      </c>
      <c r="T31" s="250">
        <f t="shared" ref="T31:T36" si="158">S31*S$8</f>
        <v>0</v>
      </c>
      <c r="U31" s="260">
        <v>10</v>
      </c>
      <c r="V31" s="250">
        <f t="shared" ref="V31" si="159">U31*U$8</f>
        <v>0</v>
      </c>
      <c r="W31" s="260">
        <v>10</v>
      </c>
      <c r="X31" s="250">
        <f t="shared" ref="X31:X32" si="160">W31*W$8</f>
        <v>0</v>
      </c>
      <c r="Y31" s="262">
        <v>9</v>
      </c>
      <c r="Z31" s="250">
        <f t="shared" ref="Z31" si="161">Y31*Y$8</f>
        <v>0.528525</v>
      </c>
      <c r="AA31" s="260">
        <v>15</v>
      </c>
      <c r="AB31" s="250">
        <f t="shared" ref="AB31" si="162">AA31*AA$8</f>
        <v>0</v>
      </c>
      <c r="AC31" s="250">
        <f t="shared" si="151"/>
        <v>9.00000000000001</v>
      </c>
      <c r="AD31" s="250">
        <f t="shared" si="152"/>
        <v>35.422659</v>
      </c>
      <c r="AE31" s="260">
        <v>10</v>
      </c>
      <c r="AF31" s="250">
        <f t="shared" ref="AF31" si="163">AE31*AE$8</f>
        <v>0</v>
      </c>
      <c r="AG31" s="262">
        <v>9</v>
      </c>
      <c r="AH31" s="250">
        <f t="shared" ref="AH31" si="164">AG31*AG$8</f>
        <v>5.923395</v>
      </c>
      <c r="AI31" s="262">
        <v>9</v>
      </c>
      <c r="AJ31" s="250">
        <f t="shared" ref="AJ31" si="165">AI31*AI$8</f>
        <v>29.499264</v>
      </c>
      <c r="AK31" s="295"/>
      <c r="AL31" s="292">
        <f t="shared" si="17"/>
        <v>120.525273</v>
      </c>
      <c r="AM31" s="290"/>
      <c r="AN31" s="288"/>
      <c r="AO31" s="288"/>
      <c r="AP31" s="288"/>
      <c r="AQ31" s="288"/>
      <c r="AR31" s="288"/>
      <c r="AS31" s="288"/>
      <c r="AT31" s="288"/>
      <c r="AU31" s="288"/>
      <c r="AV31" s="288"/>
      <c r="AW31" s="288"/>
      <c r="AX31" s="288"/>
      <c r="AY31" s="288"/>
    </row>
    <row r="32" ht="53.1" customHeight="1" outlineLevel="2" spans="1:51">
      <c r="A32" s="259" t="s">
        <v>194</v>
      </c>
      <c r="B32" s="263" t="s">
        <v>195</v>
      </c>
      <c r="C32" s="250">
        <f t="shared" si="137"/>
        <v>14.2139610850682</v>
      </c>
      <c r="D32" s="256">
        <f t="shared" si="138"/>
        <v>190.349060021024</v>
      </c>
      <c r="E32" s="250">
        <f t="shared" si="139"/>
        <v>15.85348353908</v>
      </c>
      <c r="F32" s="250">
        <f t="shared" si="140"/>
        <v>149.908098909075</v>
      </c>
      <c r="G32" s="260">
        <f>$AM$32/$C$8</f>
        <v>10.2750233969601</v>
      </c>
      <c r="H32" s="250">
        <f t="shared" si="141"/>
        <v>5.47526199256151</v>
      </c>
      <c r="I32" s="260">
        <f>$AM$32/$C$8</f>
        <v>10.2750233969601</v>
      </c>
      <c r="J32" s="250">
        <f t="shared" ref="J32" si="166">I32*I$8</f>
        <v>57.8877556145423</v>
      </c>
      <c r="K32" s="260">
        <f>$AM$32/$C$90+15</f>
        <v>26.6038885843829</v>
      </c>
      <c r="L32" s="250">
        <f t="shared" si="157"/>
        <v>85.941680552985</v>
      </c>
      <c r="M32" s="260">
        <f>$AM$32/$C$8</f>
        <v>10.2750233969601</v>
      </c>
      <c r="N32" s="250">
        <f t="shared" si="144"/>
        <v>0</v>
      </c>
      <c r="O32" s="260">
        <f>$AM$32/$C$8</f>
        <v>10.2750233969601</v>
      </c>
      <c r="P32" s="250">
        <f t="shared" si="145"/>
        <v>0</v>
      </c>
      <c r="Q32" s="260">
        <f>$AM$32/$C$8</f>
        <v>10.2750233969601</v>
      </c>
      <c r="R32" s="250">
        <f t="shared" si="146"/>
        <v>0</v>
      </c>
      <c r="S32" s="260">
        <f>$AM$32/$C$8</f>
        <v>10.2750233969601</v>
      </c>
      <c r="T32" s="250">
        <f t="shared" si="158"/>
        <v>0</v>
      </c>
      <c r="U32" s="260">
        <f>$AM$32/$C$8</f>
        <v>10.2750233969601</v>
      </c>
      <c r="V32" s="250">
        <f t="shared" ref="V32" si="167">U32*U$8</f>
        <v>0</v>
      </c>
      <c r="W32" s="260">
        <f>$AM$32/$C$8</f>
        <v>10.2750233969601</v>
      </c>
      <c r="X32" s="250">
        <f t="shared" si="160"/>
        <v>0</v>
      </c>
      <c r="Y32" s="260">
        <f>$AM$32/$C$8</f>
        <v>10.2750233969601</v>
      </c>
      <c r="Z32" s="250">
        <f t="shared" ref="Z32" si="168">Y32*Y$8</f>
        <v>0.603400748986482</v>
      </c>
      <c r="AA32" s="260">
        <f>$AM$32/$C$8</f>
        <v>10.2750233969601</v>
      </c>
      <c r="AB32" s="250">
        <f t="shared" ref="AB32" si="169">AA32*AA$8</f>
        <v>0</v>
      </c>
      <c r="AC32" s="250">
        <f t="shared" si="151"/>
        <v>10.2750233969601</v>
      </c>
      <c r="AD32" s="250">
        <f t="shared" si="152"/>
        <v>40.4409611119487</v>
      </c>
      <c r="AE32" s="260">
        <f>$AM$32/$C$8</f>
        <v>10.2750233969601</v>
      </c>
      <c r="AF32" s="250">
        <f t="shared" ref="AF32" si="170">AE32*AE$8</f>
        <v>0</v>
      </c>
      <c r="AG32" s="260">
        <f>$AM$32/$C$8</f>
        <v>10.2750233969601</v>
      </c>
      <c r="AH32" s="250">
        <f t="shared" ref="AH32" si="171">AG32*AG$8</f>
        <v>6.76255802382626</v>
      </c>
      <c r="AI32" s="260">
        <f>$AM$32/$C$8</f>
        <v>10.2750233969601</v>
      </c>
      <c r="AJ32" s="250">
        <f t="shared" ref="AJ32" si="172">AI32*AI$8</f>
        <v>33.6784030881224</v>
      </c>
      <c r="AK32" s="295" t="s">
        <v>196</v>
      </c>
      <c r="AL32" s="292">
        <f t="shared" si="17"/>
        <v>190.349060021024</v>
      </c>
      <c r="AM32" s="298">
        <f>200*500/10000+127.6</f>
        <v>137.6</v>
      </c>
      <c r="AN32" s="288"/>
      <c r="AO32" s="288"/>
      <c r="AP32" s="288"/>
      <c r="AQ32" s="288"/>
      <c r="AR32" s="288"/>
      <c r="AS32" s="288"/>
      <c r="AT32" s="288"/>
      <c r="AU32" s="288"/>
      <c r="AV32" s="288"/>
      <c r="AW32" s="288"/>
      <c r="AX32" s="288"/>
      <c r="AY32" s="288"/>
    </row>
    <row r="33" ht="33" customHeight="1" outlineLevel="2" spans="1:51">
      <c r="A33" s="259" t="s">
        <v>197</v>
      </c>
      <c r="B33" s="263" t="s">
        <v>198</v>
      </c>
      <c r="C33" s="250">
        <f t="shared" si="137"/>
        <v>6.96468117520879</v>
      </c>
      <c r="D33" s="256">
        <f t="shared" si="138"/>
        <v>93.2689</v>
      </c>
      <c r="E33" s="250">
        <f t="shared" si="139"/>
        <v>6.96468117520879</v>
      </c>
      <c r="F33" s="250">
        <f t="shared" si="140"/>
        <v>65.8569526318733</v>
      </c>
      <c r="G33" s="260">
        <f>$AM$33/$C$8</f>
        <v>6.96468117520879</v>
      </c>
      <c r="H33" s="250">
        <f t="shared" si="141"/>
        <v>3.71127662251468</v>
      </c>
      <c r="I33" s="260">
        <f>$AM$33/$C$8</f>
        <v>6.96468117520879</v>
      </c>
      <c r="J33" s="250">
        <f t="shared" ref="J33" si="173">I33*I$8</f>
        <v>39.2378436746889</v>
      </c>
      <c r="K33" s="260">
        <f>$AM$33/$C$8</f>
        <v>6.96468117520879</v>
      </c>
      <c r="L33" s="250">
        <f t="shared" ref="L33" si="174">K33*K$8</f>
        <v>22.4988314326556</v>
      </c>
      <c r="M33" s="260">
        <f>$AM$33/$C$8</f>
        <v>6.96468117520879</v>
      </c>
      <c r="N33" s="250">
        <f t="shared" si="144"/>
        <v>0</v>
      </c>
      <c r="O33" s="260">
        <f>$AM$33/$C$8</f>
        <v>6.96468117520879</v>
      </c>
      <c r="P33" s="250">
        <f t="shared" si="145"/>
        <v>0</v>
      </c>
      <c r="Q33" s="260">
        <f>$AM$33/$C$8</f>
        <v>6.96468117520879</v>
      </c>
      <c r="R33" s="250">
        <f t="shared" si="146"/>
        <v>0</v>
      </c>
      <c r="S33" s="260">
        <f>$AM$33/$C$8</f>
        <v>6.96468117520879</v>
      </c>
      <c r="T33" s="250">
        <f t="shared" si="158"/>
        <v>0</v>
      </c>
      <c r="U33" s="260">
        <f>$AM$33/$C$8</f>
        <v>6.96468117520879</v>
      </c>
      <c r="V33" s="250">
        <f t="shared" ref="V33" si="175">U33*U$8</f>
        <v>0</v>
      </c>
      <c r="W33" s="260">
        <f>$AM$33/$C$8</f>
        <v>6.96468117520879</v>
      </c>
      <c r="X33" s="250">
        <f t="shared" ref="X33" si="176">W33*W$8</f>
        <v>0</v>
      </c>
      <c r="Y33" s="260">
        <f>$AM$33/$C$8</f>
        <v>6.96468117520879</v>
      </c>
      <c r="Z33" s="250">
        <f t="shared" ref="Z33" si="177">Y33*Y$8</f>
        <v>0.409000902014136</v>
      </c>
      <c r="AA33" s="260">
        <f>$AM$33/$C$8</f>
        <v>6.96468117520879</v>
      </c>
      <c r="AB33" s="250">
        <f t="shared" ref="AB33" si="178">AA33*AA$8</f>
        <v>0</v>
      </c>
      <c r="AC33" s="250">
        <f t="shared" si="151"/>
        <v>6.96468117520879</v>
      </c>
      <c r="AD33" s="250">
        <f t="shared" si="152"/>
        <v>27.4119473681267</v>
      </c>
      <c r="AE33" s="260">
        <f>$AM$33/$C$8</f>
        <v>6.96468117520879</v>
      </c>
      <c r="AF33" s="250">
        <f t="shared" ref="AF33" si="179">AE33*AE$8</f>
        <v>0</v>
      </c>
      <c r="AG33" s="260">
        <f>$AM$33/$C$8</f>
        <v>6.96468117520879</v>
      </c>
      <c r="AH33" s="250">
        <f t="shared" ref="AH33" si="180">AG33*AG$8</f>
        <v>4.58383973886954</v>
      </c>
      <c r="AI33" s="260">
        <f>$AM$33/$C$8</f>
        <v>6.96468117520879</v>
      </c>
      <c r="AJ33" s="250">
        <f t="shared" ref="AJ33" si="181">AI33*AI$8</f>
        <v>22.8281076292572</v>
      </c>
      <c r="AK33" s="295" t="s">
        <v>199</v>
      </c>
      <c r="AL33" s="292">
        <f t="shared" si="17"/>
        <v>93.2689000000001</v>
      </c>
      <c r="AM33" s="290">
        <f>(经济指标!E6-经济指标!H25)*25/10000</f>
        <v>93.2689</v>
      </c>
      <c r="AN33" s="288"/>
      <c r="AO33" s="288"/>
      <c r="AP33" s="288"/>
      <c r="AQ33" s="288"/>
      <c r="AR33" s="288"/>
      <c r="AS33" s="288"/>
      <c r="AT33" s="288"/>
      <c r="AU33" s="288"/>
      <c r="AV33" s="288"/>
      <c r="AW33" s="288"/>
      <c r="AX33" s="288"/>
      <c r="AY33" s="288"/>
    </row>
    <row r="34" ht="27.95" customHeight="1" outlineLevel="2" spans="1:51">
      <c r="A34" s="259" t="s">
        <v>200</v>
      </c>
      <c r="B34" s="259" t="s">
        <v>201</v>
      </c>
      <c r="C34" s="250">
        <f t="shared" si="137"/>
        <v>4</v>
      </c>
      <c r="D34" s="256">
        <f t="shared" si="138"/>
        <v>53.566788</v>
      </c>
      <c r="E34" s="250">
        <f t="shared" si="139"/>
        <v>4</v>
      </c>
      <c r="F34" s="250">
        <f t="shared" si="140"/>
        <v>37.823384</v>
      </c>
      <c r="G34" s="260">
        <v>4</v>
      </c>
      <c r="H34" s="250">
        <f t="shared" si="141"/>
        <v>2.131484</v>
      </c>
      <c r="I34" s="260">
        <v>4</v>
      </c>
      <c r="J34" s="250">
        <f t="shared" ref="J34" si="182">I34*I$8</f>
        <v>22.535328</v>
      </c>
      <c r="K34" s="260">
        <v>4</v>
      </c>
      <c r="L34" s="250">
        <f t="shared" ref="L34" si="183">K34*K$8</f>
        <v>12.921672</v>
      </c>
      <c r="M34" s="260">
        <v>4</v>
      </c>
      <c r="N34" s="250">
        <f t="shared" si="144"/>
        <v>0</v>
      </c>
      <c r="O34" s="260">
        <v>4</v>
      </c>
      <c r="P34" s="250">
        <f t="shared" si="145"/>
        <v>0</v>
      </c>
      <c r="Q34" s="260">
        <v>4</v>
      </c>
      <c r="R34" s="250">
        <f t="shared" si="146"/>
        <v>0</v>
      </c>
      <c r="S34" s="260">
        <v>4</v>
      </c>
      <c r="T34" s="250">
        <f t="shared" si="158"/>
        <v>0</v>
      </c>
      <c r="U34" s="260">
        <v>4</v>
      </c>
      <c r="V34" s="250">
        <f t="shared" ref="V34" si="184">U34*U$8</f>
        <v>0</v>
      </c>
      <c r="W34" s="260">
        <v>4</v>
      </c>
      <c r="X34" s="250">
        <f t="shared" ref="X34" si="185">W34*W$8</f>
        <v>0</v>
      </c>
      <c r="Y34" s="260">
        <v>4</v>
      </c>
      <c r="Z34" s="250">
        <f t="shared" ref="Z34" si="186">Y34*Y$8</f>
        <v>0.2349</v>
      </c>
      <c r="AA34" s="260">
        <v>4</v>
      </c>
      <c r="AB34" s="250">
        <f t="shared" ref="AB34" si="187">AA34*AA$8</f>
        <v>0</v>
      </c>
      <c r="AC34" s="250">
        <f t="shared" si="151"/>
        <v>4</v>
      </c>
      <c r="AD34" s="250">
        <f t="shared" si="152"/>
        <v>15.743404</v>
      </c>
      <c r="AE34" s="260">
        <v>4</v>
      </c>
      <c r="AF34" s="250">
        <f t="shared" ref="AF34" si="188">AE34*AE$8</f>
        <v>0</v>
      </c>
      <c r="AG34" s="260">
        <v>4</v>
      </c>
      <c r="AH34" s="250">
        <f t="shared" ref="AH34" si="189">AG34*AG$8</f>
        <v>2.63262</v>
      </c>
      <c r="AI34" s="260">
        <v>4</v>
      </c>
      <c r="AJ34" s="250">
        <f t="shared" ref="AJ34" si="190">AI34*AI$8</f>
        <v>13.110784</v>
      </c>
      <c r="AK34" s="295" t="s">
        <v>202</v>
      </c>
      <c r="AL34" s="292">
        <f t="shared" si="17"/>
        <v>53.566788</v>
      </c>
      <c r="AM34" s="290"/>
      <c r="AN34" s="288"/>
      <c r="AO34" s="288"/>
      <c r="AP34" s="288"/>
      <c r="AQ34" s="288"/>
      <c r="AR34" s="288"/>
      <c r="AS34" s="288"/>
      <c r="AT34" s="288"/>
      <c r="AU34" s="288"/>
      <c r="AV34" s="288"/>
      <c r="AW34" s="288"/>
      <c r="AX34" s="288"/>
      <c r="AY34" s="288"/>
    </row>
    <row r="35" ht="27" customHeight="1" outlineLevel="2" spans="1:51">
      <c r="A35" s="259" t="s">
        <v>203</v>
      </c>
      <c r="B35" s="259" t="s">
        <v>204</v>
      </c>
      <c r="C35" s="250">
        <f t="shared" si="137"/>
        <v>0</v>
      </c>
      <c r="D35" s="256">
        <f t="shared" si="138"/>
        <v>0</v>
      </c>
      <c r="E35" s="250">
        <f t="shared" si="139"/>
        <v>0</v>
      </c>
      <c r="F35" s="250">
        <f t="shared" si="140"/>
        <v>0</v>
      </c>
      <c r="G35" s="260"/>
      <c r="H35" s="250">
        <f t="shared" si="141"/>
        <v>0</v>
      </c>
      <c r="I35" s="260"/>
      <c r="J35" s="250">
        <f t="shared" ref="J35" si="191">I35*I$8</f>
        <v>0</v>
      </c>
      <c r="K35" s="260"/>
      <c r="L35" s="250">
        <f t="shared" ref="L35" si="192">K35*K$8</f>
        <v>0</v>
      </c>
      <c r="M35" s="260"/>
      <c r="N35" s="250">
        <f t="shared" si="144"/>
        <v>0</v>
      </c>
      <c r="O35" s="260"/>
      <c r="P35" s="250">
        <f t="shared" si="145"/>
        <v>0</v>
      </c>
      <c r="Q35" s="260"/>
      <c r="R35" s="250">
        <f t="shared" si="146"/>
        <v>0</v>
      </c>
      <c r="S35" s="260"/>
      <c r="T35" s="250">
        <f t="shared" si="158"/>
        <v>0</v>
      </c>
      <c r="U35" s="260"/>
      <c r="V35" s="250">
        <f t="shared" ref="V35" si="193">U35*U$8</f>
        <v>0</v>
      </c>
      <c r="W35" s="260"/>
      <c r="X35" s="250">
        <f t="shared" ref="X35" si="194">W35*W$8</f>
        <v>0</v>
      </c>
      <c r="Y35" s="260"/>
      <c r="Z35" s="250">
        <f t="shared" ref="Z35" si="195">Y35*Y$8</f>
        <v>0</v>
      </c>
      <c r="AA35" s="260"/>
      <c r="AB35" s="250">
        <f t="shared" ref="AB35" si="196">AA35*AA$8</f>
        <v>0</v>
      </c>
      <c r="AC35" s="250">
        <f t="shared" si="151"/>
        <v>0</v>
      </c>
      <c r="AD35" s="250">
        <f t="shared" si="152"/>
        <v>0</v>
      </c>
      <c r="AE35" s="260"/>
      <c r="AF35" s="250">
        <f t="shared" ref="AF35" si="197">AE35*AE$8</f>
        <v>0</v>
      </c>
      <c r="AG35" s="260"/>
      <c r="AH35" s="250">
        <f t="shared" ref="AH35" si="198">AG35*AG$8</f>
        <v>0</v>
      </c>
      <c r="AI35" s="260"/>
      <c r="AJ35" s="250">
        <f t="shared" ref="AJ35" si="199">AI35*AI$8</f>
        <v>0</v>
      </c>
      <c r="AK35" s="295"/>
      <c r="AL35" s="292">
        <f t="shared" si="17"/>
        <v>0</v>
      </c>
      <c r="AM35" s="290"/>
      <c r="AN35" s="288"/>
      <c r="AO35" s="288"/>
      <c r="AP35" s="288"/>
      <c r="AQ35" s="288"/>
      <c r="AR35" s="288"/>
      <c r="AS35" s="288"/>
      <c r="AT35" s="288"/>
      <c r="AU35" s="288"/>
      <c r="AV35" s="288"/>
      <c r="AW35" s="288"/>
      <c r="AX35" s="288"/>
      <c r="AY35" s="288"/>
    </row>
    <row r="36" ht="24.95" customHeight="1" outlineLevel="2" spans="1:51">
      <c r="A36" s="264" t="s">
        <v>205</v>
      </c>
      <c r="B36" s="264" t="s">
        <v>206</v>
      </c>
      <c r="C36" s="250">
        <f t="shared" si="137"/>
        <v>0</v>
      </c>
      <c r="D36" s="256">
        <f t="shared" si="138"/>
        <v>0</v>
      </c>
      <c r="E36" s="250">
        <f t="shared" si="139"/>
        <v>0</v>
      </c>
      <c r="F36" s="250">
        <f t="shared" si="140"/>
        <v>0</v>
      </c>
      <c r="G36" s="260"/>
      <c r="H36" s="250">
        <f t="shared" si="141"/>
        <v>0</v>
      </c>
      <c r="I36" s="260"/>
      <c r="J36" s="250">
        <f t="shared" ref="J36" si="200">I36*I$8</f>
        <v>0</v>
      </c>
      <c r="K36" s="260"/>
      <c r="L36" s="250">
        <f t="shared" ref="L36" si="201">K36*K$8</f>
        <v>0</v>
      </c>
      <c r="M36" s="260"/>
      <c r="N36" s="250">
        <f t="shared" si="144"/>
        <v>0</v>
      </c>
      <c r="O36" s="260"/>
      <c r="P36" s="250">
        <f t="shared" si="145"/>
        <v>0</v>
      </c>
      <c r="Q36" s="260"/>
      <c r="R36" s="250">
        <f t="shared" si="146"/>
        <v>0</v>
      </c>
      <c r="S36" s="260"/>
      <c r="T36" s="250">
        <f t="shared" si="158"/>
        <v>0</v>
      </c>
      <c r="U36" s="260"/>
      <c r="V36" s="250">
        <f t="shared" ref="V36" si="202">U36*U$8</f>
        <v>0</v>
      </c>
      <c r="W36" s="260"/>
      <c r="X36" s="250">
        <f t="shared" ref="X36" si="203">W36*W$8</f>
        <v>0</v>
      </c>
      <c r="Y36" s="260"/>
      <c r="Z36" s="250">
        <f t="shared" ref="Z36" si="204">Y36*Y$8</f>
        <v>0</v>
      </c>
      <c r="AA36" s="260"/>
      <c r="AB36" s="250">
        <f t="shared" ref="AB36" si="205">AA36*AA$8</f>
        <v>0</v>
      </c>
      <c r="AC36" s="250">
        <f t="shared" si="151"/>
        <v>0</v>
      </c>
      <c r="AD36" s="250">
        <f t="shared" si="152"/>
        <v>0</v>
      </c>
      <c r="AE36" s="260"/>
      <c r="AF36" s="250">
        <f t="shared" ref="AF36" si="206">AE36*AE$8</f>
        <v>0</v>
      </c>
      <c r="AG36" s="260"/>
      <c r="AH36" s="250">
        <f t="shared" ref="AH36" si="207">AG36*AG$8</f>
        <v>0</v>
      </c>
      <c r="AI36" s="260"/>
      <c r="AJ36" s="250">
        <f t="shared" ref="AJ36" si="208">AI36*AI$8</f>
        <v>0</v>
      </c>
      <c r="AK36" s="295"/>
      <c r="AL36" s="292">
        <f t="shared" si="17"/>
        <v>0</v>
      </c>
      <c r="AM36" s="290"/>
      <c r="AN36" s="288"/>
      <c r="AO36" s="288"/>
      <c r="AP36" s="288"/>
      <c r="AQ36" s="288"/>
      <c r="AR36" s="288"/>
      <c r="AS36" s="288"/>
      <c r="AT36" s="288"/>
      <c r="AU36" s="288"/>
      <c r="AV36" s="288"/>
      <c r="AW36" s="288"/>
      <c r="AX36" s="288"/>
      <c r="AY36" s="288"/>
    </row>
    <row r="37" ht="21.95" customHeight="1" outlineLevel="2" spans="1:51">
      <c r="A37" s="265" t="s">
        <v>207</v>
      </c>
      <c r="B37" s="266" t="s">
        <v>208</v>
      </c>
      <c r="C37" s="250"/>
      <c r="D37" s="256"/>
      <c r="E37" s="250"/>
      <c r="F37" s="250"/>
      <c r="G37" s="260"/>
      <c r="H37" s="250"/>
      <c r="I37" s="260"/>
      <c r="J37" s="250"/>
      <c r="K37" s="260"/>
      <c r="L37" s="250"/>
      <c r="M37" s="260"/>
      <c r="N37" s="250"/>
      <c r="O37" s="260"/>
      <c r="P37" s="250"/>
      <c r="Q37" s="260"/>
      <c r="R37" s="250"/>
      <c r="S37" s="260"/>
      <c r="T37" s="250"/>
      <c r="U37" s="260"/>
      <c r="V37" s="250"/>
      <c r="W37" s="260"/>
      <c r="X37" s="250"/>
      <c r="Y37" s="260"/>
      <c r="Z37" s="250"/>
      <c r="AA37" s="260"/>
      <c r="AB37" s="250"/>
      <c r="AC37" s="250"/>
      <c r="AD37" s="250"/>
      <c r="AE37" s="260"/>
      <c r="AF37" s="250"/>
      <c r="AG37" s="260"/>
      <c r="AH37" s="250"/>
      <c r="AI37" s="260"/>
      <c r="AJ37" s="250"/>
      <c r="AK37" s="295"/>
      <c r="AL37" s="292">
        <f t="shared" si="17"/>
        <v>0</v>
      </c>
      <c r="AM37" s="290"/>
      <c r="AN37" s="288"/>
      <c r="AO37" s="288"/>
      <c r="AP37" s="288"/>
      <c r="AQ37" s="288"/>
      <c r="AR37" s="288"/>
      <c r="AS37" s="288"/>
      <c r="AT37" s="288"/>
      <c r="AU37" s="288"/>
      <c r="AV37" s="288"/>
      <c r="AW37" s="288"/>
      <c r="AX37" s="288"/>
      <c r="AY37" s="288"/>
    </row>
    <row r="38" customHeight="1" outlineLevel="1" spans="1:51">
      <c r="A38" s="257" t="s">
        <v>209</v>
      </c>
      <c r="B38" s="257" t="s">
        <v>210</v>
      </c>
      <c r="C38" s="258">
        <f>SUM(C39:C51)</f>
        <v>17.2054908440655</v>
      </c>
      <c r="D38" s="258">
        <f t="shared" ref="D38:AJ38" si="209">SUM(D39:D51)</f>
        <v>230.41072012</v>
      </c>
      <c r="E38" s="258">
        <f t="shared" si="209"/>
        <v>17.058051352267</v>
      </c>
      <c r="F38" s="258">
        <f t="shared" si="209"/>
        <v>161.298306647129</v>
      </c>
      <c r="G38" s="258">
        <f t="shared" si="209"/>
        <v>17.058051352267</v>
      </c>
      <c r="H38" s="258">
        <f t="shared" si="209"/>
        <v>9.08974088213387</v>
      </c>
      <c r="I38" s="258">
        <f t="shared" si="209"/>
        <v>17.058051352267</v>
      </c>
      <c r="J38" s="258">
        <f t="shared" si="209"/>
        <v>96.1021955660451</v>
      </c>
      <c r="K38" s="258">
        <f t="shared" si="209"/>
        <v>17.058051352267</v>
      </c>
      <c r="L38" s="258">
        <f t="shared" si="209"/>
        <v>55.1046361332877</v>
      </c>
      <c r="M38" s="258">
        <f t="shared" si="209"/>
        <v>38.058051352267</v>
      </c>
      <c r="N38" s="258">
        <f t="shared" si="209"/>
        <v>0</v>
      </c>
      <c r="O38" s="258">
        <f t="shared" si="209"/>
        <v>38.058051352267</v>
      </c>
      <c r="P38" s="258">
        <f t="shared" si="209"/>
        <v>0</v>
      </c>
      <c r="Q38" s="258">
        <f t="shared" si="209"/>
        <v>38.058051352267</v>
      </c>
      <c r="R38" s="258">
        <f t="shared" si="209"/>
        <v>0</v>
      </c>
      <c r="S38" s="258">
        <f t="shared" si="209"/>
        <v>39.058051352267</v>
      </c>
      <c r="T38" s="258">
        <f t="shared" si="209"/>
        <v>0</v>
      </c>
      <c r="U38" s="258">
        <f t="shared" si="209"/>
        <v>37.058051352267</v>
      </c>
      <c r="V38" s="258">
        <f t="shared" si="209"/>
        <v>0</v>
      </c>
      <c r="W38" s="258">
        <f t="shared" si="209"/>
        <v>37.058051352267</v>
      </c>
      <c r="X38" s="258">
        <f t="shared" si="209"/>
        <v>0</v>
      </c>
      <c r="Y38" s="258">
        <f t="shared" si="209"/>
        <v>17.058051352267</v>
      </c>
      <c r="Z38" s="258">
        <f t="shared" si="209"/>
        <v>1.00173406566188</v>
      </c>
      <c r="AA38" s="258">
        <f t="shared" si="209"/>
        <v>39.058051352267</v>
      </c>
      <c r="AB38" s="258">
        <f t="shared" si="209"/>
        <v>0</v>
      </c>
      <c r="AC38" s="258">
        <f t="shared" si="209"/>
        <v>17.5597128734984</v>
      </c>
      <c r="AD38" s="258">
        <f t="shared" si="209"/>
        <v>69.1124134728715</v>
      </c>
      <c r="AE38" s="258">
        <f t="shared" si="209"/>
        <v>39.058051352267</v>
      </c>
      <c r="AF38" s="258">
        <f t="shared" si="209"/>
        <v>0</v>
      </c>
      <c r="AG38" s="258">
        <f t="shared" si="209"/>
        <v>20.058051352267</v>
      </c>
      <c r="AH38" s="258">
        <f t="shared" si="209"/>
        <v>13.2013067877513</v>
      </c>
      <c r="AI38" s="258">
        <f t="shared" si="209"/>
        <v>17.058051352267</v>
      </c>
      <c r="AJ38" s="258">
        <f t="shared" si="209"/>
        <v>55.9111066851202</v>
      </c>
      <c r="AK38" s="295"/>
      <c r="AL38" s="292">
        <f t="shared" si="17"/>
        <v>230.41072012</v>
      </c>
      <c r="AM38" s="290"/>
      <c r="AN38" s="288"/>
      <c r="AO38" s="288"/>
      <c r="AP38" s="288"/>
      <c r="AQ38" s="288"/>
      <c r="AR38" s="288"/>
      <c r="AS38" s="288"/>
      <c r="AT38" s="288"/>
      <c r="AU38" s="288"/>
      <c r="AV38" s="288"/>
      <c r="AW38" s="288"/>
      <c r="AX38" s="288"/>
      <c r="AY38" s="288"/>
    </row>
    <row r="39" ht="23.1" customHeight="1" outlineLevel="2" spans="1:51">
      <c r="A39" s="267" t="s">
        <v>211</v>
      </c>
      <c r="B39" s="267" t="s">
        <v>212</v>
      </c>
      <c r="C39" s="250">
        <f t="shared" ref="C39:C65" si="210">D39/$C$8</f>
        <v>0</v>
      </c>
      <c r="D39" s="256">
        <f t="shared" ref="D39:D70" si="211">F39+AD39</f>
        <v>0</v>
      </c>
      <c r="E39" s="250">
        <f t="shared" ref="E39:E78" si="212">F39/$E$8</f>
        <v>0</v>
      </c>
      <c r="F39" s="250">
        <f t="shared" ref="F39:F78" si="213">H39+J39+L39+N39+P39+R39+T39+V39+X39+Z39+AB39</f>
        <v>0</v>
      </c>
      <c r="G39" s="261"/>
      <c r="H39" s="250">
        <f t="shared" ref="H39:H78" si="214">G39*G$8</f>
        <v>0</v>
      </c>
      <c r="I39" s="261"/>
      <c r="J39" s="250"/>
      <c r="K39" s="261"/>
      <c r="L39" s="250">
        <f t="shared" ref="L39" si="215">K39*K$8</f>
        <v>0</v>
      </c>
      <c r="M39" s="261">
        <v>1.5</v>
      </c>
      <c r="N39" s="250">
        <f t="shared" ref="N39:N51" si="216">M39*M$8</f>
        <v>0</v>
      </c>
      <c r="O39" s="261">
        <v>1.5</v>
      </c>
      <c r="P39" s="250">
        <f t="shared" ref="P39:P51" si="217">O39*O$8</f>
        <v>0</v>
      </c>
      <c r="Q39" s="261">
        <v>1.5</v>
      </c>
      <c r="R39" s="250">
        <f t="shared" ref="R39:R51" si="218">Q39*Q$8</f>
        <v>0</v>
      </c>
      <c r="S39" s="261">
        <v>1.5</v>
      </c>
      <c r="T39" s="250">
        <f t="shared" ref="T39:T51" si="219">S39*S$8</f>
        <v>0</v>
      </c>
      <c r="U39" s="261">
        <v>1.5</v>
      </c>
      <c r="V39" s="250">
        <f t="shared" ref="V39" si="220">U39*U$8</f>
        <v>0</v>
      </c>
      <c r="W39" s="261">
        <v>1.5</v>
      </c>
      <c r="X39" s="250">
        <f t="shared" ref="X39" si="221">W39*W$8</f>
        <v>0</v>
      </c>
      <c r="Y39" s="261"/>
      <c r="Z39" s="250">
        <f t="shared" ref="Z39" si="222">Y39*Y$8</f>
        <v>0</v>
      </c>
      <c r="AA39" s="261">
        <v>1.5</v>
      </c>
      <c r="AB39" s="250">
        <f t="shared" ref="AB39" si="223">AA39*AA$8</f>
        <v>0</v>
      </c>
      <c r="AC39" s="250"/>
      <c r="AD39" s="250">
        <f t="shared" ref="AD39:AD51" si="224">AF39+AH39+AJ39</f>
        <v>0</v>
      </c>
      <c r="AE39" s="261">
        <v>1.5</v>
      </c>
      <c r="AF39" s="250">
        <f t="shared" ref="AF39" si="225">AE39*AE$8</f>
        <v>0</v>
      </c>
      <c r="AG39" s="261"/>
      <c r="AH39" s="250">
        <f t="shared" ref="AH39" si="226">AG39*AG$8</f>
        <v>0</v>
      </c>
      <c r="AI39" s="261"/>
      <c r="AJ39" s="250">
        <f t="shared" ref="AJ39" si="227">AI39*AI$8</f>
        <v>0</v>
      </c>
      <c r="AK39" s="295" t="s">
        <v>213</v>
      </c>
      <c r="AL39" s="292">
        <f t="shared" si="17"/>
        <v>0</v>
      </c>
      <c r="AM39" s="290"/>
      <c r="AN39" s="288"/>
      <c r="AO39" s="288"/>
      <c r="AP39" s="288"/>
      <c r="AQ39" s="288"/>
      <c r="AR39" s="288"/>
      <c r="AS39" s="288"/>
      <c r="AT39" s="288"/>
      <c r="AU39" s="288"/>
      <c r="AV39" s="288"/>
      <c r="AW39" s="288"/>
      <c r="AX39" s="288"/>
      <c r="AY39" s="288"/>
    </row>
    <row r="40" customHeight="1" outlineLevel="2" spans="1:51">
      <c r="A40" s="268">
        <v>20402</v>
      </c>
      <c r="B40" s="268" t="s">
        <v>214</v>
      </c>
      <c r="C40" s="250">
        <f t="shared" si="210"/>
        <v>1</v>
      </c>
      <c r="D40" s="256">
        <f t="shared" si="211"/>
        <v>13.391697</v>
      </c>
      <c r="E40" s="250">
        <f t="shared" si="212"/>
        <v>1</v>
      </c>
      <c r="F40" s="250">
        <f t="shared" si="213"/>
        <v>9.455846</v>
      </c>
      <c r="G40" s="261">
        <v>1</v>
      </c>
      <c r="H40" s="250">
        <f t="shared" si="214"/>
        <v>0.532871</v>
      </c>
      <c r="I40" s="261">
        <v>1</v>
      </c>
      <c r="J40" s="250">
        <f t="shared" ref="J40" si="228">I40*I$8</f>
        <v>5.633832</v>
      </c>
      <c r="K40" s="261">
        <v>1</v>
      </c>
      <c r="L40" s="250">
        <f t="shared" ref="L40" si="229">K40*K$8</f>
        <v>3.230418</v>
      </c>
      <c r="M40" s="261"/>
      <c r="N40" s="250">
        <f t="shared" si="216"/>
        <v>0</v>
      </c>
      <c r="O40" s="261"/>
      <c r="P40" s="250">
        <f t="shared" si="217"/>
        <v>0</v>
      </c>
      <c r="Q40" s="261"/>
      <c r="R40" s="250">
        <f t="shared" si="218"/>
        <v>0</v>
      </c>
      <c r="S40" s="261">
        <v>1</v>
      </c>
      <c r="T40" s="250">
        <f t="shared" si="219"/>
        <v>0</v>
      </c>
      <c r="U40" s="261">
        <v>1</v>
      </c>
      <c r="V40" s="250">
        <f t="shared" ref="V40" si="230">U40*U$8</f>
        <v>0</v>
      </c>
      <c r="W40" s="261">
        <v>1</v>
      </c>
      <c r="X40" s="250">
        <f t="shared" ref="X40" si="231">W40*W$8</f>
        <v>0</v>
      </c>
      <c r="Y40" s="261">
        <v>1</v>
      </c>
      <c r="Z40" s="250">
        <f t="shared" ref="Z40" si="232">Y40*Y$8</f>
        <v>0.058725</v>
      </c>
      <c r="AA40" s="261">
        <v>1</v>
      </c>
      <c r="AB40" s="250">
        <f t="shared" ref="AB40" si="233">AA40*AA$8</f>
        <v>0</v>
      </c>
      <c r="AC40" s="250">
        <f t="shared" ref="AC40:AC78" si="234">AD40/AC$8</f>
        <v>1</v>
      </c>
      <c r="AD40" s="250">
        <f t="shared" si="224"/>
        <v>3.935851</v>
      </c>
      <c r="AE40" s="261">
        <v>1</v>
      </c>
      <c r="AF40" s="250">
        <f t="shared" ref="AF40" si="235">AE40*AE$8</f>
        <v>0</v>
      </c>
      <c r="AG40" s="261">
        <v>1</v>
      </c>
      <c r="AH40" s="250">
        <f t="shared" ref="AH40" si="236">AG40*AG$8</f>
        <v>0.658155</v>
      </c>
      <c r="AI40" s="261">
        <v>1</v>
      </c>
      <c r="AJ40" s="250">
        <f t="shared" ref="AJ40" si="237">AI40*AI$8</f>
        <v>3.277696</v>
      </c>
      <c r="AK40" s="295" t="s">
        <v>215</v>
      </c>
      <c r="AL40" s="292">
        <f t="shared" si="17"/>
        <v>13.391697</v>
      </c>
      <c r="AM40" s="290"/>
      <c r="AN40" s="288"/>
      <c r="AO40" s="288"/>
      <c r="AP40" s="288"/>
      <c r="AQ40" s="288"/>
      <c r="AR40" s="288"/>
      <c r="AS40" s="288"/>
      <c r="AT40" s="288"/>
      <c r="AU40" s="288"/>
      <c r="AV40" s="288"/>
      <c r="AW40" s="288"/>
      <c r="AX40" s="288"/>
      <c r="AY40" s="288"/>
    </row>
    <row r="41" ht="24" customHeight="1" outlineLevel="2" spans="1:51">
      <c r="A41" s="259" t="s">
        <v>216</v>
      </c>
      <c r="B41" s="259" t="s">
        <v>217</v>
      </c>
      <c r="C41" s="250">
        <f t="shared" si="210"/>
        <v>0</v>
      </c>
      <c r="D41" s="256">
        <f t="shared" si="211"/>
        <v>0</v>
      </c>
      <c r="E41" s="250">
        <f t="shared" si="212"/>
        <v>0</v>
      </c>
      <c r="F41" s="250">
        <f t="shared" si="213"/>
        <v>0</v>
      </c>
      <c r="G41" s="262"/>
      <c r="H41" s="250">
        <f t="shared" si="214"/>
        <v>0</v>
      </c>
      <c r="I41" s="262"/>
      <c r="J41" s="250">
        <f t="shared" ref="J41" si="238">I41*I$8</f>
        <v>0</v>
      </c>
      <c r="K41" s="262"/>
      <c r="L41" s="250">
        <f t="shared" ref="L41" si="239">K41*K$8</f>
        <v>0</v>
      </c>
      <c r="M41" s="262">
        <v>1</v>
      </c>
      <c r="N41" s="250">
        <f t="shared" si="216"/>
        <v>0</v>
      </c>
      <c r="O41" s="262">
        <v>1</v>
      </c>
      <c r="P41" s="250">
        <f t="shared" si="217"/>
        <v>0</v>
      </c>
      <c r="Q41" s="262">
        <v>1</v>
      </c>
      <c r="R41" s="250">
        <f t="shared" si="218"/>
        <v>0</v>
      </c>
      <c r="S41" s="262">
        <v>1</v>
      </c>
      <c r="T41" s="250">
        <f t="shared" si="219"/>
        <v>0</v>
      </c>
      <c r="U41" s="262">
        <v>1</v>
      </c>
      <c r="V41" s="250">
        <f t="shared" ref="V41" si="240">U41*U$8</f>
        <v>0</v>
      </c>
      <c r="W41" s="262">
        <v>1</v>
      </c>
      <c r="X41" s="250">
        <f t="shared" ref="X41" si="241">W41*W$8</f>
        <v>0</v>
      </c>
      <c r="Y41" s="262"/>
      <c r="Z41" s="250">
        <f t="shared" ref="Z41" si="242">Y41*Y$8</f>
        <v>0</v>
      </c>
      <c r="AA41" s="262">
        <v>1</v>
      </c>
      <c r="AB41" s="250">
        <f t="shared" ref="AB41" si="243">AA41*AA$8</f>
        <v>0</v>
      </c>
      <c r="AC41" s="250">
        <f t="shared" si="234"/>
        <v>0</v>
      </c>
      <c r="AD41" s="250">
        <f t="shared" si="224"/>
        <v>0</v>
      </c>
      <c r="AE41" s="262">
        <v>1</v>
      </c>
      <c r="AF41" s="250">
        <f t="shared" ref="AF41" si="244">AE41*AE$8</f>
        <v>0</v>
      </c>
      <c r="AG41" s="262"/>
      <c r="AH41" s="250">
        <f t="shared" ref="AH41" si="245">AG41*AG$8</f>
        <v>0</v>
      </c>
      <c r="AI41" s="262"/>
      <c r="AJ41" s="250">
        <f t="shared" ref="AJ41" si="246">AI41*AI$8</f>
        <v>0</v>
      </c>
      <c r="AK41" s="295" t="s">
        <v>218</v>
      </c>
      <c r="AL41" s="292">
        <f t="shared" si="17"/>
        <v>0</v>
      </c>
      <c r="AM41" s="290"/>
      <c r="AN41" s="288"/>
      <c r="AO41" s="288"/>
      <c r="AP41" s="288"/>
      <c r="AQ41" s="288"/>
      <c r="AR41" s="288"/>
      <c r="AS41" s="288"/>
      <c r="AT41" s="288"/>
      <c r="AU41" s="288"/>
      <c r="AV41" s="288"/>
      <c r="AW41" s="288"/>
      <c r="AX41" s="288"/>
      <c r="AY41" s="288"/>
    </row>
    <row r="42" customHeight="1" outlineLevel="2" spans="1:51">
      <c r="A42" s="259" t="s">
        <v>219</v>
      </c>
      <c r="B42" s="259" t="s">
        <v>220</v>
      </c>
      <c r="C42" s="250">
        <f t="shared" si="210"/>
        <v>0</v>
      </c>
      <c r="D42" s="256">
        <f t="shared" si="211"/>
        <v>0</v>
      </c>
      <c r="E42" s="250">
        <f t="shared" si="212"/>
        <v>0</v>
      </c>
      <c r="F42" s="250">
        <f t="shared" si="213"/>
        <v>0</v>
      </c>
      <c r="G42" s="261"/>
      <c r="H42" s="250">
        <f t="shared" si="214"/>
        <v>0</v>
      </c>
      <c r="I42" s="261"/>
      <c r="J42" s="250">
        <f t="shared" ref="J42" si="247">I42*I$8</f>
        <v>0</v>
      </c>
      <c r="K42" s="261"/>
      <c r="L42" s="250">
        <f t="shared" ref="L42" si="248">K42*K$8</f>
        <v>0</v>
      </c>
      <c r="M42" s="261">
        <v>0.5</v>
      </c>
      <c r="N42" s="250">
        <f t="shared" si="216"/>
        <v>0</v>
      </c>
      <c r="O42" s="261">
        <v>0.5</v>
      </c>
      <c r="P42" s="250">
        <f t="shared" si="217"/>
        <v>0</v>
      </c>
      <c r="Q42" s="261">
        <v>0.5</v>
      </c>
      <c r="R42" s="250">
        <f t="shared" si="218"/>
        <v>0</v>
      </c>
      <c r="S42" s="261">
        <v>0.5</v>
      </c>
      <c r="T42" s="250">
        <f t="shared" si="219"/>
        <v>0</v>
      </c>
      <c r="U42" s="261">
        <v>0.5</v>
      </c>
      <c r="V42" s="250">
        <f t="shared" ref="V42" si="249">U42*U$8</f>
        <v>0</v>
      </c>
      <c r="W42" s="261">
        <v>0.5</v>
      </c>
      <c r="X42" s="250">
        <f t="shared" ref="X42" si="250">W42*W$8</f>
        <v>0</v>
      </c>
      <c r="Y42" s="261"/>
      <c r="Z42" s="250">
        <f t="shared" ref="Z42" si="251">Y42*Y$8</f>
        <v>0</v>
      </c>
      <c r="AA42" s="261">
        <v>0.5</v>
      </c>
      <c r="AB42" s="250">
        <f t="shared" ref="AB42" si="252">AA42*AA$8</f>
        <v>0</v>
      </c>
      <c r="AC42" s="250">
        <f t="shared" si="234"/>
        <v>0</v>
      </c>
      <c r="AD42" s="250">
        <f t="shared" si="224"/>
        <v>0</v>
      </c>
      <c r="AE42" s="261">
        <v>0.5</v>
      </c>
      <c r="AF42" s="250">
        <f t="shared" ref="AF42" si="253">AE42*AE$8</f>
        <v>0</v>
      </c>
      <c r="AG42" s="261"/>
      <c r="AH42" s="250">
        <f t="shared" ref="AH42" si="254">AG42*AG$8</f>
        <v>0</v>
      </c>
      <c r="AI42" s="261"/>
      <c r="AJ42" s="250">
        <f t="shared" ref="AJ42" si="255">AI42*AI$8</f>
        <v>0</v>
      </c>
      <c r="AK42" s="295" t="s">
        <v>221</v>
      </c>
      <c r="AL42" s="292">
        <f t="shared" si="17"/>
        <v>0</v>
      </c>
      <c r="AM42" s="290"/>
      <c r="AN42" s="288"/>
      <c r="AO42" s="288"/>
      <c r="AP42" s="288"/>
      <c r="AQ42" s="288"/>
      <c r="AR42" s="288"/>
      <c r="AS42" s="288"/>
      <c r="AT42" s="288"/>
      <c r="AU42" s="288"/>
      <c r="AV42" s="288"/>
      <c r="AW42" s="288"/>
      <c r="AX42" s="288"/>
      <c r="AY42" s="288"/>
    </row>
    <row r="43" customHeight="1" outlineLevel="2" spans="1:51">
      <c r="A43" s="269" t="s">
        <v>222</v>
      </c>
      <c r="B43" s="269" t="s">
        <v>223</v>
      </c>
      <c r="C43" s="250">
        <f t="shared" si="210"/>
        <v>1.5</v>
      </c>
      <c r="D43" s="256">
        <f t="shared" si="211"/>
        <v>20.0875455</v>
      </c>
      <c r="E43" s="250">
        <f t="shared" si="212"/>
        <v>1.5</v>
      </c>
      <c r="F43" s="250">
        <f t="shared" si="213"/>
        <v>14.183769</v>
      </c>
      <c r="G43" s="261">
        <v>1.5</v>
      </c>
      <c r="H43" s="250">
        <f t="shared" si="214"/>
        <v>0.7993065</v>
      </c>
      <c r="I43" s="261">
        <v>1.5</v>
      </c>
      <c r="J43" s="250">
        <f t="shared" ref="J43" si="256">I43*I$8</f>
        <v>8.450748</v>
      </c>
      <c r="K43" s="261">
        <v>1.5</v>
      </c>
      <c r="L43" s="250">
        <f t="shared" ref="L43" si="257">K43*K$8</f>
        <v>4.845627</v>
      </c>
      <c r="M43" s="261">
        <v>1.5</v>
      </c>
      <c r="N43" s="250">
        <f t="shared" si="216"/>
        <v>0</v>
      </c>
      <c r="O43" s="261">
        <v>1.5</v>
      </c>
      <c r="P43" s="250">
        <f t="shared" si="217"/>
        <v>0</v>
      </c>
      <c r="Q43" s="261">
        <v>1.5</v>
      </c>
      <c r="R43" s="250">
        <f t="shared" si="218"/>
        <v>0</v>
      </c>
      <c r="S43" s="261">
        <v>1.5</v>
      </c>
      <c r="T43" s="250">
        <f t="shared" si="219"/>
        <v>0</v>
      </c>
      <c r="U43" s="261">
        <v>1.5</v>
      </c>
      <c r="V43" s="250">
        <f t="shared" ref="V43" si="258">U43*U$8</f>
        <v>0</v>
      </c>
      <c r="W43" s="261">
        <v>1.5</v>
      </c>
      <c r="X43" s="250">
        <f t="shared" ref="X43" si="259">W43*W$8</f>
        <v>0</v>
      </c>
      <c r="Y43" s="261">
        <v>1.5</v>
      </c>
      <c r="Z43" s="250">
        <f t="shared" ref="Z43" si="260">Y43*Y$8</f>
        <v>0.0880875</v>
      </c>
      <c r="AA43" s="261">
        <v>1.5</v>
      </c>
      <c r="AB43" s="250">
        <f t="shared" ref="AB43" si="261">AA43*AA$8</f>
        <v>0</v>
      </c>
      <c r="AC43" s="250">
        <f t="shared" si="234"/>
        <v>1.5</v>
      </c>
      <c r="AD43" s="250">
        <f t="shared" si="224"/>
        <v>5.9037765</v>
      </c>
      <c r="AE43" s="261">
        <v>1.5</v>
      </c>
      <c r="AF43" s="250">
        <f t="shared" ref="AF43" si="262">AE43*AE$8</f>
        <v>0</v>
      </c>
      <c r="AG43" s="261">
        <v>1.5</v>
      </c>
      <c r="AH43" s="250">
        <f t="shared" ref="AH43" si="263">AG43*AG$8</f>
        <v>0.9872325</v>
      </c>
      <c r="AI43" s="261">
        <v>1.5</v>
      </c>
      <c r="AJ43" s="250">
        <f t="shared" ref="AJ43" si="264">AI43*AI$8</f>
        <v>4.916544</v>
      </c>
      <c r="AK43" s="295" t="s">
        <v>224</v>
      </c>
      <c r="AL43" s="292">
        <f t="shared" ref="AL43:AL74" si="265">H43+J43+L43+Z43+AH43+AJ43</f>
        <v>20.0875455</v>
      </c>
      <c r="AM43" s="290"/>
      <c r="AN43" s="288"/>
      <c r="AO43" s="288"/>
      <c r="AP43" s="288"/>
      <c r="AQ43" s="288"/>
      <c r="AR43" s="288"/>
      <c r="AS43" s="288"/>
      <c r="AT43" s="288"/>
      <c r="AU43" s="288"/>
      <c r="AV43" s="288"/>
      <c r="AW43" s="288"/>
      <c r="AX43" s="288"/>
      <c r="AY43" s="288"/>
    </row>
    <row r="44" s="242" customFormat="1" customHeight="1" outlineLevel="2" spans="1:51">
      <c r="A44" s="270" t="s">
        <v>225</v>
      </c>
      <c r="B44" s="270" t="s">
        <v>226</v>
      </c>
      <c r="C44" s="250">
        <f t="shared" si="210"/>
        <v>0</v>
      </c>
      <c r="D44" s="256">
        <f t="shared" si="211"/>
        <v>0</v>
      </c>
      <c r="E44" s="250">
        <f t="shared" si="212"/>
        <v>0</v>
      </c>
      <c r="F44" s="250">
        <f t="shared" si="213"/>
        <v>0</v>
      </c>
      <c r="G44" s="271"/>
      <c r="H44" s="250">
        <f t="shared" si="214"/>
        <v>0</v>
      </c>
      <c r="I44" s="271"/>
      <c r="J44" s="250">
        <f t="shared" ref="J44" si="266">I44*I$8</f>
        <v>0</v>
      </c>
      <c r="K44" s="271"/>
      <c r="L44" s="250">
        <f t="shared" ref="L44" si="267">K44*K$8</f>
        <v>0</v>
      </c>
      <c r="M44" s="271"/>
      <c r="N44" s="250">
        <f t="shared" si="216"/>
        <v>0</v>
      </c>
      <c r="O44" s="271"/>
      <c r="P44" s="250">
        <f t="shared" si="217"/>
        <v>0</v>
      </c>
      <c r="Q44" s="271"/>
      <c r="R44" s="250">
        <f t="shared" si="218"/>
        <v>0</v>
      </c>
      <c r="S44" s="271"/>
      <c r="T44" s="250">
        <f t="shared" si="219"/>
        <v>0</v>
      </c>
      <c r="U44" s="271"/>
      <c r="V44" s="250">
        <f t="shared" ref="V44" si="268">U44*U$8</f>
        <v>0</v>
      </c>
      <c r="W44" s="271"/>
      <c r="X44" s="250">
        <f t="shared" ref="X44" si="269">W44*W$8</f>
        <v>0</v>
      </c>
      <c r="Y44" s="271"/>
      <c r="Z44" s="250">
        <f t="shared" ref="Z44" si="270">Y44*Y$8</f>
        <v>0</v>
      </c>
      <c r="AA44" s="271"/>
      <c r="AB44" s="250">
        <f t="shared" ref="AB44" si="271">AA44*AA$8</f>
        <v>0</v>
      </c>
      <c r="AC44" s="250">
        <f t="shared" si="234"/>
        <v>0</v>
      </c>
      <c r="AD44" s="250">
        <f t="shared" si="224"/>
        <v>0</v>
      </c>
      <c r="AE44" s="271"/>
      <c r="AF44" s="250">
        <f t="shared" ref="AF44" si="272">AE44*AE$8</f>
        <v>0</v>
      </c>
      <c r="AG44" s="271"/>
      <c r="AH44" s="250">
        <f t="shared" ref="AH44" si="273">AG44*AG$8</f>
        <v>0</v>
      </c>
      <c r="AI44" s="271"/>
      <c r="AJ44" s="250">
        <f t="shared" ref="AJ44" si="274">AI44*AI$8</f>
        <v>0</v>
      </c>
      <c r="AK44" s="295"/>
      <c r="AL44" s="292">
        <f t="shared" si="265"/>
        <v>0</v>
      </c>
      <c r="AM44" s="296"/>
      <c r="AN44" s="297"/>
      <c r="AO44" s="297"/>
      <c r="AP44" s="288"/>
      <c r="AQ44" s="297"/>
      <c r="AR44" s="297"/>
      <c r="AS44" s="297"/>
      <c r="AT44" s="297"/>
      <c r="AU44" s="297"/>
      <c r="AV44" s="297"/>
      <c r="AW44" s="297"/>
      <c r="AX44" s="297"/>
      <c r="AY44" s="297"/>
    </row>
    <row r="45" ht="45" customHeight="1" outlineLevel="2" spans="1:51">
      <c r="A45" s="270" t="s">
        <v>227</v>
      </c>
      <c r="B45" s="272" t="s">
        <v>228</v>
      </c>
      <c r="C45" s="250">
        <f t="shared" si="210"/>
        <v>1.05805135226701</v>
      </c>
      <c r="D45" s="256">
        <f t="shared" si="211"/>
        <v>14.16910312</v>
      </c>
      <c r="E45" s="250">
        <f t="shared" si="212"/>
        <v>1.05805135226701</v>
      </c>
      <c r="F45" s="250">
        <f t="shared" si="213"/>
        <v>10.0047706471286</v>
      </c>
      <c r="G45" s="262">
        <f>$AM$45/$C$8</f>
        <v>1.05805135226701</v>
      </c>
      <c r="H45" s="250">
        <f t="shared" si="214"/>
        <v>0.563804882133874</v>
      </c>
      <c r="I45" s="262">
        <f>$AM$45/$C$8</f>
        <v>1.05805135226701</v>
      </c>
      <c r="J45" s="250">
        <f t="shared" ref="J45" si="275">I45*I$8</f>
        <v>5.96088356604513</v>
      </c>
      <c r="K45" s="262">
        <f>$AM$45/$C$8</f>
        <v>1.05805135226701</v>
      </c>
      <c r="L45" s="250">
        <f t="shared" ref="L45" si="276">K45*K$8</f>
        <v>3.41794813328768</v>
      </c>
      <c r="M45" s="262">
        <f>$AM$45/$C$8</f>
        <v>1.05805135226701</v>
      </c>
      <c r="N45" s="250">
        <f t="shared" si="216"/>
        <v>0</v>
      </c>
      <c r="O45" s="262">
        <f>$AM$45/$C$8</f>
        <v>1.05805135226701</v>
      </c>
      <c r="P45" s="250">
        <f t="shared" si="217"/>
        <v>0</v>
      </c>
      <c r="Q45" s="262">
        <f>$AM$45/$C$8</f>
        <v>1.05805135226701</v>
      </c>
      <c r="R45" s="250">
        <f t="shared" si="218"/>
        <v>0</v>
      </c>
      <c r="S45" s="262">
        <f>$AM$45/$C$8</f>
        <v>1.05805135226701</v>
      </c>
      <c r="T45" s="250">
        <f t="shared" si="219"/>
        <v>0</v>
      </c>
      <c r="U45" s="262">
        <f>$AM$45/$C$8</f>
        <v>1.05805135226701</v>
      </c>
      <c r="V45" s="250">
        <f t="shared" ref="V45" si="277">U45*U$8</f>
        <v>0</v>
      </c>
      <c r="W45" s="262">
        <f>$AM$45/$C$8</f>
        <v>1.05805135226701</v>
      </c>
      <c r="X45" s="250">
        <f t="shared" ref="X45" si="278">W45*W$8</f>
        <v>0</v>
      </c>
      <c r="Y45" s="262">
        <f>$AM$45/$C$8</f>
        <v>1.05805135226701</v>
      </c>
      <c r="Z45" s="250">
        <f t="shared" ref="Z45" si="279">Y45*Y$8</f>
        <v>0.0621340656618802</v>
      </c>
      <c r="AA45" s="262">
        <f>$AM$45/$C$8</f>
        <v>1.05805135226701</v>
      </c>
      <c r="AB45" s="250">
        <f t="shared" ref="AB45" si="280">AA45*AA$8</f>
        <v>0</v>
      </c>
      <c r="AC45" s="250">
        <f t="shared" si="234"/>
        <v>1.05805135226701</v>
      </c>
      <c r="AD45" s="250">
        <f t="shared" si="224"/>
        <v>4.16433247287145</v>
      </c>
      <c r="AE45" s="262">
        <f>$AM$45/$C$8</f>
        <v>1.05805135226701</v>
      </c>
      <c r="AF45" s="250">
        <f t="shared" ref="AF45" si="281">AE45*AE$8</f>
        <v>0</v>
      </c>
      <c r="AG45" s="262">
        <f>$AM$45/$C$8</f>
        <v>1.05805135226701</v>
      </c>
      <c r="AH45" s="250">
        <f t="shared" ref="AH45" si="282">AG45*AG$8</f>
        <v>0.696361787751291</v>
      </c>
      <c r="AI45" s="262">
        <f>$AM$45/$C$8</f>
        <v>1.05805135226701</v>
      </c>
      <c r="AJ45" s="250">
        <f t="shared" ref="AJ45" si="283">AI45*AI$8</f>
        <v>3.46797068512016</v>
      </c>
      <c r="AK45" s="295" t="s">
        <v>229</v>
      </c>
      <c r="AL45" s="292">
        <f t="shared" si="265"/>
        <v>14.16910312</v>
      </c>
      <c r="AM45" s="290">
        <f>经济指标!E6*3.02/10000</f>
        <v>14.16910312</v>
      </c>
      <c r="AN45" s="288"/>
      <c r="AO45" s="288"/>
      <c r="AP45" s="288"/>
      <c r="AQ45" s="288"/>
      <c r="AR45" s="288"/>
      <c r="AS45" s="288"/>
      <c r="AT45" s="288"/>
      <c r="AU45" s="288"/>
      <c r="AV45" s="288"/>
      <c r="AW45" s="288"/>
      <c r="AX45" s="288"/>
      <c r="AY45" s="288"/>
    </row>
    <row r="46" ht="24.95" customHeight="1" outlineLevel="2" spans="1:51">
      <c r="A46" s="269" t="s">
        <v>230</v>
      </c>
      <c r="B46" s="269" t="s">
        <v>231</v>
      </c>
      <c r="C46" s="250">
        <f t="shared" si="210"/>
        <v>1</v>
      </c>
      <c r="D46" s="256">
        <f t="shared" si="211"/>
        <v>13.391697</v>
      </c>
      <c r="E46" s="250">
        <f t="shared" si="212"/>
        <v>1</v>
      </c>
      <c r="F46" s="250">
        <f t="shared" si="213"/>
        <v>9.455846</v>
      </c>
      <c r="G46" s="261">
        <v>1</v>
      </c>
      <c r="H46" s="250">
        <f t="shared" si="214"/>
        <v>0.532871</v>
      </c>
      <c r="I46" s="261">
        <v>1</v>
      </c>
      <c r="J46" s="250">
        <f t="shared" ref="J46" si="284">I46*I$8</f>
        <v>5.633832</v>
      </c>
      <c r="K46" s="261">
        <v>1</v>
      </c>
      <c r="L46" s="250">
        <f t="shared" ref="L46" si="285">K46*K$8</f>
        <v>3.230418</v>
      </c>
      <c r="M46" s="261">
        <v>5</v>
      </c>
      <c r="N46" s="250">
        <f t="shared" si="216"/>
        <v>0</v>
      </c>
      <c r="O46" s="261">
        <v>5</v>
      </c>
      <c r="P46" s="250">
        <f t="shared" si="217"/>
        <v>0</v>
      </c>
      <c r="Q46" s="261">
        <v>5</v>
      </c>
      <c r="R46" s="250">
        <f t="shared" si="218"/>
        <v>0</v>
      </c>
      <c r="S46" s="261">
        <v>5</v>
      </c>
      <c r="T46" s="250">
        <f t="shared" si="219"/>
        <v>0</v>
      </c>
      <c r="U46" s="261">
        <v>5</v>
      </c>
      <c r="V46" s="250">
        <f t="shared" ref="V46" si="286">U46*U$8</f>
        <v>0</v>
      </c>
      <c r="W46" s="261">
        <v>5</v>
      </c>
      <c r="X46" s="250">
        <f t="shared" ref="X46" si="287">W46*W$8</f>
        <v>0</v>
      </c>
      <c r="Y46" s="261">
        <v>1</v>
      </c>
      <c r="Z46" s="250">
        <f t="shared" ref="Z46" si="288">Y46*Y$8</f>
        <v>0.058725</v>
      </c>
      <c r="AA46" s="261">
        <v>5</v>
      </c>
      <c r="AB46" s="250">
        <f t="shared" ref="AB46" si="289">AA46*AA$8</f>
        <v>0</v>
      </c>
      <c r="AC46" s="250">
        <f t="shared" si="234"/>
        <v>1</v>
      </c>
      <c r="AD46" s="250">
        <f t="shared" si="224"/>
        <v>3.935851</v>
      </c>
      <c r="AE46" s="261">
        <v>5</v>
      </c>
      <c r="AF46" s="250">
        <f t="shared" ref="AF46" si="290">AE46*AE$8</f>
        <v>0</v>
      </c>
      <c r="AG46" s="261">
        <v>1</v>
      </c>
      <c r="AH46" s="250">
        <f t="shared" ref="AH46" si="291">AG46*AG$8</f>
        <v>0.658155</v>
      </c>
      <c r="AI46" s="261">
        <v>1</v>
      </c>
      <c r="AJ46" s="250">
        <f t="shared" ref="AJ46" si="292">AI46*AI$8</f>
        <v>3.277696</v>
      </c>
      <c r="AK46" s="295" t="s">
        <v>232</v>
      </c>
      <c r="AL46" s="292">
        <f t="shared" si="265"/>
        <v>13.391697</v>
      </c>
      <c r="AM46" s="290"/>
      <c r="AN46" s="288"/>
      <c r="AO46" s="288"/>
      <c r="AP46" s="288"/>
      <c r="AQ46" s="288"/>
      <c r="AR46" s="288"/>
      <c r="AS46" s="288"/>
      <c r="AT46" s="288"/>
      <c r="AU46" s="288"/>
      <c r="AV46" s="288"/>
      <c r="AW46" s="288"/>
      <c r="AX46" s="288"/>
      <c r="AY46" s="288"/>
    </row>
    <row r="47" ht="24" customHeight="1" outlineLevel="2" spans="1:51">
      <c r="A47" s="269">
        <v>20409</v>
      </c>
      <c r="B47" s="269" t="s">
        <v>233</v>
      </c>
      <c r="C47" s="250">
        <f t="shared" si="210"/>
        <v>2.5</v>
      </c>
      <c r="D47" s="256">
        <f t="shared" si="211"/>
        <v>33.4792425</v>
      </c>
      <c r="E47" s="250">
        <f t="shared" si="212"/>
        <v>2.5</v>
      </c>
      <c r="F47" s="250">
        <f t="shared" si="213"/>
        <v>23.639615</v>
      </c>
      <c r="G47" s="262">
        <v>2.5</v>
      </c>
      <c r="H47" s="250">
        <f t="shared" si="214"/>
        <v>1.3321775</v>
      </c>
      <c r="I47" s="262">
        <v>2.5</v>
      </c>
      <c r="J47" s="250">
        <f t="shared" ref="J47" si="293">I47*I$8</f>
        <v>14.08458</v>
      </c>
      <c r="K47" s="262">
        <v>2.5</v>
      </c>
      <c r="L47" s="250">
        <f t="shared" ref="L47" si="294">K47*K$8</f>
        <v>8.076045</v>
      </c>
      <c r="M47" s="262">
        <v>2.5</v>
      </c>
      <c r="N47" s="250">
        <f t="shared" si="216"/>
        <v>0</v>
      </c>
      <c r="O47" s="262">
        <v>2.5</v>
      </c>
      <c r="P47" s="250">
        <f t="shared" si="217"/>
        <v>0</v>
      </c>
      <c r="Q47" s="262">
        <v>2.5</v>
      </c>
      <c r="R47" s="250">
        <f t="shared" si="218"/>
        <v>0</v>
      </c>
      <c r="S47" s="262">
        <v>2.5</v>
      </c>
      <c r="T47" s="250">
        <f t="shared" si="219"/>
        <v>0</v>
      </c>
      <c r="U47" s="262">
        <v>2.5</v>
      </c>
      <c r="V47" s="250">
        <f t="shared" ref="V47" si="295">U47*U$8</f>
        <v>0</v>
      </c>
      <c r="W47" s="262">
        <v>2.5</v>
      </c>
      <c r="X47" s="250">
        <f t="shared" ref="X47" si="296">W47*W$8</f>
        <v>0</v>
      </c>
      <c r="Y47" s="262">
        <v>2.5</v>
      </c>
      <c r="Z47" s="250">
        <f t="shared" ref="Z47" si="297">Y47*Y$8</f>
        <v>0.1468125</v>
      </c>
      <c r="AA47" s="262">
        <v>2.5</v>
      </c>
      <c r="AB47" s="250">
        <f t="shared" ref="AB47" si="298">AA47*AA$8</f>
        <v>0</v>
      </c>
      <c r="AC47" s="250">
        <f t="shared" si="234"/>
        <v>2.5</v>
      </c>
      <c r="AD47" s="250">
        <f t="shared" si="224"/>
        <v>9.83962750000001</v>
      </c>
      <c r="AE47" s="262">
        <v>2.5</v>
      </c>
      <c r="AF47" s="250">
        <f t="shared" ref="AF47" si="299">AE47*AE$8</f>
        <v>0</v>
      </c>
      <c r="AG47" s="262">
        <v>2.5</v>
      </c>
      <c r="AH47" s="250">
        <f t="shared" ref="AH47" si="300">AG47*AG$8</f>
        <v>1.6453875</v>
      </c>
      <c r="AI47" s="262">
        <v>2.5</v>
      </c>
      <c r="AJ47" s="250">
        <f t="shared" ref="AJ47" si="301">AI47*AI$8</f>
        <v>8.19424000000001</v>
      </c>
      <c r="AK47" s="295" t="s">
        <v>234</v>
      </c>
      <c r="AL47" s="292">
        <f t="shared" si="265"/>
        <v>33.4792425</v>
      </c>
      <c r="AM47" s="290"/>
      <c r="AN47" s="288"/>
      <c r="AO47" s="288"/>
      <c r="AP47" s="288"/>
      <c r="AQ47" s="288"/>
      <c r="AR47" s="288"/>
      <c r="AS47" s="288"/>
      <c r="AT47" s="288"/>
      <c r="AU47" s="288"/>
      <c r="AV47" s="288"/>
      <c r="AW47" s="288"/>
      <c r="AX47" s="288"/>
      <c r="AY47" s="288"/>
    </row>
    <row r="48" ht="26.1" customHeight="1" outlineLevel="2" spans="1:51">
      <c r="A48" s="264" t="s">
        <v>235</v>
      </c>
      <c r="B48" s="264" t="s">
        <v>236</v>
      </c>
      <c r="C48" s="250">
        <f t="shared" si="210"/>
        <v>3</v>
      </c>
      <c r="D48" s="256">
        <f t="shared" si="211"/>
        <v>40.175091</v>
      </c>
      <c r="E48" s="250">
        <f t="shared" si="212"/>
        <v>3</v>
      </c>
      <c r="F48" s="250">
        <f t="shared" si="213"/>
        <v>28.367538</v>
      </c>
      <c r="G48" s="261">
        <v>3</v>
      </c>
      <c r="H48" s="250">
        <f t="shared" si="214"/>
        <v>1.598613</v>
      </c>
      <c r="I48" s="261">
        <v>3</v>
      </c>
      <c r="J48" s="250">
        <f t="shared" ref="J48" si="302">I48*I$8</f>
        <v>16.901496</v>
      </c>
      <c r="K48" s="261">
        <v>3</v>
      </c>
      <c r="L48" s="250">
        <f t="shared" ref="L48" si="303">K48*K$8</f>
        <v>9.691254</v>
      </c>
      <c r="M48" s="261">
        <v>10</v>
      </c>
      <c r="N48" s="250">
        <f t="shared" si="216"/>
        <v>0</v>
      </c>
      <c r="O48" s="261">
        <v>10</v>
      </c>
      <c r="P48" s="250">
        <f t="shared" si="217"/>
        <v>0</v>
      </c>
      <c r="Q48" s="261">
        <v>10</v>
      </c>
      <c r="R48" s="250">
        <f t="shared" si="218"/>
        <v>0</v>
      </c>
      <c r="S48" s="261">
        <v>10</v>
      </c>
      <c r="T48" s="250">
        <f t="shared" si="219"/>
        <v>0</v>
      </c>
      <c r="U48" s="261">
        <v>8</v>
      </c>
      <c r="V48" s="250">
        <f t="shared" ref="V48" si="304">U48*U$8</f>
        <v>0</v>
      </c>
      <c r="W48" s="261">
        <v>8</v>
      </c>
      <c r="X48" s="250">
        <f t="shared" ref="X48" si="305">W48*W$8</f>
        <v>0</v>
      </c>
      <c r="Y48" s="261">
        <v>3</v>
      </c>
      <c r="Z48" s="250">
        <f t="shared" ref="Z48" si="306">Y48*Y$8</f>
        <v>0.176175</v>
      </c>
      <c r="AA48" s="261">
        <v>10</v>
      </c>
      <c r="AB48" s="250">
        <f t="shared" ref="AB48" si="307">AA48*AA$8</f>
        <v>0</v>
      </c>
      <c r="AC48" s="250">
        <f t="shared" si="234"/>
        <v>3</v>
      </c>
      <c r="AD48" s="250">
        <f t="shared" si="224"/>
        <v>11.807553</v>
      </c>
      <c r="AE48" s="261">
        <v>10</v>
      </c>
      <c r="AF48" s="250">
        <f t="shared" ref="AF48" si="308">AE48*AE$8</f>
        <v>0</v>
      </c>
      <c r="AG48" s="261">
        <v>3</v>
      </c>
      <c r="AH48" s="250">
        <f t="shared" ref="AH48" si="309">AG48*AG$8</f>
        <v>1.974465</v>
      </c>
      <c r="AI48" s="261">
        <v>3</v>
      </c>
      <c r="AJ48" s="250">
        <f t="shared" ref="AJ48" si="310">AI48*AI$8</f>
        <v>9.83308800000001</v>
      </c>
      <c r="AK48" s="295" t="s">
        <v>237</v>
      </c>
      <c r="AL48" s="292">
        <f t="shared" si="265"/>
        <v>40.175091</v>
      </c>
      <c r="AM48" s="290"/>
      <c r="AN48" s="288"/>
      <c r="AO48" s="288"/>
      <c r="AP48" s="288"/>
      <c r="AQ48" s="288"/>
      <c r="AR48" s="288"/>
      <c r="AS48" s="288"/>
      <c r="AT48" s="288"/>
      <c r="AU48" s="288"/>
      <c r="AV48" s="288"/>
      <c r="AW48" s="288"/>
      <c r="AX48" s="288"/>
      <c r="AY48" s="288"/>
    </row>
    <row r="49" ht="21" customHeight="1" outlineLevel="2" spans="1:51">
      <c r="A49" s="259">
        <v>20411</v>
      </c>
      <c r="B49" s="259" t="s">
        <v>238</v>
      </c>
      <c r="C49" s="250">
        <f t="shared" si="210"/>
        <v>7.14743949179854</v>
      </c>
      <c r="D49" s="256">
        <f t="shared" si="211"/>
        <v>95.716344</v>
      </c>
      <c r="E49" s="250">
        <f t="shared" si="212"/>
        <v>7</v>
      </c>
      <c r="F49" s="250">
        <f t="shared" si="213"/>
        <v>66.190922</v>
      </c>
      <c r="G49" s="262">
        <v>7</v>
      </c>
      <c r="H49" s="250">
        <f t="shared" si="214"/>
        <v>3.730097</v>
      </c>
      <c r="I49" s="262">
        <v>7</v>
      </c>
      <c r="J49" s="250">
        <f t="shared" ref="J49" si="311">I49*I$8</f>
        <v>39.436824</v>
      </c>
      <c r="K49" s="262">
        <v>7</v>
      </c>
      <c r="L49" s="250">
        <f t="shared" ref="L49" si="312">K49*K$8</f>
        <v>22.612926</v>
      </c>
      <c r="M49" s="262">
        <v>10</v>
      </c>
      <c r="N49" s="250">
        <f t="shared" si="216"/>
        <v>0</v>
      </c>
      <c r="O49" s="262">
        <v>10</v>
      </c>
      <c r="P49" s="250">
        <f t="shared" si="217"/>
        <v>0</v>
      </c>
      <c r="Q49" s="262">
        <v>10</v>
      </c>
      <c r="R49" s="250">
        <f t="shared" si="218"/>
        <v>0</v>
      </c>
      <c r="S49" s="262">
        <v>10</v>
      </c>
      <c r="T49" s="250">
        <f t="shared" si="219"/>
        <v>0</v>
      </c>
      <c r="U49" s="262">
        <v>10</v>
      </c>
      <c r="V49" s="250">
        <f t="shared" ref="V49" si="313">U49*U$8</f>
        <v>0</v>
      </c>
      <c r="W49" s="262">
        <v>10</v>
      </c>
      <c r="X49" s="250">
        <f t="shared" ref="X49" si="314">W49*W$8</f>
        <v>0</v>
      </c>
      <c r="Y49" s="262">
        <v>7</v>
      </c>
      <c r="Z49" s="250">
        <f t="shared" ref="Z49" si="315">Y49*Y$8</f>
        <v>0.411075</v>
      </c>
      <c r="AA49" s="262">
        <v>10</v>
      </c>
      <c r="AB49" s="250">
        <f t="shared" ref="AB49" si="316">AA49*AA$8</f>
        <v>0</v>
      </c>
      <c r="AC49" s="250">
        <f t="shared" si="234"/>
        <v>7.50166152123137</v>
      </c>
      <c r="AD49" s="250">
        <f t="shared" si="224"/>
        <v>29.525422</v>
      </c>
      <c r="AE49" s="262">
        <v>10</v>
      </c>
      <c r="AF49" s="250">
        <f t="shared" ref="AF49" si="317">AE49*AE$8</f>
        <v>0</v>
      </c>
      <c r="AG49" s="262">
        <v>10</v>
      </c>
      <c r="AH49" s="250">
        <f t="shared" ref="AH49" si="318">AG49*AG$8</f>
        <v>6.58155</v>
      </c>
      <c r="AI49" s="262">
        <v>7</v>
      </c>
      <c r="AJ49" s="250">
        <f t="shared" ref="AJ49" si="319">AI49*AI$8</f>
        <v>22.943872</v>
      </c>
      <c r="AK49" s="295" t="s">
        <v>239</v>
      </c>
      <c r="AL49" s="292">
        <f t="shared" si="265"/>
        <v>95.716344</v>
      </c>
      <c r="AM49" s="290"/>
      <c r="AN49" s="288"/>
      <c r="AO49" s="288"/>
      <c r="AP49" s="288"/>
      <c r="AQ49" s="288"/>
      <c r="AR49" s="288"/>
      <c r="AS49" s="288"/>
      <c r="AT49" s="288"/>
      <c r="AU49" s="288"/>
      <c r="AV49" s="288"/>
      <c r="AW49" s="288"/>
      <c r="AX49" s="288"/>
      <c r="AY49" s="288"/>
    </row>
    <row r="50" customHeight="1" outlineLevel="2" spans="1:51">
      <c r="A50" s="259" t="s">
        <v>240</v>
      </c>
      <c r="B50" s="259" t="s">
        <v>241</v>
      </c>
      <c r="C50" s="250">
        <f t="shared" si="210"/>
        <v>0</v>
      </c>
      <c r="D50" s="256">
        <f t="shared" si="211"/>
        <v>0</v>
      </c>
      <c r="E50" s="250">
        <f t="shared" si="212"/>
        <v>0</v>
      </c>
      <c r="F50" s="250">
        <f t="shared" si="213"/>
        <v>0</v>
      </c>
      <c r="G50" s="262"/>
      <c r="H50" s="250">
        <f t="shared" si="214"/>
        <v>0</v>
      </c>
      <c r="I50" s="262"/>
      <c r="J50" s="250">
        <f t="shared" ref="J50" si="320">I50*I$8</f>
        <v>0</v>
      </c>
      <c r="K50" s="262"/>
      <c r="L50" s="250">
        <f t="shared" ref="L50" si="321">K50*K$8</f>
        <v>0</v>
      </c>
      <c r="M50" s="262"/>
      <c r="N50" s="250">
        <f t="shared" si="216"/>
        <v>0</v>
      </c>
      <c r="O50" s="262"/>
      <c r="P50" s="250">
        <f t="shared" si="217"/>
        <v>0</v>
      </c>
      <c r="Q50" s="262"/>
      <c r="R50" s="250">
        <f t="shared" si="218"/>
        <v>0</v>
      </c>
      <c r="S50" s="262"/>
      <c r="T50" s="250">
        <f t="shared" si="219"/>
        <v>0</v>
      </c>
      <c r="U50" s="262"/>
      <c r="V50" s="250">
        <f t="shared" ref="V50" si="322">U50*U$8</f>
        <v>0</v>
      </c>
      <c r="W50" s="262"/>
      <c r="X50" s="250">
        <f t="shared" ref="X50" si="323">W50*W$8</f>
        <v>0</v>
      </c>
      <c r="Y50" s="262"/>
      <c r="Z50" s="250">
        <f t="shared" ref="Z50:Z51" si="324">Y50*Y$8</f>
        <v>0</v>
      </c>
      <c r="AA50" s="262"/>
      <c r="AB50" s="250">
        <f t="shared" ref="AB50" si="325">AA50*AA$8</f>
        <v>0</v>
      </c>
      <c r="AC50" s="250">
        <f t="shared" si="234"/>
        <v>0</v>
      </c>
      <c r="AD50" s="250">
        <f t="shared" si="224"/>
        <v>0</v>
      </c>
      <c r="AE50" s="262"/>
      <c r="AF50" s="250">
        <f t="shared" ref="AF50" si="326">AE50*AE$8</f>
        <v>0</v>
      </c>
      <c r="AG50" s="262"/>
      <c r="AH50" s="250">
        <f t="shared" ref="AH50" si="327">AG50*AG$8</f>
        <v>0</v>
      </c>
      <c r="AI50" s="262"/>
      <c r="AJ50" s="250">
        <f t="shared" ref="AJ50" si="328">AI50*AI$8</f>
        <v>0</v>
      </c>
      <c r="AK50" s="295"/>
      <c r="AL50" s="292">
        <f t="shared" si="265"/>
        <v>0</v>
      </c>
      <c r="AM50" s="290"/>
      <c r="AN50" s="288"/>
      <c r="AO50" s="259"/>
      <c r="AP50" s="288"/>
      <c r="AQ50" s="288"/>
      <c r="AR50" s="288"/>
      <c r="AS50" s="288"/>
      <c r="AT50" s="288"/>
      <c r="AU50" s="288"/>
      <c r="AV50" s="288"/>
      <c r="AW50" s="288"/>
      <c r="AX50" s="288"/>
      <c r="AY50" s="288"/>
    </row>
    <row r="51" ht="21" customHeight="1" outlineLevel="2" spans="1:51">
      <c r="A51" s="259" t="s">
        <v>242</v>
      </c>
      <c r="B51" s="259" t="s">
        <v>243</v>
      </c>
      <c r="C51" s="250">
        <f t="shared" si="210"/>
        <v>0</v>
      </c>
      <c r="D51" s="256">
        <f t="shared" si="211"/>
        <v>0</v>
      </c>
      <c r="E51" s="250">
        <f t="shared" si="212"/>
        <v>0</v>
      </c>
      <c r="F51" s="250">
        <f t="shared" si="213"/>
        <v>0</v>
      </c>
      <c r="G51" s="261"/>
      <c r="H51" s="250">
        <f t="shared" si="214"/>
        <v>0</v>
      </c>
      <c r="I51" s="261"/>
      <c r="J51" s="250">
        <f t="shared" ref="J51" si="329">I51*I$8</f>
        <v>0</v>
      </c>
      <c r="K51" s="261"/>
      <c r="L51" s="250">
        <f t="shared" ref="L51" si="330">K51*K$8</f>
        <v>0</v>
      </c>
      <c r="M51" s="261">
        <v>5</v>
      </c>
      <c r="N51" s="250">
        <f t="shared" si="216"/>
        <v>0</v>
      </c>
      <c r="O51" s="261">
        <v>5</v>
      </c>
      <c r="P51" s="250">
        <f t="shared" si="217"/>
        <v>0</v>
      </c>
      <c r="Q51" s="261">
        <v>5</v>
      </c>
      <c r="R51" s="250">
        <f t="shared" si="218"/>
        <v>0</v>
      </c>
      <c r="S51" s="261">
        <v>5</v>
      </c>
      <c r="T51" s="250">
        <f t="shared" si="219"/>
        <v>0</v>
      </c>
      <c r="U51" s="261">
        <v>5</v>
      </c>
      <c r="V51" s="250">
        <f t="shared" ref="V51" si="331">U51*U$8</f>
        <v>0</v>
      </c>
      <c r="W51" s="261">
        <v>5</v>
      </c>
      <c r="X51" s="250">
        <f t="shared" ref="X51" si="332">W51*W$8</f>
        <v>0</v>
      </c>
      <c r="Y51" s="261"/>
      <c r="Z51" s="250">
        <f t="shared" si="324"/>
        <v>0</v>
      </c>
      <c r="AA51" s="261">
        <v>5</v>
      </c>
      <c r="AB51" s="250">
        <f t="shared" ref="AB51" si="333">AA51*AA$8</f>
        <v>0</v>
      </c>
      <c r="AC51" s="250">
        <f t="shared" si="234"/>
        <v>0</v>
      </c>
      <c r="AD51" s="250">
        <f t="shared" si="224"/>
        <v>0</v>
      </c>
      <c r="AE51" s="261">
        <v>5</v>
      </c>
      <c r="AF51" s="250">
        <f t="shared" ref="AF51" si="334">AE51*AE$8</f>
        <v>0</v>
      </c>
      <c r="AG51" s="261"/>
      <c r="AH51" s="250">
        <f t="shared" ref="AH51" si="335">AG51*AG$8</f>
        <v>0</v>
      </c>
      <c r="AI51" s="261"/>
      <c r="AJ51" s="250">
        <f t="shared" ref="AJ51" si="336">AI51*AI$8</f>
        <v>0</v>
      </c>
      <c r="AK51" s="299" t="s">
        <v>244</v>
      </c>
      <c r="AL51" s="292">
        <f t="shared" si="265"/>
        <v>0</v>
      </c>
      <c r="AM51" s="290"/>
      <c r="AN51" s="288"/>
      <c r="AO51" s="288"/>
      <c r="AP51" s="288"/>
      <c r="AQ51" s="288"/>
      <c r="AR51" s="288"/>
      <c r="AS51" s="288"/>
      <c r="AT51" s="288"/>
      <c r="AU51" s="288"/>
      <c r="AV51" s="288"/>
      <c r="AW51" s="288"/>
      <c r="AX51" s="288"/>
      <c r="AY51" s="288"/>
    </row>
    <row r="52" customHeight="1" outlineLevel="1" spans="1:51">
      <c r="A52" s="255" t="s">
        <v>245</v>
      </c>
      <c r="B52" s="255" t="s">
        <v>246</v>
      </c>
      <c r="C52" s="258">
        <f>SUM(C53:C69)</f>
        <v>37.5056551757407</v>
      </c>
      <c r="D52" s="258">
        <f>SUM(D53:D69)</f>
        <v>502.264369900001</v>
      </c>
      <c r="E52" s="258">
        <f t="shared" ref="D52:AJ52" si="337">SUM(E53:E69)</f>
        <v>37.7030851702037</v>
      </c>
      <c r="F52" s="258">
        <f t="shared" si="337"/>
        <v>356.51456709433</v>
      </c>
      <c r="G52" s="258">
        <f t="shared" si="337"/>
        <v>37.7369430983757</v>
      </c>
      <c r="H52" s="258">
        <f t="shared" si="337"/>
        <v>20.1089226057745</v>
      </c>
      <c r="I52" s="258">
        <f t="shared" si="337"/>
        <v>37.6504482142281</v>
      </c>
      <c r="J52" s="258">
        <f t="shared" si="337"/>
        <v>212.116299963661</v>
      </c>
      <c r="K52" s="258">
        <f t="shared" si="337"/>
        <v>37.8015103888046</v>
      </c>
      <c r="L52" s="258">
        <f t="shared" si="337"/>
        <v>122.114679587182</v>
      </c>
      <c r="M52" s="258">
        <f t="shared" si="337"/>
        <v>33.3313314212531</v>
      </c>
      <c r="N52" s="258">
        <f t="shared" si="337"/>
        <v>0</v>
      </c>
      <c r="O52" s="258">
        <f t="shared" si="337"/>
        <v>88.3313314212531</v>
      </c>
      <c r="P52" s="258">
        <f t="shared" si="337"/>
        <v>0</v>
      </c>
      <c r="Q52" s="258">
        <f t="shared" si="337"/>
        <v>33.3313314212531</v>
      </c>
      <c r="R52" s="258">
        <f t="shared" si="337"/>
        <v>0</v>
      </c>
      <c r="S52" s="258">
        <f t="shared" si="337"/>
        <v>34.3313314212531</v>
      </c>
      <c r="T52" s="258">
        <f t="shared" si="337"/>
        <v>0</v>
      </c>
      <c r="U52" s="258">
        <f t="shared" si="337"/>
        <v>34.3313314212531</v>
      </c>
      <c r="V52" s="258">
        <f t="shared" si="337"/>
        <v>0</v>
      </c>
      <c r="W52" s="258">
        <f t="shared" si="337"/>
        <v>34.3313314212531</v>
      </c>
      <c r="X52" s="258">
        <f t="shared" si="337"/>
        <v>0</v>
      </c>
      <c r="Y52" s="258">
        <f t="shared" si="337"/>
        <v>37.0313314212531</v>
      </c>
      <c r="Z52" s="258">
        <f t="shared" si="337"/>
        <v>2.17466493771309</v>
      </c>
      <c r="AA52" s="258">
        <f t="shared" si="337"/>
        <v>34.3313314212531</v>
      </c>
      <c r="AB52" s="258">
        <f t="shared" si="337"/>
        <v>0</v>
      </c>
      <c r="AC52" s="258">
        <f t="shared" si="337"/>
        <v>37.0313314212531</v>
      </c>
      <c r="AD52" s="258">
        <f t="shared" si="337"/>
        <v>145.74980280567</v>
      </c>
      <c r="AE52" s="258">
        <f t="shared" si="337"/>
        <v>33.3313314212531</v>
      </c>
      <c r="AF52" s="258">
        <f t="shared" si="337"/>
        <v>0</v>
      </c>
      <c r="AG52" s="258">
        <f t="shared" si="337"/>
        <v>37.0313314212531</v>
      </c>
      <c r="AH52" s="258">
        <f t="shared" si="337"/>
        <v>24.3723559315548</v>
      </c>
      <c r="AI52" s="258">
        <f t="shared" si="337"/>
        <v>37.0313314212531</v>
      </c>
      <c r="AJ52" s="258">
        <f t="shared" si="337"/>
        <v>121.377446874116</v>
      </c>
      <c r="AK52" s="295"/>
      <c r="AL52" s="292">
        <f t="shared" si="265"/>
        <v>502.264369900001</v>
      </c>
      <c r="AM52" s="290"/>
      <c r="AN52" s="288"/>
      <c r="AO52" s="288"/>
      <c r="AP52" s="288"/>
      <c r="AQ52" s="288"/>
      <c r="AR52" s="288"/>
      <c r="AS52" s="288"/>
      <c r="AT52" s="288"/>
      <c r="AU52" s="288"/>
      <c r="AV52" s="288"/>
      <c r="AW52" s="288"/>
      <c r="AX52" s="288"/>
      <c r="AY52" s="288"/>
    </row>
    <row r="53" ht="42" customHeight="1" outlineLevel="2" spans="1:51">
      <c r="A53" s="265" t="s">
        <v>247</v>
      </c>
      <c r="B53" s="259" t="s">
        <v>248</v>
      </c>
      <c r="C53" s="250">
        <f t="shared" si="210"/>
        <v>5</v>
      </c>
      <c r="D53" s="256">
        <f t="shared" si="211"/>
        <v>66.958485</v>
      </c>
      <c r="E53" s="250">
        <f t="shared" si="212"/>
        <v>5</v>
      </c>
      <c r="F53" s="250">
        <f t="shared" si="213"/>
        <v>47.27923</v>
      </c>
      <c r="G53" s="261">
        <v>5</v>
      </c>
      <c r="H53" s="250">
        <f t="shared" si="214"/>
        <v>2.664355</v>
      </c>
      <c r="I53" s="261">
        <v>5</v>
      </c>
      <c r="J53" s="250">
        <f t="shared" ref="J53" si="338">I53*I$8</f>
        <v>28.16916</v>
      </c>
      <c r="K53" s="261">
        <v>5</v>
      </c>
      <c r="L53" s="250">
        <f t="shared" ref="L53" si="339">K53*K$8</f>
        <v>16.15209</v>
      </c>
      <c r="M53" s="261">
        <v>10</v>
      </c>
      <c r="N53" s="250">
        <f t="shared" ref="N53:N72" si="340">M53*M$8</f>
        <v>0</v>
      </c>
      <c r="O53" s="261">
        <v>10</v>
      </c>
      <c r="P53" s="250">
        <f t="shared" ref="P53:P72" si="341">O53*O$8</f>
        <v>0</v>
      </c>
      <c r="Q53" s="261">
        <v>10</v>
      </c>
      <c r="R53" s="250">
        <f t="shared" ref="R53:R72" si="342">Q53*Q$8</f>
        <v>0</v>
      </c>
      <c r="S53" s="261">
        <v>10</v>
      </c>
      <c r="T53" s="250">
        <f t="shared" ref="T53:T72" si="343">S53*S$8</f>
        <v>0</v>
      </c>
      <c r="U53" s="261">
        <v>10</v>
      </c>
      <c r="V53" s="250">
        <f t="shared" ref="V53" si="344">U53*U$8</f>
        <v>0</v>
      </c>
      <c r="W53" s="261">
        <v>10</v>
      </c>
      <c r="X53" s="250">
        <f t="shared" ref="X53" si="345">W53*W$8</f>
        <v>0</v>
      </c>
      <c r="Y53" s="261">
        <v>5</v>
      </c>
      <c r="Z53" s="250">
        <f t="shared" ref="Z53" si="346">Y53*Y$8</f>
        <v>0.293625</v>
      </c>
      <c r="AA53" s="261">
        <v>10</v>
      </c>
      <c r="AB53" s="250">
        <f t="shared" ref="AB53" si="347">AA53*AA$8</f>
        <v>0</v>
      </c>
      <c r="AC53" s="250">
        <f t="shared" si="234"/>
        <v>5</v>
      </c>
      <c r="AD53" s="250">
        <f t="shared" ref="AD53:AD72" si="348">AF53+AH53+AJ53</f>
        <v>19.679255</v>
      </c>
      <c r="AE53" s="261">
        <v>10</v>
      </c>
      <c r="AF53" s="250">
        <f t="shared" ref="AF53" si="349">AE53*AE$8</f>
        <v>0</v>
      </c>
      <c r="AG53" s="261">
        <v>5</v>
      </c>
      <c r="AH53" s="250">
        <f t="shared" ref="AH53" si="350">AG53*AG$8</f>
        <v>3.290775</v>
      </c>
      <c r="AI53" s="261">
        <v>5</v>
      </c>
      <c r="AJ53" s="250">
        <f t="shared" ref="AJ53" si="351">AI53*AI$8</f>
        <v>16.38848</v>
      </c>
      <c r="AK53" s="295" t="s">
        <v>249</v>
      </c>
      <c r="AL53" s="292">
        <f t="shared" si="265"/>
        <v>66.958485</v>
      </c>
      <c r="AM53" s="290"/>
      <c r="AN53" s="288"/>
      <c r="AO53" s="288"/>
      <c r="AP53" s="301"/>
      <c r="AQ53" s="288"/>
      <c r="AR53" s="288"/>
      <c r="AS53" s="288"/>
      <c r="AT53" s="288"/>
      <c r="AU53" s="288"/>
      <c r="AV53" s="288"/>
      <c r="AW53" s="288"/>
      <c r="AX53" s="288"/>
      <c r="AY53" s="288"/>
    </row>
    <row r="54" customHeight="1" outlineLevel="2" spans="1:51">
      <c r="A54" s="259" t="s">
        <v>250</v>
      </c>
      <c r="B54" s="259" t="s">
        <v>251</v>
      </c>
      <c r="C54" s="250">
        <f t="shared" si="210"/>
        <v>0</v>
      </c>
      <c r="D54" s="256">
        <f t="shared" si="211"/>
        <v>0</v>
      </c>
      <c r="E54" s="250">
        <f t="shared" si="212"/>
        <v>0</v>
      </c>
      <c r="F54" s="250">
        <f t="shared" si="213"/>
        <v>0</v>
      </c>
      <c r="G54" s="261"/>
      <c r="H54" s="250">
        <f t="shared" si="214"/>
        <v>0</v>
      </c>
      <c r="I54" s="261"/>
      <c r="J54" s="250">
        <f t="shared" ref="J54" si="352">I54*I$8</f>
        <v>0</v>
      </c>
      <c r="K54" s="261"/>
      <c r="L54" s="250">
        <f t="shared" ref="L54" si="353">K54*K$8</f>
        <v>0</v>
      </c>
      <c r="M54" s="261"/>
      <c r="N54" s="250">
        <f t="shared" si="340"/>
        <v>0</v>
      </c>
      <c r="O54" s="261"/>
      <c r="P54" s="250">
        <f t="shared" si="341"/>
        <v>0</v>
      </c>
      <c r="Q54" s="261"/>
      <c r="R54" s="250">
        <f t="shared" si="342"/>
        <v>0</v>
      </c>
      <c r="S54" s="261"/>
      <c r="T54" s="250">
        <f t="shared" si="343"/>
        <v>0</v>
      </c>
      <c r="U54" s="261"/>
      <c r="V54" s="250">
        <f t="shared" ref="V54" si="354">U54*U$8</f>
        <v>0</v>
      </c>
      <c r="W54" s="261"/>
      <c r="X54" s="250">
        <f t="shared" ref="X54" si="355">W54*W$8</f>
        <v>0</v>
      </c>
      <c r="Y54" s="261"/>
      <c r="Z54" s="250">
        <f t="shared" ref="Z54" si="356">Y54*Y$8</f>
        <v>0</v>
      </c>
      <c r="AA54" s="261"/>
      <c r="AB54" s="250">
        <f t="shared" ref="AB54" si="357">AA54*AA$8</f>
        <v>0</v>
      </c>
      <c r="AC54" s="250">
        <f t="shared" si="234"/>
        <v>0</v>
      </c>
      <c r="AD54" s="250">
        <f t="shared" si="348"/>
        <v>0</v>
      </c>
      <c r="AE54" s="261"/>
      <c r="AF54" s="250">
        <f t="shared" ref="AF54" si="358">AE54*AE$8</f>
        <v>0</v>
      </c>
      <c r="AG54" s="261"/>
      <c r="AH54" s="250">
        <f t="shared" ref="AH54" si="359">AG54*AG$8</f>
        <v>0</v>
      </c>
      <c r="AI54" s="261"/>
      <c r="AJ54" s="250">
        <f t="shared" ref="AJ54" si="360">AI54*AI$8</f>
        <v>0</v>
      </c>
      <c r="AK54" s="295"/>
      <c r="AL54" s="292">
        <f t="shared" si="265"/>
        <v>0</v>
      </c>
      <c r="AM54" s="300"/>
      <c r="AN54" s="288"/>
      <c r="AO54" s="288"/>
      <c r="AP54" s="302"/>
      <c r="AQ54" s="288"/>
      <c r="AR54" s="288"/>
      <c r="AS54" s="288"/>
      <c r="AT54" s="288"/>
      <c r="AU54" s="288"/>
      <c r="AV54" s="288"/>
      <c r="AW54" s="288"/>
      <c r="AX54" s="288"/>
      <c r="AY54" s="288"/>
    </row>
    <row r="55" ht="23.1" customHeight="1" outlineLevel="2" spans="1:51">
      <c r="A55" s="259" t="s">
        <v>252</v>
      </c>
      <c r="B55" s="259" t="s">
        <v>253</v>
      </c>
      <c r="C55" s="250">
        <f t="shared" si="210"/>
        <v>0.3</v>
      </c>
      <c r="D55" s="256">
        <f t="shared" si="211"/>
        <v>4.0175091</v>
      </c>
      <c r="E55" s="250">
        <f t="shared" si="212"/>
        <v>0.3</v>
      </c>
      <c r="F55" s="250">
        <f t="shared" si="213"/>
        <v>2.8367538</v>
      </c>
      <c r="G55" s="261">
        <v>0.3</v>
      </c>
      <c r="H55" s="250">
        <f t="shared" si="214"/>
        <v>0.1598613</v>
      </c>
      <c r="I55" s="261">
        <v>0.3</v>
      </c>
      <c r="J55" s="250">
        <f t="shared" ref="J55" si="361">I55*I$8</f>
        <v>1.6901496</v>
      </c>
      <c r="K55" s="261">
        <v>0.3</v>
      </c>
      <c r="L55" s="250">
        <f t="shared" ref="L55" si="362">K55*K$8</f>
        <v>0.9691254</v>
      </c>
      <c r="M55" s="261">
        <v>0.3</v>
      </c>
      <c r="N55" s="250">
        <f t="shared" si="340"/>
        <v>0</v>
      </c>
      <c r="O55" s="261">
        <v>0.3</v>
      </c>
      <c r="P55" s="250">
        <f t="shared" si="341"/>
        <v>0</v>
      </c>
      <c r="Q55" s="261">
        <v>0.3</v>
      </c>
      <c r="R55" s="250">
        <f t="shared" si="342"/>
        <v>0</v>
      </c>
      <c r="S55" s="261">
        <v>0.3</v>
      </c>
      <c r="T55" s="250">
        <f t="shared" si="343"/>
        <v>0</v>
      </c>
      <c r="U55" s="261">
        <v>0.3</v>
      </c>
      <c r="V55" s="250">
        <f t="shared" ref="V55" si="363">U55*U$8</f>
        <v>0</v>
      </c>
      <c r="W55" s="261">
        <v>0.3</v>
      </c>
      <c r="X55" s="250">
        <f t="shared" ref="X55" si="364">W55*W$8</f>
        <v>0</v>
      </c>
      <c r="Y55" s="261">
        <v>0.3</v>
      </c>
      <c r="Z55" s="250">
        <f t="shared" ref="Z55" si="365">Y55*Y$8</f>
        <v>0.0176175</v>
      </c>
      <c r="AA55" s="261">
        <v>0.3</v>
      </c>
      <c r="AB55" s="250">
        <f t="shared" ref="AB55" si="366">AA55*AA$8</f>
        <v>0</v>
      </c>
      <c r="AC55" s="250">
        <f t="shared" si="234"/>
        <v>0.3</v>
      </c>
      <c r="AD55" s="250">
        <f t="shared" si="348"/>
        <v>1.1807553</v>
      </c>
      <c r="AE55" s="261">
        <v>0.3</v>
      </c>
      <c r="AF55" s="250">
        <f t="shared" ref="AF55" si="367">AE55*AE$8</f>
        <v>0</v>
      </c>
      <c r="AG55" s="261">
        <v>0.3</v>
      </c>
      <c r="AH55" s="250">
        <f t="shared" ref="AH55" si="368">AG55*AG$8</f>
        <v>0.1974465</v>
      </c>
      <c r="AI55" s="261">
        <v>0.3</v>
      </c>
      <c r="AJ55" s="250">
        <f t="shared" ref="AJ55" si="369">AI55*AI$8</f>
        <v>0.983308800000001</v>
      </c>
      <c r="AK55" s="295" t="s">
        <v>254</v>
      </c>
      <c r="AL55" s="292">
        <f t="shared" si="265"/>
        <v>4.0175091</v>
      </c>
      <c r="AM55" s="290"/>
      <c r="AN55" s="288"/>
      <c r="AO55" s="288"/>
      <c r="AP55" s="288"/>
      <c r="AQ55" s="288"/>
      <c r="AR55" s="288"/>
      <c r="AS55" s="288"/>
      <c r="AT55" s="288"/>
      <c r="AU55" s="288"/>
      <c r="AV55" s="288"/>
      <c r="AW55" s="288"/>
      <c r="AX55" s="288"/>
      <c r="AY55" s="288"/>
    </row>
    <row r="56" customHeight="1" outlineLevel="2" spans="1:51">
      <c r="A56" s="259" t="s">
        <v>255</v>
      </c>
      <c r="B56" s="263" t="s">
        <v>256</v>
      </c>
      <c r="C56" s="250">
        <f t="shared" si="210"/>
        <v>0.474323754487575</v>
      </c>
      <c r="D56" s="256">
        <f t="shared" si="211"/>
        <v>6.352</v>
      </c>
      <c r="E56" s="250">
        <f t="shared" si="212"/>
        <v>0.671753748950649</v>
      </c>
      <c r="F56" s="250">
        <f t="shared" si="213"/>
        <v>6.352</v>
      </c>
      <c r="G56" s="261">
        <f>经济指标!G9*80/10000/G8</f>
        <v>0.705611677122606</v>
      </c>
      <c r="H56" s="250">
        <f t="shared" si="214"/>
        <v>0.376</v>
      </c>
      <c r="I56" s="261">
        <f>经济指标!G10*80/10000/I8</f>
        <v>0.619116792975012</v>
      </c>
      <c r="J56" s="250">
        <f t="shared" ref="J56" si="370">I56*I$8</f>
        <v>3.488</v>
      </c>
      <c r="K56" s="261">
        <f>经济指标!G11*80/10000/K8</f>
        <v>0.770178967551568</v>
      </c>
      <c r="L56" s="250">
        <f t="shared" ref="L56" si="371">K56*K$8</f>
        <v>2.488</v>
      </c>
      <c r="M56" s="261"/>
      <c r="N56" s="250">
        <f t="shared" si="340"/>
        <v>0</v>
      </c>
      <c r="O56" s="261">
        <v>55</v>
      </c>
      <c r="P56" s="250">
        <f t="shared" si="341"/>
        <v>0</v>
      </c>
      <c r="Q56" s="261"/>
      <c r="R56" s="250">
        <f t="shared" si="342"/>
        <v>0</v>
      </c>
      <c r="S56" s="261"/>
      <c r="T56" s="250">
        <f t="shared" si="343"/>
        <v>0</v>
      </c>
      <c r="U56" s="261"/>
      <c r="V56" s="250">
        <f t="shared" ref="V56" si="372">U56*U$8</f>
        <v>0</v>
      </c>
      <c r="W56" s="261"/>
      <c r="X56" s="250">
        <f t="shared" ref="X56" si="373">W56*W$8</f>
        <v>0</v>
      </c>
      <c r="Y56" s="261"/>
      <c r="Z56" s="250">
        <f t="shared" ref="Z56" si="374">Y56*Y$8</f>
        <v>0</v>
      </c>
      <c r="AA56" s="261"/>
      <c r="AB56" s="250">
        <f t="shared" ref="AB56" si="375">AA56*AA$8</f>
        <v>0</v>
      </c>
      <c r="AC56" s="250">
        <f t="shared" si="234"/>
        <v>0</v>
      </c>
      <c r="AD56" s="250">
        <f t="shared" si="348"/>
        <v>0</v>
      </c>
      <c r="AE56" s="261"/>
      <c r="AF56" s="250">
        <f t="shared" ref="AF56" si="376">AE56*AE$8</f>
        <v>0</v>
      </c>
      <c r="AG56" s="261"/>
      <c r="AH56" s="250">
        <f t="shared" ref="AH56" si="377">AG56*AG$8</f>
        <v>0</v>
      </c>
      <c r="AI56" s="261"/>
      <c r="AJ56" s="250">
        <f t="shared" ref="AJ56" si="378">AI56*AI$8</f>
        <v>0</v>
      </c>
      <c r="AK56" s="295" t="s">
        <v>257</v>
      </c>
      <c r="AL56" s="292">
        <f t="shared" si="265"/>
        <v>6.352</v>
      </c>
      <c r="AM56" s="290"/>
      <c r="AN56" s="288"/>
      <c r="AO56" s="288"/>
      <c r="AP56" s="288"/>
      <c r="AQ56" s="288"/>
      <c r="AR56" s="288"/>
      <c r="AS56" s="288"/>
      <c r="AT56" s="288"/>
      <c r="AU56" s="288"/>
      <c r="AV56" s="288"/>
      <c r="AW56" s="288"/>
      <c r="AX56" s="288"/>
      <c r="AY56" s="288"/>
    </row>
    <row r="57" customHeight="1" outlineLevel="2" spans="1:51">
      <c r="A57" s="273">
        <v>20505</v>
      </c>
      <c r="B57" s="273" t="s">
        <v>258</v>
      </c>
      <c r="C57" s="250">
        <f t="shared" si="210"/>
        <v>3.6</v>
      </c>
      <c r="D57" s="256">
        <f t="shared" si="211"/>
        <v>48.2101092</v>
      </c>
      <c r="E57" s="250">
        <f t="shared" si="212"/>
        <v>3.6</v>
      </c>
      <c r="F57" s="250">
        <f t="shared" si="213"/>
        <v>34.0410456</v>
      </c>
      <c r="G57" s="261">
        <v>3.6</v>
      </c>
      <c r="H57" s="250">
        <f t="shared" si="214"/>
        <v>1.9183356</v>
      </c>
      <c r="I57" s="261">
        <v>3.6</v>
      </c>
      <c r="J57" s="250">
        <f t="shared" ref="J57" si="379">I57*I$8</f>
        <v>20.2817952</v>
      </c>
      <c r="K57" s="261">
        <v>3.6</v>
      </c>
      <c r="L57" s="250">
        <f t="shared" ref="L57" si="380">K57*K$8</f>
        <v>11.6295048</v>
      </c>
      <c r="M57" s="261">
        <v>3.6</v>
      </c>
      <c r="N57" s="250">
        <f t="shared" si="340"/>
        <v>0</v>
      </c>
      <c r="O57" s="261">
        <v>3.6</v>
      </c>
      <c r="P57" s="250">
        <f t="shared" si="341"/>
        <v>0</v>
      </c>
      <c r="Q57" s="261">
        <v>3.6</v>
      </c>
      <c r="R57" s="250">
        <f t="shared" si="342"/>
        <v>0</v>
      </c>
      <c r="S57" s="261">
        <v>3.6</v>
      </c>
      <c r="T57" s="250">
        <f t="shared" si="343"/>
        <v>0</v>
      </c>
      <c r="U57" s="261">
        <v>3.6</v>
      </c>
      <c r="V57" s="250">
        <f t="shared" ref="V57" si="381">U57*U$8</f>
        <v>0</v>
      </c>
      <c r="W57" s="261">
        <v>3.6</v>
      </c>
      <c r="X57" s="250">
        <f t="shared" ref="X57" si="382">W57*W$8</f>
        <v>0</v>
      </c>
      <c r="Y57" s="261">
        <v>3.6</v>
      </c>
      <c r="Z57" s="250">
        <f t="shared" ref="Z57" si="383">Y57*Y$8</f>
        <v>0.21141</v>
      </c>
      <c r="AA57" s="261">
        <v>3.6</v>
      </c>
      <c r="AB57" s="250">
        <f t="shared" ref="AB57" si="384">AA57*AA$8</f>
        <v>0</v>
      </c>
      <c r="AC57" s="250">
        <f t="shared" si="234"/>
        <v>3.6</v>
      </c>
      <c r="AD57" s="250">
        <f t="shared" si="348"/>
        <v>14.1690636</v>
      </c>
      <c r="AE57" s="261">
        <v>3.6</v>
      </c>
      <c r="AF57" s="250">
        <f t="shared" ref="AF57" si="385">AE57*AE$8</f>
        <v>0</v>
      </c>
      <c r="AG57" s="261">
        <v>3.6</v>
      </c>
      <c r="AH57" s="250">
        <f t="shared" ref="AH57" si="386">AG57*AG$8</f>
        <v>2.369358</v>
      </c>
      <c r="AI57" s="261">
        <v>3.6</v>
      </c>
      <c r="AJ57" s="250">
        <f t="shared" ref="AJ57" si="387">AI57*AI$8</f>
        <v>11.7997056</v>
      </c>
      <c r="AK57" s="295" t="s">
        <v>259</v>
      </c>
      <c r="AL57" s="292">
        <f t="shared" si="265"/>
        <v>48.2101092</v>
      </c>
      <c r="AM57" s="290"/>
      <c r="AN57" s="288"/>
      <c r="AO57" s="288"/>
      <c r="AP57" s="288"/>
      <c r="AQ57" s="288"/>
      <c r="AR57" s="288"/>
      <c r="AS57" s="288"/>
      <c r="AT57" s="288"/>
      <c r="AU57" s="288"/>
      <c r="AV57" s="288"/>
      <c r="AW57" s="288"/>
      <c r="AX57" s="288"/>
      <c r="AY57" s="288"/>
    </row>
    <row r="58" customHeight="1" outlineLevel="2" spans="1:51">
      <c r="A58" s="259" t="s">
        <v>260</v>
      </c>
      <c r="B58" s="259" t="s">
        <v>261</v>
      </c>
      <c r="C58" s="250">
        <f t="shared" si="210"/>
        <v>1.5</v>
      </c>
      <c r="D58" s="256">
        <f t="shared" si="211"/>
        <v>20.0875455</v>
      </c>
      <c r="E58" s="250">
        <f t="shared" si="212"/>
        <v>1.5</v>
      </c>
      <c r="F58" s="250">
        <f t="shared" si="213"/>
        <v>14.183769</v>
      </c>
      <c r="G58" s="261">
        <v>1.5</v>
      </c>
      <c r="H58" s="250">
        <f t="shared" si="214"/>
        <v>0.7993065</v>
      </c>
      <c r="I58" s="261">
        <v>1.5</v>
      </c>
      <c r="J58" s="250">
        <f t="shared" ref="J58" si="388">I58*I$8</f>
        <v>8.450748</v>
      </c>
      <c r="K58" s="261">
        <v>1.5</v>
      </c>
      <c r="L58" s="250">
        <f t="shared" ref="L58" si="389">K58*K$8</f>
        <v>4.845627</v>
      </c>
      <c r="M58" s="261">
        <v>1.5</v>
      </c>
      <c r="N58" s="250">
        <f t="shared" si="340"/>
        <v>0</v>
      </c>
      <c r="O58" s="261">
        <v>1.5</v>
      </c>
      <c r="P58" s="250">
        <f t="shared" si="341"/>
        <v>0</v>
      </c>
      <c r="Q58" s="261">
        <v>1.5</v>
      </c>
      <c r="R58" s="250">
        <f t="shared" si="342"/>
        <v>0</v>
      </c>
      <c r="S58" s="261">
        <v>1.5</v>
      </c>
      <c r="T58" s="250">
        <f t="shared" si="343"/>
        <v>0</v>
      </c>
      <c r="U58" s="261">
        <v>1.5</v>
      </c>
      <c r="V58" s="250">
        <f t="shared" ref="V58" si="390">U58*U$8</f>
        <v>0</v>
      </c>
      <c r="W58" s="261">
        <v>1.5</v>
      </c>
      <c r="X58" s="250">
        <f t="shared" ref="X58" si="391">W58*W$8</f>
        <v>0</v>
      </c>
      <c r="Y58" s="261">
        <v>1.5</v>
      </c>
      <c r="Z58" s="250">
        <f t="shared" ref="Z58" si="392">Y58*Y$8</f>
        <v>0.0880875</v>
      </c>
      <c r="AA58" s="261">
        <v>1.5</v>
      </c>
      <c r="AB58" s="250">
        <f t="shared" ref="AB58" si="393">AA58*AA$8</f>
        <v>0</v>
      </c>
      <c r="AC58" s="250">
        <f t="shared" si="234"/>
        <v>1.5</v>
      </c>
      <c r="AD58" s="250">
        <f t="shared" si="348"/>
        <v>5.9037765</v>
      </c>
      <c r="AE58" s="261">
        <v>1.5</v>
      </c>
      <c r="AF58" s="250">
        <f t="shared" ref="AF58" si="394">AE58*AE$8</f>
        <v>0</v>
      </c>
      <c r="AG58" s="261">
        <v>1.5</v>
      </c>
      <c r="AH58" s="250">
        <f t="shared" ref="AH58" si="395">AG58*AG$8</f>
        <v>0.9872325</v>
      </c>
      <c r="AI58" s="261">
        <v>1.5</v>
      </c>
      <c r="AJ58" s="250">
        <f t="shared" ref="AJ58" si="396">AI58*AI$8</f>
        <v>4.916544</v>
      </c>
      <c r="AK58" s="295" t="s">
        <v>262</v>
      </c>
      <c r="AL58" s="292">
        <f t="shared" si="265"/>
        <v>20.0875455</v>
      </c>
      <c r="AM58" s="290"/>
      <c r="AN58" s="288"/>
      <c r="AO58" s="288"/>
      <c r="AP58" s="288"/>
      <c r="AQ58" s="288"/>
      <c r="AR58" s="288"/>
      <c r="AS58" s="288"/>
      <c r="AT58" s="288"/>
      <c r="AU58" s="288"/>
      <c r="AV58" s="288"/>
      <c r="AW58" s="288"/>
      <c r="AX58" s="288"/>
      <c r="AY58" s="288"/>
    </row>
    <row r="59" customHeight="1" outlineLevel="2" spans="1:51">
      <c r="A59" s="259" t="s">
        <v>263</v>
      </c>
      <c r="B59" s="259" t="s">
        <v>264</v>
      </c>
      <c r="C59" s="250">
        <f t="shared" si="210"/>
        <v>0.2</v>
      </c>
      <c r="D59" s="256">
        <f t="shared" si="211"/>
        <v>2.6783394</v>
      </c>
      <c r="E59" s="250">
        <f t="shared" si="212"/>
        <v>0.2</v>
      </c>
      <c r="F59" s="250">
        <f t="shared" si="213"/>
        <v>1.8911692</v>
      </c>
      <c r="G59" s="261">
        <v>0.2</v>
      </c>
      <c r="H59" s="250">
        <f t="shared" si="214"/>
        <v>0.1065742</v>
      </c>
      <c r="I59" s="261">
        <v>0.2</v>
      </c>
      <c r="J59" s="250">
        <f t="shared" ref="J59" si="397">I59*I$8</f>
        <v>1.1267664</v>
      </c>
      <c r="K59" s="261">
        <v>0.2</v>
      </c>
      <c r="L59" s="250">
        <f t="shared" ref="L59" si="398">K59*K$8</f>
        <v>0.6460836</v>
      </c>
      <c r="M59" s="261">
        <v>0.2</v>
      </c>
      <c r="N59" s="250">
        <f t="shared" si="340"/>
        <v>0</v>
      </c>
      <c r="O59" s="261">
        <v>0.2</v>
      </c>
      <c r="P59" s="250">
        <f t="shared" si="341"/>
        <v>0</v>
      </c>
      <c r="Q59" s="261">
        <v>0.2</v>
      </c>
      <c r="R59" s="250">
        <f t="shared" si="342"/>
        <v>0</v>
      </c>
      <c r="S59" s="261">
        <v>0.2</v>
      </c>
      <c r="T59" s="250">
        <f t="shared" si="343"/>
        <v>0</v>
      </c>
      <c r="U59" s="261">
        <v>0.2</v>
      </c>
      <c r="V59" s="250">
        <f t="shared" ref="V59" si="399">U59*U$8</f>
        <v>0</v>
      </c>
      <c r="W59" s="261">
        <v>0.2</v>
      </c>
      <c r="X59" s="250">
        <f t="shared" ref="X59" si="400">W59*W$8</f>
        <v>0</v>
      </c>
      <c r="Y59" s="261">
        <v>0.2</v>
      </c>
      <c r="Z59" s="250">
        <f t="shared" ref="Z59" si="401">Y59*Y$8</f>
        <v>0.011745</v>
      </c>
      <c r="AA59" s="261">
        <v>0.2</v>
      </c>
      <c r="AB59" s="250">
        <f t="shared" ref="AB59" si="402">AA59*AA$8</f>
        <v>0</v>
      </c>
      <c r="AC59" s="250">
        <f t="shared" si="234"/>
        <v>0.2</v>
      </c>
      <c r="AD59" s="250">
        <f t="shared" si="348"/>
        <v>0.787170200000001</v>
      </c>
      <c r="AE59" s="261">
        <v>0.2</v>
      </c>
      <c r="AF59" s="250">
        <f t="shared" ref="AF59" si="403">AE59*AE$8</f>
        <v>0</v>
      </c>
      <c r="AG59" s="261">
        <v>0.2</v>
      </c>
      <c r="AH59" s="250">
        <f t="shared" ref="AH59" si="404">AG59*AG$8</f>
        <v>0.131631</v>
      </c>
      <c r="AI59" s="261">
        <v>0.2</v>
      </c>
      <c r="AJ59" s="250">
        <f t="shared" ref="AJ59" si="405">AI59*AI$8</f>
        <v>0.655539200000001</v>
      </c>
      <c r="AK59" s="295" t="s">
        <v>265</v>
      </c>
      <c r="AL59" s="292">
        <f t="shared" si="265"/>
        <v>2.6783394</v>
      </c>
      <c r="AM59" s="290"/>
      <c r="AN59" s="288"/>
      <c r="AO59" s="288"/>
      <c r="AP59" s="288"/>
      <c r="AQ59" s="288"/>
      <c r="AR59" s="288"/>
      <c r="AS59" s="288"/>
      <c r="AT59" s="288"/>
      <c r="AU59" s="288"/>
      <c r="AV59" s="288"/>
      <c r="AW59" s="288"/>
      <c r="AX59" s="288"/>
      <c r="AY59" s="288"/>
    </row>
    <row r="60" s="242" customFormat="1" ht="45.95" customHeight="1" outlineLevel="2" spans="1:51">
      <c r="A60" s="264" t="s">
        <v>266</v>
      </c>
      <c r="B60" s="264" t="s">
        <v>267</v>
      </c>
      <c r="C60" s="250">
        <f t="shared" si="210"/>
        <v>1.2</v>
      </c>
      <c r="D60" s="256">
        <f t="shared" si="211"/>
        <v>16.0700364</v>
      </c>
      <c r="E60" s="250">
        <f t="shared" si="212"/>
        <v>1.2</v>
      </c>
      <c r="F60" s="250">
        <f t="shared" si="213"/>
        <v>11.3470152</v>
      </c>
      <c r="G60" s="271">
        <v>1.2</v>
      </c>
      <c r="H60" s="250">
        <f t="shared" si="214"/>
        <v>0.6394452</v>
      </c>
      <c r="I60" s="271">
        <v>1.2</v>
      </c>
      <c r="J60" s="250">
        <f t="shared" ref="J60" si="406">I60*I$8</f>
        <v>6.7605984</v>
      </c>
      <c r="K60" s="271">
        <v>1.2</v>
      </c>
      <c r="L60" s="250">
        <f t="shared" ref="L60" si="407">K60*K$8</f>
        <v>3.8765016</v>
      </c>
      <c r="M60" s="271">
        <v>1.2</v>
      </c>
      <c r="N60" s="250">
        <f t="shared" si="340"/>
        <v>0</v>
      </c>
      <c r="O60" s="271">
        <v>1.2</v>
      </c>
      <c r="P60" s="250">
        <f t="shared" si="341"/>
        <v>0</v>
      </c>
      <c r="Q60" s="271">
        <v>1.2</v>
      </c>
      <c r="R60" s="250">
        <f t="shared" si="342"/>
        <v>0</v>
      </c>
      <c r="S60" s="271">
        <v>1.2</v>
      </c>
      <c r="T60" s="250">
        <f t="shared" si="343"/>
        <v>0</v>
      </c>
      <c r="U60" s="271">
        <v>1.2</v>
      </c>
      <c r="V60" s="250">
        <f t="shared" ref="V60" si="408">U60*U$8</f>
        <v>0</v>
      </c>
      <c r="W60" s="271">
        <v>1.2</v>
      </c>
      <c r="X60" s="250">
        <f t="shared" ref="X60" si="409">W60*W$8</f>
        <v>0</v>
      </c>
      <c r="Y60" s="271">
        <v>1.2</v>
      </c>
      <c r="Z60" s="250">
        <f t="shared" ref="Z60" si="410">Y60*Y$8</f>
        <v>0.07047</v>
      </c>
      <c r="AA60" s="271">
        <v>1.2</v>
      </c>
      <c r="AB60" s="250">
        <f t="shared" ref="AB60" si="411">AA60*AA$8</f>
        <v>0</v>
      </c>
      <c r="AC60" s="250">
        <f t="shared" si="234"/>
        <v>1.2</v>
      </c>
      <c r="AD60" s="250">
        <f t="shared" si="348"/>
        <v>4.7230212</v>
      </c>
      <c r="AE60" s="271">
        <v>1.2</v>
      </c>
      <c r="AF60" s="250">
        <f t="shared" ref="AF60" si="412">AE60*AE$8</f>
        <v>0</v>
      </c>
      <c r="AG60" s="271">
        <v>1.2</v>
      </c>
      <c r="AH60" s="250">
        <f t="shared" ref="AH60" si="413">AG60*AG$8</f>
        <v>0.789786</v>
      </c>
      <c r="AI60" s="271">
        <v>1.2</v>
      </c>
      <c r="AJ60" s="250">
        <f t="shared" ref="AJ60" si="414">AI60*AI$8</f>
        <v>3.9332352</v>
      </c>
      <c r="AK60" s="295" t="s">
        <v>268</v>
      </c>
      <c r="AL60" s="292">
        <f t="shared" si="265"/>
        <v>16.0700364</v>
      </c>
      <c r="AM60" s="296"/>
      <c r="AN60" s="297"/>
      <c r="AO60" s="297"/>
      <c r="AP60" s="288"/>
      <c r="AQ60" s="297"/>
      <c r="AR60" s="297"/>
      <c r="AS60" s="297"/>
      <c r="AT60" s="297"/>
      <c r="AU60" s="297"/>
      <c r="AV60" s="297"/>
      <c r="AW60" s="297"/>
      <c r="AX60" s="297"/>
      <c r="AY60" s="297"/>
    </row>
    <row r="61" customHeight="1" outlineLevel="2" spans="1:51">
      <c r="A61" s="259" t="s">
        <v>269</v>
      </c>
      <c r="B61" s="259" t="s">
        <v>270</v>
      </c>
      <c r="C61" s="250">
        <f t="shared" si="210"/>
        <v>0.224019405456978</v>
      </c>
      <c r="D61" s="256">
        <f t="shared" si="211"/>
        <v>3</v>
      </c>
      <c r="E61" s="250">
        <f t="shared" si="212"/>
        <v>0.224019405456978</v>
      </c>
      <c r="F61" s="250">
        <f t="shared" si="213"/>
        <v>2.11829299901275</v>
      </c>
      <c r="G61" s="262">
        <f>$AM$61/$C$8</f>
        <v>0.224019405456978</v>
      </c>
      <c r="H61" s="250">
        <f t="shared" si="214"/>
        <v>0.119373444605265</v>
      </c>
      <c r="I61" s="262">
        <f>$AM$61/$C$8</f>
        <v>0.224019405456978</v>
      </c>
      <c r="J61" s="250">
        <f t="shared" ref="J61" si="415">I61*I$8</f>
        <v>1.2620876950845</v>
      </c>
      <c r="K61" s="262">
        <f>$AM$61/$C$8</f>
        <v>0.224019405456978</v>
      </c>
      <c r="L61" s="250">
        <f t="shared" ref="L61" si="416">K61*K$8</f>
        <v>0.723676319737521</v>
      </c>
      <c r="M61" s="262">
        <f>$AM$61/$C$8</f>
        <v>0.224019405456978</v>
      </c>
      <c r="N61" s="250">
        <f t="shared" si="340"/>
        <v>0</v>
      </c>
      <c r="O61" s="262">
        <f>$AM$61/$C$8</f>
        <v>0.224019405456978</v>
      </c>
      <c r="P61" s="250">
        <f t="shared" si="341"/>
        <v>0</v>
      </c>
      <c r="Q61" s="262">
        <f>$AM$61/$C$8</f>
        <v>0.224019405456978</v>
      </c>
      <c r="R61" s="250">
        <f t="shared" si="342"/>
        <v>0</v>
      </c>
      <c r="S61" s="262">
        <f>$AM$61/$C$8</f>
        <v>0.224019405456978</v>
      </c>
      <c r="T61" s="250">
        <f t="shared" si="343"/>
        <v>0</v>
      </c>
      <c r="U61" s="262">
        <f>$AM$61/$C$8</f>
        <v>0.224019405456978</v>
      </c>
      <c r="V61" s="250">
        <f t="shared" ref="V61" si="417">U61*U$8</f>
        <v>0</v>
      </c>
      <c r="W61" s="262">
        <f>$AM$61/$C$8</f>
        <v>0.224019405456978</v>
      </c>
      <c r="X61" s="250">
        <f t="shared" ref="X61" si="418">W61*W$8</f>
        <v>0</v>
      </c>
      <c r="Y61" s="262">
        <f>$AM$61/$C$8</f>
        <v>0.224019405456978</v>
      </c>
      <c r="Z61" s="250">
        <f t="shared" ref="Z61" si="419">Y61*Y$8</f>
        <v>0.013155539585461</v>
      </c>
      <c r="AA61" s="262">
        <f>$AM$61/$C$8</f>
        <v>0.224019405456978</v>
      </c>
      <c r="AB61" s="250">
        <f t="shared" ref="AB61" si="420">AA61*AA$8</f>
        <v>0</v>
      </c>
      <c r="AC61" s="250">
        <f t="shared" si="234"/>
        <v>0.224019405456978</v>
      </c>
      <c r="AD61" s="250">
        <f t="shared" si="348"/>
        <v>0.881707000987254</v>
      </c>
      <c r="AE61" s="262">
        <f>$AM$61/$C$8</f>
        <v>0.224019405456978</v>
      </c>
      <c r="AF61" s="250">
        <f t="shared" ref="AF61" si="421">AE61*AE$8</f>
        <v>0</v>
      </c>
      <c r="AG61" s="262">
        <f>$AM$61/$C$8</f>
        <v>0.224019405456978</v>
      </c>
      <c r="AH61" s="250">
        <f t="shared" ref="AH61" si="422">AG61*AG$8</f>
        <v>0.147439491798538</v>
      </c>
      <c r="AI61" s="262">
        <f>$AM$61/$C$8</f>
        <v>0.224019405456978</v>
      </c>
      <c r="AJ61" s="250">
        <f t="shared" ref="AJ61" si="423">AI61*AI$8</f>
        <v>0.734267509188717</v>
      </c>
      <c r="AK61" s="295" t="s">
        <v>271</v>
      </c>
      <c r="AL61" s="292">
        <f t="shared" si="265"/>
        <v>3</v>
      </c>
      <c r="AM61" s="290">
        <v>3</v>
      </c>
      <c r="AN61" s="288"/>
      <c r="AO61" s="288"/>
      <c r="AP61" s="288"/>
      <c r="AQ61" s="288"/>
      <c r="AR61" s="288"/>
      <c r="AS61" s="288"/>
      <c r="AT61" s="288"/>
      <c r="AU61" s="288"/>
      <c r="AV61" s="288"/>
      <c r="AW61" s="288"/>
      <c r="AX61" s="288"/>
      <c r="AY61" s="288"/>
    </row>
    <row r="62" s="242" customFormat="1" customHeight="1" outlineLevel="2" spans="1:51">
      <c r="A62" s="264" t="s">
        <v>272</v>
      </c>
      <c r="B62" s="264" t="s">
        <v>273</v>
      </c>
      <c r="C62" s="250">
        <f t="shared" si="210"/>
        <v>0</v>
      </c>
      <c r="D62" s="256">
        <f t="shared" si="211"/>
        <v>0</v>
      </c>
      <c r="E62" s="250">
        <f t="shared" si="212"/>
        <v>0</v>
      </c>
      <c r="F62" s="250">
        <f t="shared" si="213"/>
        <v>0</v>
      </c>
      <c r="G62" s="271"/>
      <c r="H62" s="250">
        <f t="shared" si="214"/>
        <v>0</v>
      </c>
      <c r="I62" s="271"/>
      <c r="J62" s="250">
        <f t="shared" ref="J62" si="424">I62*I$8</f>
        <v>0</v>
      </c>
      <c r="K62" s="271"/>
      <c r="L62" s="250">
        <f t="shared" ref="L62" si="425">K62*K$8</f>
        <v>0</v>
      </c>
      <c r="M62" s="271"/>
      <c r="N62" s="250">
        <f t="shared" si="340"/>
        <v>0</v>
      </c>
      <c r="O62" s="271"/>
      <c r="P62" s="250">
        <f t="shared" si="341"/>
        <v>0</v>
      </c>
      <c r="Q62" s="271"/>
      <c r="R62" s="250">
        <f t="shared" si="342"/>
        <v>0</v>
      </c>
      <c r="S62" s="271"/>
      <c r="T62" s="250">
        <f t="shared" si="343"/>
        <v>0</v>
      </c>
      <c r="U62" s="271"/>
      <c r="V62" s="250">
        <f t="shared" ref="V62" si="426">U62*U$8</f>
        <v>0</v>
      </c>
      <c r="W62" s="271"/>
      <c r="X62" s="250">
        <f t="shared" ref="X62" si="427">W62*W$8</f>
        <v>0</v>
      </c>
      <c r="Y62" s="271"/>
      <c r="Z62" s="250">
        <f t="shared" ref="Z62" si="428">Y62*Y$8</f>
        <v>0</v>
      </c>
      <c r="AA62" s="271"/>
      <c r="AB62" s="250">
        <f t="shared" ref="AB62" si="429">AA62*AA$8</f>
        <v>0</v>
      </c>
      <c r="AC62" s="250">
        <f t="shared" si="234"/>
        <v>0</v>
      </c>
      <c r="AD62" s="250">
        <f t="shared" si="348"/>
        <v>0</v>
      </c>
      <c r="AE62" s="271"/>
      <c r="AF62" s="250">
        <f t="shared" ref="AF62" si="430">AE62*AE$8</f>
        <v>0</v>
      </c>
      <c r="AG62" s="271"/>
      <c r="AH62" s="250">
        <f t="shared" ref="AH62" si="431">AG62*AG$8</f>
        <v>0</v>
      </c>
      <c r="AI62" s="271"/>
      <c r="AJ62" s="250">
        <f t="shared" ref="AJ62" si="432">AI62*AI$8</f>
        <v>0</v>
      </c>
      <c r="AK62" s="295"/>
      <c r="AL62" s="292">
        <f t="shared" si="265"/>
        <v>0</v>
      </c>
      <c r="AM62" s="296"/>
      <c r="AN62" s="297"/>
      <c r="AO62" s="297"/>
      <c r="AP62" s="288"/>
      <c r="AQ62" s="297"/>
      <c r="AR62" s="297"/>
      <c r="AS62" s="297"/>
      <c r="AT62" s="297"/>
      <c r="AU62" s="297"/>
      <c r="AV62" s="297"/>
      <c r="AW62" s="297"/>
      <c r="AX62" s="297"/>
      <c r="AY62" s="297"/>
    </row>
    <row r="63" s="242" customFormat="1" ht="24.95" customHeight="1" outlineLevel="2" spans="1:51">
      <c r="A63" s="259" t="s">
        <v>274</v>
      </c>
      <c r="B63" s="259" t="s">
        <v>275</v>
      </c>
      <c r="C63" s="250">
        <f t="shared" si="210"/>
        <v>0.5</v>
      </c>
      <c r="D63" s="256">
        <f t="shared" si="211"/>
        <v>6.6958485</v>
      </c>
      <c r="E63" s="250">
        <f t="shared" si="212"/>
        <v>0.5</v>
      </c>
      <c r="F63" s="250">
        <f t="shared" si="213"/>
        <v>4.727923</v>
      </c>
      <c r="G63" s="271">
        <v>0.5</v>
      </c>
      <c r="H63" s="250">
        <f t="shared" si="214"/>
        <v>0.2664355</v>
      </c>
      <c r="I63" s="271">
        <v>0.5</v>
      </c>
      <c r="J63" s="250">
        <f t="shared" ref="J63" si="433">I63*I$8</f>
        <v>2.816916</v>
      </c>
      <c r="K63" s="271">
        <v>0.5</v>
      </c>
      <c r="L63" s="250">
        <f t="shared" ref="L63" si="434">K63*K$8</f>
        <v>1.615209</v>
      </c>
      <c r="M63" s="271">
        <v>0.8</v>
      </c>
      <c r="N63" s="250">
        <f t="shared" si="340"/>
        <v>0</v>
      </c>
      <c r="O63" s="271">
        <v>0.8</v>
      </c>
      <c r="P63" s="250">
        <f t="shared" si="341"/>
        <v>0</v>
      </c>
      <c r="Q63" s="271">
        <v>0.8</v>
      </c>
      <c r="R63" s="250">
        <f t="shared" si="342"/>
        <v>0</v>
      </c>
      <c r="S63" s="271">
        <v>0.8</v>
      </c>
      <c r="T63" s="250">
        <f t="shared" si="343"/>
        <v>0</v>
      </c>
      <c r="U63" s="271">
        <v>0.8</v>
      </c>
      <c r="V63" s="250">
        <f t="shared" ref="V63" si="435">U63*U$8</f>
        <v>0</v>
      </c>
      <c r="W63" s="271">
        <v>0.8</v>
      </c>
      <c r="X63" s="250">
        <f t="shared" ref="X63" si="436">W63*W$8</f>
        <v>0</v>
      </c>
      <c r="Y63" s="271">
        <v>0.5</v>
      </c>
      <c r="Z63" s="250">
        <f t="shared" ref="Z63" si="437">Y63*Y$8</f>
        <v>0.0293625</v>
      </c>
      <c r="AA63" s="271">
        <v>0.8</v>
      </c>
      <c r="AB63" s="250">
        <f t="shared" ref="AB63" si="438">AA63*AA$8</f>
        <v>0</v>
      </c>
      <c r="AC63" s="250">
        <f t="shared" si="234"/>
        <v>0.5</v>
      </c>
      <c r="AD63" s="250">
        <f t="shared" si="348"/>
        <v>1.9679255</v>
      </c>
      <c r="AE63" s="271">
        <v>0.8</v>
      </c>
      <c r="AF63" s="250">
        <f t="shared" ref="AF63" si="439">AE63*AE$8</f>
        <v>0</v>
      </c>
      <c r="AG63" s="271">
        <v>0.5</v>
      </c>
      <c r="AH63" s="250">
        <f t="shared" ref="AH63" si="440">AG63*AG$8</f>
        <v>0.3290775</v>
      </c>
      <c r="AI63" s="271">
        <v>0.5</v>
      </c>
      <c r="AJ63" s="250">
        <f t="shared" ref="AJ63" si="441">AI63*AI$8</f>
        <v>1.638848</v>
      </c>
      <c r="AK63" s="295" t="s">
        <v>276</v>
      </c>
      <c r="AL63" s="292">
        <f t="shared" si="265"/>
        <v>6.6958485</v>
      </c>
      <c r="AM63" s="290"/>
      <c r="AN63" s="297"/>
      <c r="AO63" s="297"/>
      <c r="AP63" s="288"/>
      <c r="AQ63" s="297"/>
      <c r="AR63" s="297"/>
      <c r="AS63" s="297"/>
      <c r="AT63" s="297"/>
      <c r="AU63" s="297"/>
      <c r="AV63" s="297"/>
      <c r="AW63" s="297"/>
      <c r="AX63" s="297"/>
      <c r="AY63" s="297"/>
    </row>
    <row r="64" s="242" customFormat="1" ht="30" customHeight="1" outlineLevel="2" spans="1:51">
      <c r="A64" s="259" t="s">
        <v>277</v>
      </c>
      <c r="B64" s="259" t="s">
        <v>278</v>
      </c>
      <c r="C64" s="250">
        <f t="shared" si="210"/>
        <v>1.1</v>
      </c>
      <c r="D64" s="256">
        <f t="shared" si="211"/>
        <v>14.7308667</v>
      </c>
      <c r="E64" s="250">
        <f t="shared" si="212"/>
        <v>1.1</v>
      </c>
      <c r="F64" s="250">
        <f t="shared" si="213"/>
        <v>10.4014306</v>
      </c>
      <c r="G64" s="262">
        <v>1.1</v>
      </c>
      <c r="H64" s="250">
        <f t="shared" si="214"/>
        <v>0.5861581</v>
      </c>
      <c r="I64" s="262">
        <v>1.1</v>
      </c>
      <c r="J64" s="250">
        <f t="shared" ref="J64" si="442">I64*I$8</f>
        <v>6.1972152</v>
      </c>
      <c r="K64" s="262">
        <v>1.1</v>
      </c>
      <c r="L64" s="250">
        <f t="shared" ref="L64" si="443">K64*K$8</f>
        <v>3.5534598</v>
      </c>
      <c r="M64" s="262">
        <v>0.1</v>
      </c>
      <c r="N64" s="250">
        <f t="shared" si="340"/>
        <v>0</v>
      </c>
      <c r="O64" s="262">
        <v>0.1</v>
      </c>
      <c r="P64" s="250">
        <f t="shared" si="341"/>
        <v>0</v>
      </c>
      <c r="Q64" s="262">
        <v>0.1</v>
      </c>
      <c r="R64" s="250">
        <f t="shared" si="342"/>
        <v>0</v>
      </c>
      <c r="S64" s="262">
        <v>0.1</v>
      </c>
      <c r="T64" s="250">
        <f t="shared" si="343"/>
        <v>0</v>
      </c>
      <c r="U64" s="262">
        <v>0.1</v>
      </c>
      <c r="V64" s="250">
        <f t="shared" ref="V64" si="444">U64*U$8</f>
        <v>0</v>
      </c>
      <c r="W64" s="262">
        <v>0.1</v>
      </c>
      <c r="X64" s="250">
        <f t="shared" ref="X64" si="445">W64*W$8</f>
        <v>0</v>
      </c>
      <c r="Y64" s="262">
        <v>1.1</v>
      </c>
      <c r="Z64" s="250">
        <f t="shared" ref="Z64" si="446">Y64*Y$8</f>
        <v>0.0645975</v>
      </c>
      <c r="AA64" s="262">
        <v>0.1</v>
      </c>
      <c r="AB64" s="250">
        <f t="shared" ref="AB64" si="447">AA64*AA$8</f>
        <v>0</v>
      </c>
      <c r="AC64" s="250">
        <f t="shared" si="234"/>
        <v>1.1</v>
      </c>
      <c r="AD64" s="250">
        <f t="shared" si="348"/>
        <v>4.3294361</v>
      </c>
      <c r="AE64" s="262">
        <v>0.1</v>
      </c>
      <c r="AF64" s="250">
        <f t="shared" ref="AF64" si="448">AE64*AE$8</f>
        <v>0</v>
      </c>
      <c r="AG64" s="262">
        <v>1.1</v>
      </c>
      <c r="AH64" s="250">
        <f t="shared" ref="AH64" si="449">AG64*AG$8</f>
        <v>0.7239705</v>
      </c>
      <c r="AI64" s="262">
        <v>1.1</v>
      </c>
      <c r="AJ64" s="250">
        <f t="shared" ref="AJ64" si="450">AI64*AI$8</f>
        <v>3.6054656</v>
      </c>
      <c r="AK64" s="295" t="s">
        <v>279</v>
      </c>
      <c r="AL64" s="292">
        <f t="shared" si="265"/>
        <v>14.7308667</v>
      </c>
      <c r="AM64" s="296"/>
      <c r="AN64" s="297"/>
      <c r="AO64" s="297"/>
      <c r="AP64" s="288"/>
      <c r="AQ64" s="297"/>
      <c r="AR64" s="297"/>
      <c r="AS64" s="297"/>
      <c r="AT64" s="297"/>
      <c r="AU64" s="297"/>
      <c r="AV64" s="297"/>
      <c r="AW64" s="297"/>
      <c r="AX64" s="297"/>
      <c r="AY64" s="297"/>
    </row>
    <row r="65" customHeight="1" outlineLevel="2" spans="1:51">
      <c r="A65" s="303" t="s">
        <v>280</v>
      </c>
      <c r="B65" s="303" t="s">
        <v>281</v>
      </c>
      <c r="C65" s="250">
        <f t="shared" si="210"/>
        <v>1</v>
      </c>
      <c r="D65" s="256">
        <f t="shared" si="211"/>
        <v>13.391697</v>
      </c>
      <c r="E65" s="250">
        <f t="shared" si="212"/>
        <v>1</v>
      </c>
      <c r="F65" s="250">
        <f t="shared" si="213"/>
        <v>9.455846</v>
      </c>
      <c r="G65" s="262">
        <v>1</v>
      </c>
      <c r="H65" s="250">
        <f t="shared" si="214"/>
        <v>0.532871</v>
      </c>
      <c r="I65" s="262">
        <v>1</v>
      </c>
      <c r="J65" s="250">
        <f t="shared" ref="J65" si="451">I65*I$8</f>
        <v>5.633832</v>
      </c>
      <c r="K65" s="262">
        <v>1</v>
      </c>
      <c r="L65" s="250">
        <f t="shared" ref="L65" si="452">K65*K$8</f>
        <v>3.230418</v>
      </c>
      <c r="M65" s="262">
        <v>1</v>
      </c>
      <c r="N65" s="250">
        <f t="shared" si="340"/>
        <v>0</v>
      </c>
      <c r="O65" s="262">
        <v>1</v>
      </c>
      <c r="P65" s="250">
        <f t="shared" si="341"/>
        <v>0</v>
      </c>
      <c r="Q65" s="262">
        <v>1</v>
      </c>
      <c r="R65" s="250">
        <f t="shared" si="342"/>
        <v>0</v>
      </c>
      <c r="S65" s="262">
        <v>1</v>
      </c>
      <c r="T65" s="250">
        <f t="shared" si="343"/>
        <v>0</v>
      </c>
      <c r="U65" s="262">
        <v>1</v>
      </c>
      <c r="V65" s="250">
        <f t="shared" ref="V65" si="453">U65*U$8</f>
        <v>0</v>
      </c>
      <c r="W65" s="262">
        <v>1</v>
      </c>
      <c r="X65" s="250">
        <f t="shared" ref="X65" si="454">W65*W$8</f>
        <v>0</v>
      </c>
      <c r="Y65" s="262">
        <v>1</v>
      </c>
      <c r="Z65" s="250">
        <f t="shared" ref="Z65" si="455">Y65*Y$8</f>
        <v>0.058725</v>
      </c>
      <c r="AA65" s="262">
        <v>1</v>
      </c>
      <c r="AB65" s="250">
        <f t="shared" ref="AB65" si="456">AA65*AA$8</f>
        <v>0</v>
      </c>
      <c r="AC65" s="250">
        <f t="shared" si="234"/>
        <v>1</v>
      </c>
      <c r="AD65" s="250">
        <f t="shared" si="348"/>
        <v>3.935851</v>
      </c>
      <c r="AE65" s="262">
        <v>1</v>
      </c>
      <c r="AF65" s="250">
        <f t="shared" ref="AF65" si="457">AE65*AE$8</f>
        <v>0</v>
      </c>
      <c r="AG65" s="262">
        <v>1</v>
      </c>
      <c r="AH65" s="250">
        <f t="shared" ref="AH65" si="458">AG65*AG$8</f>
        <v>0.658155</v>
      </c>
      <c r="AI65" s="262">
        <v>1</v>
      </c>
      <c r="AJ65" s="250">
        <f t="shared" ref="AJ65" si="459">AI65*AI$8</f>
        <v>3.277696</v>
      </c>
      <c r="AK65" s="295" t="s">
        <v>282</v>
      </c>
      <c r="AL65" s="292">
        <f t="shared" si="265"/>
        <v>13.391697</v>
      </c>
      <c r="AM65" s="290"/>
      <c r="AN65" s="288"/>
      <c r="AO65" s="288"/>
      <c r="AP65" s="288"/>
      <c r="AQ65" s="288"/>
      <c r="AR65" s="288"/>
      <c r="AS65" s="288"/>
      <c r="AT65" s="288"/>
      <c r="AU65" s="288"/>
      <c r="AV65" s="288"/>
      <c r="AW65" s="288"/>
      <c r="AX65" s="288"/>
      <c r="AY65" s="288"/>
    </row>
    <row r="66" customHeight="1" outlineLevel="2" spans="1:51">
      <c r="A66" s="303" t="s">
        <v>283</v>
      </c>
      <c r="B66" s="303" t="s">
        <v>284</v>
      </c>
      <c r="C66" s="250">
        <f t="shared" ref="C66:C72" si="460">D66/$C$8</f>
        <v>0</v>
      </c>
      <c r="D66" s="256">
        <f t="shared" si="211"/>
        <v>0</v>
      </c>
      <c r="E66" s="250">
        <f t="shared" si="212"/>
        <v>0</v>
      </c>
      <c r="F66" s="250">
        <f t="shared" si="213"/>
        <v>0</v>
      </c>
      <c r="G66" s="262"/>
      <c r="H66" s="250">
        <f t="shared" si="214"/>
        <v>0</v>
      </c>
      <c r="I66" s="262"/>
      <c r="J66" s="250">
        <f t="shared" ref="J66" si="461">I66*I$8</f>
        <v>0</v>
      </c>
      <c r="K66" s="262"/>
      <c r="L66" s="250">
        <f t="shared" ref="L66" si="462">K66*K$8</f>
        <v>0</v>
      </c>
      <c r="M66" s="262"/>
      <c r="N66" s="250">
        <f t="shared" si="340"/>
        <v>0</v>
      </c>
      <c r="O66" s="262"/>
      <c r="P66" s="250">
        <f t="shared" si="341"/>
        <v>0</v>
      </c>
      <c r="Q66" s="262"/>
      <c r="R66" s="250">
        <f t="shared" si="342"/>
        <v>0</v>
      </c>
      <c r="S66" s="262"/>
      <c r="T66" s="250">
        <f t="shared" si="343"/>
        <v>0</v>
      </c>
      <c r="U66" s="262"/>
      <c r="V66" s="250">
        <f t="shared" ref="V66" si="463">U66*U$8</f>
        <v>0</v>
      </c>
      <c r="W66" s="262"/>
      <c r="X66" s="250">
        <f t="shared" ref="X66" si="464">W66*W$8</f>
        <v>0</v>
      </c>
      <c r="Y66" s="262"/>
      <c r="Z66" s="250">
        <f t="shared" ref="Z66" si="465">Y66*Y$8</f>
        <v>0</v>
      </c>
      <c r="AA66" s="262"/>
      <c r="AB66" s="250">
        <f t="shared" ref="AB66" si="466">AA66*AA$8</f>
        <v>0</v>
      </c>
      <c r="AC66" s="250">
        <f t="shared" si="234"/>
        <v>0</v>
      </c>
      <c r="AD66" s="250">
        <f t="shared" si="348"/>
        <v>0</v>
      </c>
      <c r="AE66" s="262"/>
      <c r="AF66" s="250">
        <f t="shared" ref="AF66" si="467">AE66*AE$8</f>
        <v>0</v>
      </c>
      <c r="AG66" s="262"/>
      <c r="AH66" s="250">
        <f t="shared" ref="AH66" si="468">AG66*AG$8</f>
        <v>0</v>
      </c>
      <c r="AI66" s="262"/>
      <c r="AJ66" s="250">
        <f t="shared" ref="AJ66" si="469">AI66*AI$8</f>
        <v>0</v>
      </c>
      <c r="AK66" s="295" t="s">
        <v>285</v>
      </c>
      <c r="AL66" s="292">
        <f t="shared" si="265"/>
        <v>0</v>
      </c>
      <c r="AM66" s="290"/>
      <c r="AN66" s="288"/>
      <c r="AO66" s="288"/>
      <c r="AP66" s="288"/>
      <c r="AQ66" s="288"/>
      <c r="AR66" s="288"/>
      <c r="AS66" s="288"/>
      <c r="AT66" s="288"/>
      <c r="AU66" s="288"/>
      <c r="AV66" s="288"/>
      <c r="AW66" s="288"/>
      <c r="AX66" s="288"/>
      <c r="AY66" s="288"/>
    </row>
    <row r="67" s="242" customFormat="1" customHeight="1" outlineLevel="2" spans="1:51">
      <c r="A67" s="303" t="s">
        <v>286</v>
      </c>
      <c r="B67" s="303" t="s">
        <v>287</v>
      </c>
      <c r="C67" s="250">
        <f t="shared" si="460"/>
        <v>1</v>
      </c>
      <c r="D67" s="256">
        <f t="shared" si="211"/>
        <v>13.391697</v>
      </c>
      <c r="E67" s="250">
        <f t="shared" si="212"/>
        <v>1</v>
      </c>
      <c r="F67" s="250">
        <f t="shared" si="213"/>
        <v>9.455846</v>
      </c>
      <c r="G67" s="271">
        <v>1</v>
      </c>
      <c r="H67" s="250">
        <f t="shared" si="214"/>
        <v>0.532871</v>
      </c>
      <c r="I67" s="271">
        <v>1</v>
      </c>
      <c r="J67" s="250">
        <f t="shared" ref="J67" si="470">I67*I$8</f>
        <v>5.633832</v>
      </c>
      <c r="K67" s="271">
        <v>1</v>
      </c>
      <c r="L67" s="250">
        <f t="shared" ref="L67" si="471">K67*K$8</f>
        <v>3.230418</v>
      </c>
      <c r="M67" s="271"/>
      <c r="N67" s="250">
        <f t="shared" si="340"/>
        <v>0</v>
      </c>
      <c r="O67" s="271"/>
      <c r="P67" s="250">
        <f t="shared" si="341"/>
        <v>0</v>
      </c>
      <c r="Q67" s="271"/>
      <c r="R67" s="250">
        <f t="shared" si="342"/>
        <v>0</v>
      </c>
      <c r="S67" s="271">
        <v>1</v>
      </c>
      <c r="T67" s="250">
        <f t="shared" si="343"/>
        <v>0</v>
      </c>
      <c r="U67" s="271">
        <v>1</v>
      </c>
      <c r="V67" s="250">
        <f t="shared" ref="V67" si="472">U67*U$8</f>
        <v>0</v>
      </c>
      <c r="W67" s="271">
        <v>1</v>
      </c>
      <c r="X67" s="250">
        <f t="shared" ref="X67" si="473">W67*W$8</f>
        <v>0</v>
      </c>
      <c r="Y67" s="271">
        <v>1</v>
      </c>
      <c r="Z67" s="250">
        <f t="shared" ref="Z67" si="474">Y67*Y$8</f>
        <v>0.058725</v>
      </c>
      <c r="AA67" s="271">
        <v>1</v>
      </c>
      <c r="AB67" s="250">
        <f t="shared" ref="AB67" si="475">AA67*AA$8</f>
        <v>0</v>
      </c>
      <c r="AC67" s="250">
        <f t="shared" si="234"/>
        <v>1</v>
      </c>
      <c r="AD67" s="250">
        <f t="shared" si="348"/>
        <v>3.935851</v>
      </c>
      <c r="AE67" s="271"/>
      <c r="AF67" s="250">
        <f t="shared" ref="AF67" si="476">AE67*AE$8</f>
        <v>0</v>
      </c>
      <c r="AG67" s="271">
        <v>1</v>
      </c>
      <c r="AH67" s="250">
        <f t="shared" ref="AH67" si="477">AG67*AG$8</f>
        <v>0.658155</v>
      </c>
      <c r="AI67" s="271">
        <v>1</v>
      </c>
      <c r="AJ67" s="250">
        <f t="shared" ref="AJ67" si="478">AI67*AI$8</f>
        <v>3.277696</v>
      </c>
      <c r="AK67" s="295" t="s">
        <v>288</v>
      </c>
      <c r="AL67" s="292">
        <f t="shared" si="265"/>
        <v>13.391697</v>
      </c>
      <c r="AM67" s="296"/>
      <c r="AN67" s="297"/>
      <c r="AO67" s="297"/>
      <c r="AP67" s="288"/>
      <c r="AQ67" s="297"/>
      <c r="AR67" s="297"/>
      <c r="AS67" s="297"/>
      <c r="AT67" s="297"/>
      <c r="AU67" s="297"/>
      <c r="AV67" s="297"/>
      <c r="AW67" s="297"/>
      <c r="AX67" s="297"/>
      <c r="AY67" s="297"/>
    </row>
    <row r="68" s="242" customFormat="1" customHeight="1" outlineLevel="2" spans="1:51">
      <c r="A68" s="303" t="s">
        <v>289</v>
      </c>
      <c r="B68" s="304" t="s">
        <v>290</v>
      </c>
      <c r="C68" s="250">
        <f t="shared" si="460"/>
        <v>14.4073120157961</v>
      </c>
      <c r="D68" s="256">
        <f t="shared" si="211"/>
        <v>192.938357100001</v>
      </c>
      <c r="E68" s="250">
        <f t="shared" si="212"/>
        <v>14.4073120157961</v>
      </c>
      <c r="F68" s="250">
        <f t="shared" si="213"/>
        <v>136.233323695318</v>
      </c>
      <c r="G68" s="271">
        <v>14.4073120157961</v>
      </c>
      <c r="H68" s="250">
        <f t="shared" si="214"/>
        <v>7.67723876116928</v>
      </c>
      <c r="I68" s="271">
        <v>14.4073120157961</v>
      </c>
      <c r="J68" s="250">
        <f t="shared" ref="J68" si="479">I68*I$8</f>
        <v>81.1683754685766</v>
      </c>
      <c r="K68" s="271">
        <v>14.4073120157961</v>
      </c>
      <c r="L68" s="250">
        <f t="shared" ref="L68" si="480">K68*K$8</f>
        <v>46.541640067444</v>
      </c>
      <c r="M68" s="271">
        <f>$AM$68/$C$8</f>
        <v>14.4073120157961</v>
      </c>
      <c r="N68" s="250">
        <f t="shared" si="340"/>
        <v>0</v>
      </c>
      <c r="O68" s="271">
        <f>$AM$68/$C$8</f>
        <v>14.4073120157961</v>
      </c>
      <c r="P68" s="250">
        <f t="shared" si="341"/>
        <v>0</v>
      </c>
      <c r="Q68" s="271">
        <f>$AM$68/$C$8</f>
        <v>14.4073120157961</v>
      </c>
      <c r="R68" s="250">
        <f t="shared" si="342"/>
        <v>0</v>
      </c>
      <c r="S68" s="271">
        <f>$AM$68/$C$8</f>
        <v>14.4073120157961</v>
      </c>
      <c r="T68" s="250">
        <f t="shared" si="343"/>
        <v>0</v>
      </c>
      <c r="U68" s="271">
        <f>$AM$68/$C$8</f>
        <v>14.4073120157961</v>
      </c>
      <c r="V68" s="250">
        <f t="shared" ref="V68" si="481">U68*U$8</f>
        <v>0</v>
      </c>
      <c r="W68" s="271">
        <f>$AM$68/$C$8</f>
        <v>14.4073120157961</v>
      </c>
      <c r="X68" s="250">
        <f t="shared" ref="X68" si="482">W68*W$8</f>
        <v>0</v>
      </c>
      <c r="Y68" s="271">
        <v>14.4073120157961</v>
      </c>
      <c r="Z68" s="250">
        <f t="shared" ref="Z68" si="483">Y68*Y$8</f>
        <v>0.846069398127626</v>
      </c>
      <c r="AA68" s="271">
        <f>$AM$68/$C$8</f>
        <v>14.4073120157961</v>
      </c>
      <c r="AB68" s="250">
        <f t="shared" ref="AB68" si="484">AA68*AA$8</f>
        <v>0</v>
      </c>
      <c r="AC68" s="250">
        <f t="shared" si="234"/>
        <v>14.4073120157961</v>
      </c>
      <c r="AD68" s="250">
        <f t="shared" si="348"/>
        <v>56.7050334046831</v>
      </c>
      <c r="AE68" s="271">
        <f>$AM$68/$C$8</f>
        <v>14.4073120157961</v>
      </c>
      <c r="AF68" s="250">
        <f t="shared" ref="AF68" si="485">AE68*AE$8</f>
        <v>0</v>
      </c>
      <c r="AG68" s="271">
        <v>14.4073120157961</v>
      </c>
      <c r="AH68" s="250">
        <f t="shared" ref="AH68" si="486">AG68*AG$8</f>
        <v>9.48224443975628</v>
      </c>
      <c r="AI68" s="271">
        <v>14.4073120157961</v>
      </c>
      <c r="AJ68" s="250">
        <f t="shared" ref="AJ68" si="487">AI68*AI$8</f>
        <v>47.2227889649268</v>
      </c>
      <c r="AK68" s="295" t="s">
        <v>291</v>
      </c>
      <c r="AL68" s="292">
        <f t="shared" si="265"/>
        <v>192.938357100001</v>
      </c>
      <c r="AM68" s="296">
        <f>C8*0.3+(经济指标!E20*6*8)/10000</f>
        <v>192.9383571</v>
      </c>
      <c r="AN68" s="297"/>
      <c r="AO68" s="297"/>
      <c r="AP68" s="288"/>
      <c r="AQ68" s="297"/>
      <c r="AR68" s="297"/>
      <c r="AS68" s="297"/>
      <c r="AT68" s="297"/>
      <c r="AU68" s="297"/>
      <c r="AV68" s="297"/>
      <c r="AW68" s="297"/>
      <c r="AX68" s="297"/>
      <c r="AY68" s="297"/>
    </row>
    <row r="69" s="243" customFormat="1" customHeight="1" outlineLevel="2" spans="1:51">
      <c r="A69" s="264" t="s">
        <v>292</v>
      </c>
      <c r="B69" s="264" t="s">
        <v>293</v>
      </c>
      <c r="C69" s="250">
        <f t="shared" si="460"/>
        <v>7</v>
      </c>
      <c r="D69" s="256">
        <f t="shared" si="211"/>
        <v>93.741879</v>
      </c>
      <c r="E69" s="250">
        <f t="shared" si="212"/>
        <v>7</v>
      </c>
      <c r="F69" s="250">
        <f t="shared" si="213"/>
        <v>66.190922</v>
      </c>
      <c r="G69" s="262">
        <v>7</v>
      </c>
      <c r="H69" s="250">
        <f t="shared" si="214"/>
        <v>3.730097</v>
      </c>
      <c r="I69" s="262">
        <v>7</v>
      </c>
      <c r="J69" s="250">
        <f t="shared" ref="J69" si="488">I69*I$8</f>
        <v>39.436824</v>
      </c>
      <c r="K69" s="262">
        <v>7</v>
      </c>
      <c r="L69" s="250">
        <f t="shared" ref="L69" si="489">K69*K$8</f>
        <v>22.612926</v>
      </c>
      <c r="M69" s="262"/>
      <c r="N69" s="250">
        <f t="shared" si="340"/>
        <v>0</v>
      </c>
      <c r="O69" s="262"/>
      <c r="P69" s="250">
        <f t="shared" si="341"/>
        <v>0</v>
      </c>
      <c r="Q69" s="262"/>
      <c r="R69" s="250">
        <f t="shared" si="342"/>
        <v>0</v>
      </c>
      <c r="S69" s="262"/>
      <c r="T69" s="250">
        <f t="shared" si="343"/>
        <v>0</v>
      </c>
      <c r="U69" s="262"/>
      <c r="V69" s="250">
        <f t="shared" ref="V69" si="490">U69*U$8</f>
        <v>0</v>
      </c>
      <c r="W69" s="262"/>
      <c r="X69" s="250">
        <f t="shared" ref="X69" si="491">W69*W$8</f>
        <v>0</v>
      </c>
      <c r="Y69" s="262">
        <v>7</v>
      </c>
      <c r="Z69" s="250">
        <f t="shared" ref="Z69" si="492">Y69*Y$8</f>
        <v>0.411075</v>
      </c>
      <c r="AA69" s="262"/>
      <c r="AB69" s="250">
        <f t="shared" ref="AB69" si="493">AA69*AA$8</f>
        <v>0</v>
      </c>
      <c r="AC69" s="250">
        <f t="shared" si="234"/>
        <v>7</v>
      </c>
      <c r="AD69" s="250">
        <f t="shared" si="348"/>
        <v>27.550957</v>
      </c>
      <c r="AE69" s="262"/>
      <c r="AF69" s="250">
        <f t="shared" ref="AF69" si="494">AE69*AE$8</f>
        <v>0</v>
      </c>
      <c r="AG69" s="262">
        <v>7</v>
      </c>
      <c r="AH69" s="250">
        <f t="shared" ref="AH69" si="495">AG69*AG$8</f>
        <v>4.607085</v>
      </c>
      <c r="AI69" s="262">
        <v>7</v>
      </c>
      <c r="AJ69" s="250">
        <f t="shared" ref="AJ69" si="496">AI69*AI$8</f>
        <v>22.943872</v>
      </c>
      <c r="AK69" s="295" t="s">
        <v>294</v>
      </c>
      <c r="AL69" s="292">
        <f t="shared" si="265"/>
        <v>93.741879</v>
      </c>
      <c r="AM69" s="320"/>
      <c r="AN69" s="321"/>
      <c r="AO69" s="321"/>
      <c r="AP69" s="326"/>
      <c r="AQ69" s="321"/>
      <c r="AR69" s="321"/>
      <c r="AS69" s="321"/>
      <c r="AT69" s="321"/>
      <c r="AU69" s="321"/>
      <c r="AV69" s="321"/>
      <c r="AW69" s="321"/>
      <c r="AX69" s="321"/>
      <c r="AY69" s="321"/>
    </row>
    <row r="70" s="242" customFormat="1" customHeight="1" outlineLevel="1" spans="1:51">
      <c r="A70" s="255" t="s">
        <v>295</v>
      </c>
      <c r="B70" s="255" t="s">
        <v>296</v>
      </c>
      <c r="C70" s="250">
        <f t="shared" si="460"/>
        <v>2</v>
      </c>
      <c r="D70" s="256">
        <f t="shared" si="211"/>
        <v>26.783394</v>
      </c>
      <c r="E70" s="250">
        <f t="shared" si="212"/>
        <v>2</v>
      </c>
      <c r="F70" s="250">
        <f t="shared" si="213"/>
        <v>18.911692</v>
      </c>
      <c r="G70" s="260">
        <v>2</v>
      </c>
      <c r="H70" s="250">
        <f t="shared" si="214"/>
        <v>1.065742</v>
      </c>
      <c r="I70" s="260">
        <v>2</v>
      </c>
      <c r="J70" s="250">
        <f t="shared" ref="J70" si="497">I70*I$8</f>
        <v>11.267664</v>
      </c>
      <c r="K70" s="260">
        <v>2</v>
      </c>
      <c r="L70" s="250">
        <f t="shared" ref="L70" si="498">K70*K$8</f>
        <v>6.460836</v>
      </c>
      <c r="M70" s="260">
        <v>2</v>
      </c>
      <c r="N70" s="250">
        <f t="shared" si="340"/>
        <v>0</v>
      </c>
      <c r="O70" s="260">
        <v>2</v>
      </c>
      <c r="P70" s="250">
        <f t="shared" si="341"/>
        <v>0</v>
      </c>
      <c r="Q70" s="260">
        <v>2</v>
      </c>
      <c r="R70" s="250">
        <f t="shared" si="342"/>
        <v>0</v>
      </c>
      <c r="S70" s="260">
        <v>2</v>
      </c>
      <c r="T70" s="250">
        <f t="shared" si="343"/>
        <v>0</v>
      </c>
      <c r="U70" s="260">
        <v>2</v>
      </c>
      <c r="V70" s="250">
        <f t="shared" ref="V70" si="499">U70*U$8</f>
        <v>0</v>
      </c>
      <c r="W70" s="260">
        <v>2</v>
      </c>
      <c r="X70" s="250">
        <f t="shared" ref="X70" si="500">W70*W$8</f>
        <v>0</v>
      </c>
      <c r="Y70" s="260">
        <v>2</v>
      </c>
      <c r="Z70" s="250">
        <f t="shared" ref="Z70" si="501">Y70*Y$8</f>
        <v>0.11745</v>
      </c>
      <c r="AA70" s="260">
        <v>2</v>
      </c>
      <c r="AB70" s="250">
        <f t="shared" ref="AB70" si="502">AA70*AA$8</f>
        <v>0</v>
      </c>
      <c r="AC70" s="250">
        <f t="shared" si="234"/>
        <v>2</v>
      </c>
      <c r="AD70" s="250">
        <f t="shared" si="348"/>
        <v>7.871702</v>
      </c>
      <c r="AE70" s="260">
        <v>2</v>
      </c>
      <c r="AF70" s="250">
        <f t="shared" ref="AF70" si="503">AE70*AE$8</f>
        <v>0</v>
      </c>
      <c r="AG70" s="260">
        <v>2</v>
      </c>
      <c r="AH70" s="250">
        <f t="shared" ref="AH70" si="504">AG70*AG$8</f>
        <v>1.31631</v>
      </c>
      <c r="AI70" s="260">
        <v>2</v>
      </c>
      <c r="AJ70" s="250">
        <f t="shared" ref="AJ70" si="505">AI70*AI$8</f>
        <v>6.555392</v>
      </c>
      <c r="AK70" s="295" t="s">
        <v>297</v>
      </c>
      <c r="AL70" s="292">
        <f t="shared" si="265"/>
        <v>26.783394</v>
      </c>
      <c r="AM70" s="290"/>
      <c r="AN70" s="297"/>
      <c r="AO70" s="297"/>
      <c r="AP70" s="288"/>
      <c r="AQ70" s="297"/>
      <c r="AR70" s="297"/>
      <c r="AS70" s="297"/>
      <c r="AT70" s="297"/>
      <c r="AU70" s="297"/>
      <c r="AV70" s="297"/>
      <c r="AW70" s="297"/>
      <c r="AX70" s="297"/>
      <c r="AY70" s="297"/>
    </row>
    <row r="71" s="242" customFormat="1" customHeight="1" outlineLevel="1" spans="1:51">
      <c r="A71" s="255">
        <v>207</v>
      </c>
      <c r="B71" s="255" t="s">
        <v>298</v>
      </c>
      <c r="C71" s="250">
        <f t="shared" si="460"/>
        <v>120</v>
      </c>
      <c r="D71" s="256">
        <f>(F71+AD71)</f>
        <v>1607.00364</v>
      </c>
      <c r="E71" s="250">
        <f t="shared" si="212"/>
        <v>120</v>
      </c>
      <c r="F71" s="250">
        <f t="shared" si="213"/>
        <v>1134.70152</v>
      </c>
      <c r="G71" s="260">
        <v>120</v>
      </c>
      <c r="H71" s="250">
        <f t="shared" si="214"/>
        <v>63.94452</v>
      </c>
      <c r="I71" s="260">
        <v>120</v>
      </c>
      <c r="J71" s="250">
        <f t="shared" ref="J71" si="506">I71*I$8</f>
        <v>676.05984</v>
      </c>
      <c r="K71" s="260">
        <v>120</v>
      </c>
      <c r="L71" s="250">
        <f t="shared" ref="L71" si="507">K71*K$8</f>
        <v>387.65016</v>
      </c>
      <c r="M71" s="260">
        <v>70</v>
      </c>
      <c r="N71" s="250">
        <f t="shared" si="340"/>
        <v>0</v>
      </c>
      <c r="O71" s="260"/>
      <c r="P71" s="250">
        <f t="shared" si="341"/>
        <v>0</v>
      </c>
      <c r="Q71" s="260">
        <v>70</v>
      </c>
      <c r="R71" s="250">
        <f t="shared" si="342"/>
        <v>0</v>
      </c>
      <c r="S71" s="260">
        <v>120</v>
      </c>
      <c r="T71" s="250">
        <f t="shared" si="343"/>
        <v>0</v>
      </c>
      <c r="U71" s="260">
        <v>120</v>
      </c>
      <c r="V71" s="250">
        <f t="shared" ref="V71" si="508">U71*U$8</f>
        <v>0</v>
      </c>
      <c r="W71" s="260"/>
      <c r="X71" s="250">
        <f t="shared" ref="X71" si="509">W71*W$8</f>
        <v>0</v>
      </c>
      <c r="Y71" s="260">
        <v>120</v>
      </c>
      <c r="Z71" s="250">
        <f t="shared" ref="Z71" si="510">Y71*Y$8</f>
        <v>7.047</v>
      </c>
      <c r="AA71" s="260">
        <v>120</v>
      </c>
      <c r="AB71" s="250">
        <f t="shared" ref="AB71" si="511">AA71*AA$8</f>
        <v>0</v>
      </c>
      <c r="AC71" s="250">
        <f t="shared" si="234"/>
        <v>120</v>
      </c>
      <c r="AD71" s="250">
        <f t="shared" si="348"/>
        <v>472.30212</v>
      </c>
      <c r="AE71" s="260">
        <v>120</v>
      </c>
      <c r="AF71" s="250">
        <f t="shared" ref="AF71" si="512">AE71*AE$8</f>
        <v>0</v>
      </c>
      <c r="AG71" s="260">
        <v>120</v>
      </c>
      <c r="AH71" s="250">
        <f t="shared" ref="AH71" si="513">AG71*AG$8</f>
        <v>78.9786</v>
      </c>
      <c r="AI71" s="260">
        <v>120</v>
      </c>
      <c r="AJ71" s="250">
        <f t="shared" ref="AJ71" si="514">AI71*AI$8</f>
        <v>393.32352</v>
      </c>
      <c r="AK71" s="295" t="s">
        <v>299</v>
      </c>
      <c r="AL71" s="292">
        <f t="shared" si="265"/>
        <v>1607.00364</v>
      </c>
      <c r="AM71" s="290"/>
      <c r="AN71" s="297"/>
      <c r="AO71" s="297"/>
      <c r="AP71" s="288"/>
      <c r="AQ71" s="297"/>
      <c r="AR71" s="297"/>
      <c r="AS71" s="297"/>
      <c r="AT71" s="297"/>
      <c r="AU71" s="297"/>
      <c r="AV71" s="297"/>
      <c r="AW71" s="297"/>
      <c r="AX71" s="297"/>
      <c r="AY71" s="297"/>
    </row>
    <row r="72" customHeight="1" outlineLevel="1" spans="1:51">
      <c r="A72" s="255" t="s">
        <v>300</v>
      </c>
      <c r="B72" s="255" t="s">
        <v>301</v>
      </c>
      <c r="C72" s="250">
        <f t="shared" si="460"/>
        <v>3</v>
      </c>
      <c r="D72" s="256">
        <f>F72+AD72</f>
        <v>40.175091</v>
      </c>
      <c r="E72" s="250">
        <f t="shared" si="212"/>
        <v>3</v>
      </c>
      <c r="F72" s="250">
        <f t="shared" si="213"/>
        <v>28.367538</v>
      </c>
      <c r="G72" s="260">
        <v>3</v>
      </c>
      <c r="H72" s="250">
        <f t="shared" si="214"/>
        <v>1.598613</v>
      </c>
      <c r="I72" s="260">
        <v>3</v>
      </c>
      <c r="J72" s="250">
        <f t="shared" ref="J72" si="515">I72*I$8</f>
        <v>16.901496</v>
      </c>
      <c r="K72" s="260">
        <v>3</v>
      </c>
      <c r="L72" s="250">
        <f t="shared" ref="L72" si="516">K72*K$8</f>
        <v>9.691254</v>
      </c>
      <c r="M72" s="260">
        <v>3</v>
      </c>
      <c r="N72" s="250">
        <f t="shared" si="340"/>
        <v>0</v>
      </c>
      <c r="O72" s="260">
        <v>3</v>
      </c>
      <c r="P72" s="250">
        <f t="shared" si="341"/>
        <v>0</v>
      </c>
      <c r="Q72" s="260">
        <v>3</v>
      </c>
      <c r="R72" s="250">
        <f t="shared" si="342"/>
        <v>0</v>
      </c>
      <c r="S72" s="260">
        <v>3</v>
      </c>
      <c r="T72" s="250">
        <f t="shared" si="343"/>
        <v>0</v>
      </c>
      <c r="U72" s="260">
        <v>3</v>
      </c>
      <c r="V72" s="250">
        <f t="shared" ref="V72" si="517">U72*U$8</f>
        <v>0</v>
      </c>
      <c r="W72" s="260">
        <v>3</v>
      </c>
      <c r="X72" s="250">
        <f t="shared" ref="X72" si="518">W72*W$8</f>
        <v>0</v>
      </c>
      <c r="Y72" s="260">
        <v>3</v>
      </c>
      <c r="Z72" s="250">
        <f t="shared" ref="Z72" si="519">Y72*Y$8</f>
        <v>0.176175</v>
      </c>
      <c r="AA72" s="260">
        <v>3</v>
      </c>
      <c r="AB72" s="250">
        <f t="shared" ref="AB72" si="520">AA72*AA$8</f>
        <v>0</v>
      </c>
      <c r="AC72" s="250">
        <f t="shared" si="234"/>
        <v>3</v>
      </c>
      <c r="AD72" s="250">
        <f t="shared" si="348"/>
        <v>11.807553</v>
      </c>
      <c r="AE72" s="260">
        <v>3</v>
      </c>
      <c r="AF72" s="250">
        <f t="shared" ref="AF72" si="521">AE72*AE$8</f>
        <v>0</v>
      </c>
      <c r="AG72" s="260">
        <v>3</v>
      </c>
      <c r="AH72" s="250">
        <f t="shared" ref="AH72" si="522">AG72*AG$8</f>
        <v>1.974465</v>
      </c>
      <c r="AI72" s="260">
        <v>3</v>
      </c>
      <c r="AJ72" s="250">
        <f t="shared" ref="AJ72" si="523">AI72*AI$8</f>
        <v>9.83308800000001</v>
      </c>
      <c r="AK72" s="295" t="s">
        <v>302</v>
      </c>
      <c r="AL72" s="292">
        <f t="shared" si="265"/>
        <v>40.175091</v>
      </c>
      <c r="AM72" s="290"/>
      <c r="AN72" s="288"/>
      <c r="AO72" s="288"/>
      <c r="AP72" s="288"/>
      <c r="AQ72" s="288"/>
      <c r="AR72" s="288"/>
      <c r="AS72" s="288"/>
      <c r="AT72" s="288"/>
      <c r="AU72" s="288"/>
      <c r="AV72" s="288"/>
      <c r="AW72" s="288"/>
      <c r="AX72" s="288"/>
      <c r="AY72" s="288"/>
    </row>
    <row r="73" customHeight="1" spans="1:51">
      <c r="A73" s="253" t="s">
        <v>303</v>
      </c>
      <c r="B73" s="253" t="s">
        <v>304</v>
      </c>
      <c r="C73" s="254">
        <f>C74+C79+C103+C109+C116</f>
        <v>2833.16966346386</v>
      </c>
      <c r="D73" s="254">
        <f>D74+D79+D103+D109+D116</f>
        <v>37940.9496827</v>
      </c>
      <c r="E73" s="254">
        <f t="shared" ref="E73:AJ73" si="524">E74+E79+E103+E109+E116</f>
        <v>2795.83717479317</v>
      </c>
      <c r="F73" s="254">
        <f t="shared" si="524"/>
        <v>26437.0057659192</v>
      </c>
      <c r="G73" s="254">
        <f t="shared" si="524"/>
        <v>2515.67595956812</v>
      </c>
      <c r="H73" s="254">
        <f t="shared" si="524"/>
        <v>1340.53076425102</v>
      </c>
      <c r="I73" s="254">
        <f t="shared" si="524"/>
        <v>2298.12058337841</v>
      </c>
      <c r="J73" s="254">
        <f t="shared" si="524"/>
        <v>12947.2252824959</v>
      </c>
      <c r="K73" s="254">
        <f t="shared" si="524"/>
        <v>3707.05955241412</v>
      </c>
      <c r="L73" s="254">
        <f t="shared" si="524"/>
        <v>11975.3519051905</v>
      </c>
      <c r="M73" s="254">
        <f t="shared" si="524"/>
        <v>104.122886024079</v>
      </c>
      <c r="N73" s="254">
        <f t="shared" si="524"/>
        <v>0</v>
      </c>
      <c r="O73" s="254">
        <f t="shared" si="524"/>
        <v>105.122886024079</v>
      </c>
      <c r="P73" s="254">
        <f t="shared" si="524"/>
        <v>0</v>
      </c>
      <c r="Q73" s="254">
        <f t="shared" si="524"/>
        <v>704.122886024079</v>
      </c>
      <c r="R73" s="254">
        <f t="shared" si="524"/>
        <v>0</v>
      </c>
      <c r="S73" s="254">
        <f t="shared" si="524"/>
        <v>114.522886024079</v>
      </c>
      <c r="T73" s="254">
        <f t="shared" si="524"/>
        <v>0</v>
      </c>
      <c r="U73" s="254">
        <f t="shared" si="524"/>
        <v>914.522886024079</v>
      </c>
      <c r="V73" s="254">
        <f t="shared" si="524"/>
        <v>0</v>
      </c>
      <c r="W73" s="254">
        <f t="shared" si="524"/>
        <v>113.722886024079</v>
      </c>
      <c r="X73" s="254">
        <f t="shared" si="524"/>
        <v>0</v>
      </c>
      <c r="Y73" s="254">
        <f t="shared" si="524"/>
        <v>2961.22288602408</v>
      </c>
      <c r="Z73" s="254">
        <f t="shared" si="524"/>
        <v>173.897813981764</v>
      </c>
      <c r="AA73" s="254">
        <f t="shared" si="524"/>
        <v>2088.72288602408</v>
      </c>
      <c r="AB73" s="254">
        <f t="shared" si="524"/>
        <v>0</v>
      </c>
      <c r="AC73" s="254">
        <f t="shared" si="524"/>
        <v>2922.86062576575</v>
      </c>
      <c r="AD73" s="254">
        <f t="shared" si="524"/>
        <v>11503.9439167808</v>
      </c>
      <c r="AE73" s="254" t="e">
        <f t="shared" si="524"/>
        <v>#REF!</v>
      </c>
      <c r="AF73" s="254" t="e">
        <f t="shared" si="524"/>
        <v>#REF!</v>
      </c>
      <c r="AG73" s="254">
        <f t="shared" si="524"/>
        <v>3480.82288602408</v>
      </c>
      <c r="AH73" s="254">
        <f t="shared" si="524"/>
        <v>2290.92098655118</v>
      </c>
      <c r="AI73" s="254">
        <f t="shared" si="524"/>
        <v>2810.82288602408</v>
      </c>
      <c r="AJ73" s="254">
        <f t="shared" si="524"/>
        <v>9213.02293022958</v>
      </c>
      <c r="AK73" s="295"/>
      <c r="AL73" s="292">
        <f t="shared" si="265"/>
        <v>37940.9496826999</v>
      </c>
      <c r="AM73" s="290"/>
      <c r="AN73" s="288"/>
      <c r="AO73" s="288"/>
      <c r="AP73" s="288"/>
      <c r="AQ73" s="288"/>
      <c r="AR73" s="288"/>
      <c r="AS73" s="288"/>
      <c r="AT73" s="288"/>
      <c r="AU73" s="288"/>
      <c r="AV73" s="288"/>
      <c r="AW73" s="288"/>
      <c r="AX73" s="288"/>
      <c r="AY73" s="288"/>
    </row>
    <row r="74" customHeight="1" outlineLevel="1" collapsed="1" spans="1:51">
      <c r="A74" s="305" t="s">
        <v>305</v>
      </c>
      <c r="B74" s="305" t="s">
        <v>306</v>
      </c>
      <c r="C74" s="306">
        <f>SUM(C75:C78)</f>
        <v>152.195372251926</v>
      </c>
      <c r="D74" s="306">
        <f>SUM(D75:D78)</f>
        <v>2038.15431</v>
      </c>
      <c r="E74" s="306">
        <f>SUM(E75:E78)</f>
        <v>173.536758965749</v>
      </c>
      <c r="F74" s="306">
        <f>SUM(F75:F78)</f>
        <v>1640.93686811924</v>
      </c>
      <c r="G74" s="306">
        <f t="shared" ref="G74:AJ74" si="525">SUM(G75:G78)</f>
        <v>279.935067208643</v>
      </c>
      <c r="H74" s="306">
        <f t="shared" si="525"/>
        <v>149.169279198537</v>
      </c>
      <c r="I74" s="306">
        <f t="shared" si="525"/>
        <v>100.922886024079</v>
      </c>
      <c r="J74" s="306">
        <f t="shared" si="525"/>
        <v>568.582584814809</v>
      </c>
      <c r="K74" s="306">
        <f t="shared" si="525"/>
        <v>283.944154479121</v>
      </c>
      <c r="L74" s="306">
        <f t="shared" si="525"/>
        <v>917.258307624133</v>
      </c>
      <c r="M74" s="306">
        <f t="shared" ref="M74:T74" si="526">SUM(M75:M78)</f>
        <v>100.922886024079</v>
      </c>
      <c r="N74" s="306">
        <f t="shared" si="526"/>
        <v>0</v>
      </c>
      <c r="O74" s="306">
        <f t="shared" si="526"/>
        <v>100.922886024079</v>
      </c>
      <c r="P74" s="306">
        <f t="shared" si="526"/>
        <v>0</v>
      </c>
      <c r="Q74" s="306">
        <f t="shared" si="526"/>
        <v>100.922886024079</v>
      </c>
      <c r="R74" s="306">
        <f t="shared" si="526"/>
        <v>0</v>
      </c>
      <c r="S74" s="306">
        <f t="shared" si="526"/>
        <v>100.922886024079</v>
      </c>
      <c r="T74" s="306">
        <f t="shared" si="526"/>
        <v>0</v>
      </c>
      <c r="U74" s="306">
        <f t="shared" si="525"/>
        <v>100.922886024079</v>
      </c>
      <c r="V74" s="306">
        <f t="shared" si="525"/>
        <v>0</v>
      </c>
      <c r="W74" s="306">
        <f t="shared" si="525"/>
        <v>100.922886024079</v>
      </c>
      <c r="X74" s="306">
        <f t="shared" si="525"/>
        <v>0</v>
      </c>
      <c r="Y74" s="306">
        <f t="shared" si="525"/>
        <v>100.922886024079</v>
      </c>
      <c r="Z74" s="306">
        <f t="shared" si="525"/>
        <v>5.92669648176403</v>
      </c>
      <c r="AA74" s="306">
        <f t="shared" si="525"/>
        <v>100.922886024079</v>
      </c>
      <c r="AB74" s="306">
        <f t="shared" si="525"/>
        <v>0</v>
      </c>
      <c r="AC74" s="306">
        <f t="shared" si="525"/>
        <v>100.922886024079</v>
      </c>
      <c r="AD74" s="306">
        <f t="shared" si="525"/>
        <v>397.217441880758</v>
      </c>
      <c r="AE74" s="306">
        <f t="shared" si="525"/>
        <v>100.922886024079</v>
      </c>
      <c r="AF74" s="306">
        <f t="shared" si="525"/>
        <v>0</v>
      </c>
      <c r="AG74" s="306">
        <f t="shared" si="525"/>
        <v>100.922886024079</v>
      </c>
      <c r="AH74" s="306">
        <f t="shared" si="525"/>
        <v>66.4229020511777</v>
      </c>
      <c r="AI74" s="306">
        <f t="shared" si="525"/>
        <v>100.922886024079</v>
      </c>
      <c r="AJ74" s="306">
        <f t="shared" si="525"/>
        <v>330.79453982958</v>
      </c>
      <c r="AK74" s="295"/>
      <c r="AL74" s="292">
        <f t="shared" si="265"/>
        <v>2038.15431</v>
      </c>
      <c r="AM74" s="290"/>
      <c r="AN74" s="288"/>
      <c r="AO74" s="288"/>
      <c r="AP74" s="288"/>
      <c r="AQ74" s="288"/>
      <c r="AR74" s="288"/>
      <c r="AS74" s="288"/>
      <c r="AT74" s="288"/>
      <c r="AU74" s="288"/>
      <c r="AV74" s="288"/>
      <c r="AW74" s="288"/>
      <c r="AX74" s="288"/>
      <c r="AY74" s="288"/>
    </row>
    <row r="75" s="166" customFormat="1" ht="45.95" customHeight="1" outlineLevel="2" spans="1:51">
      <c r="A75" s="266" t="s">
        <v>307</v>
      </c>
      <c r="B75" s="266" t="s">
        <v>308</v>
      </c>
      <c r="C75" s="256">
        <f>D75/$C$8</f>
        <v>49.7043503896481</v>
      </c>
      <c r="D75" s="256">
        <f>F75+AD75</f>
        <v>665.6256</v>
      </c>
      <c r="E75" s="256">
        <f t="shared" si="212"/>
        <v>70.3930245902905</v>
      </c>
      <c r="F75" s="256">
        <f>H75+J75+L75+N75+P75+R75+T75+V75+X75+Z75+AB75</f>
        <v>665.6256</v>
      </c>
      <c r="G75" s="307">
        <f>H75/G8</f>
        <v>173.38230078199</v>
      </c>
      <c r="H75" s="256">
        <f>经济指标!H26*0.32*12*600/10000</f>
        <v>92.3904</v>
      </c>
      <c r="I75" s="307"/>
      <c r="J75" s="256">
        <f>I75*I8</f>
        <v>0</v>
      </c>
      <c r="K75" s="307">
        <f>L75/K8</f>
        <v>177.449234123881</v>
      </c>
      <c r="L75" s="256">
        <f>经济指标!H29*0.32*12*600/10000</f>
        <v>573.2352</v>
      </c>
      <c r="M75" s="256"/>
      <c r="N75" s="256">
        <f t="shared" ref="N75:N78" si="527">M75*M$8</f>
        <v>0</v>
      </c>
      <c r="O75" s="256"/>
      <c r="P75" s="256">
        <f>O75*O8</f>
        <v>0</v>
      </c>
      <c r="Q75" s="256"/>
      <c r="R75" s="256">
        <f t="shared" ref="R75:R78" si="528">Q75*Q$8</f>
        <v>0</v>
      </c>
      <c r="S75" s="307"/>
      <c r="T75" s="256">
        <f>S75*S$8</f>
        <v>0</v>
      </c>
      <c r="U75" s="256"/>
      <c r="V75" s="256">
        <f>U75*U$8</f>
        <v>0</v>
      </c>
      <c r="W75" s="256"/>
      <c r="X75" s="256">
        <f t="shared" ref="X75" si="529">W75*W$8</f>
        <v>0</v>
      </c>
      <c r="Y75" s="256"/>
      <c r="Z75" s="256">
        <f t="shared" ref="Z75" si="530">Y75*Y$8</f>
        <v>0</v>
      </c>
      <c r="AA75" s="256"/>
      <c r="AB75" s="256">
        <f t="shared" ref="AB75" si="531">AA75*AA$8</f>
        <v>0</v>
      </c>
      <c r="AC75" s="256">
        <f t="shared" si="234"/>
        <v>0</v>
      </c>
      <c r="AD75" s="256">
        <f>AF75+AH75+AJ75</f>
        <v>0</v>
      </c>
      <c r="AE75" s="256"/>
      <c r="AF75" s="256"/>
      <c r="AG75" s="256"/>
      <c r="AH75" s="256"/>
      <c r="AI75" s="256"/>
      <c r="AJ75" s="256"/>
      <c r="AK75" s="295" t="s">
        <v>309</v>
      </c>
      <c r="AL75" s="292">
        <f t="shared" ref="AL75:AL106" si="532">H75+J75+L75+Z75+AH75+AJ75</f>
        <v>665.6256</v>
      </c>
      <c r="AM75" s="322"/>
      <c r="AN75" s="323"/>
      <c r="AO75" s="323"/>
      <c r="AP75" s="323"/>
      <c r="AQ75" s="323"/>
      <c r="AR75" s="323"/>
      <c r="AS75" s="323"/>
      <c r="AT75" s="323"/>
      <c r="AU75" s="323"/>
      <c r="AV75" s="323"/>
      <c r="AW75" s="323"/>
      <c r="AX75" s="323"/>
      <c r="AY75" s="323"/>
    </row>
    <row r="76" ht="53.1" customHeight="1" outlineLevel="2" spans="1:51">
      <c r="A76" s="266" t="s">
        <v>310</v>
      </c>
      <c r="B76" s="263" t="s">
        <v>311</v>
      </c>
      <c r="C76" s="250">
        <f>D76/$C$8</f>
        <v>1.56813583819885</v>
      </c>
      <c r="D76" s="250">
        <f>F76+AD76</f>
        <v>21</v>
      </c>
      <c r="E76" s="250">
        <f t="shared" si="212"/>
        <v>2.22084835137966</v>
      </c>
      <c r="F76" s="250">
        <f t="shared" si="213"/>
        <v>21</v>
      </c>
      <c r="G76" s="260">
        <f>H76/G8</f>
        <v>5.62988040257398</v>
      </c>
      <c r="H76" s="250">
        <f>3</f>
        <v>3</v>
      </c>
      <c r="I76" s="260"/>
      <c r="J76" s="250">
        <f t="shared" ref="J76" si="533">I76*I$8</f>
        <v>0</v>
      </c>
      <c r="K76" s="260">
        <f>L76/K8</f>
        <v>5.57203433116086</v>
      </c>
      <c r="L76" s="250">
        <v>18</v>
      </c>
      <c r="M76" s="260">
        <f>$AM$76/$C$8</f>
        <v>0</v>
      </c>
      <c r="N76" s="250">
        <f t="shared" si="527"/>
        <v>0</v>
      </c>
      <c r="O76" s="260">
        <f>$AM$76/$C$8</f>
        <v>0</v>
      </c>
      <c r="P76" s="250">
        <f t="shared" ref="P76:P78" si="534">O76*O$8</f>
        <v>0</v>
      </c>
      <c r="Q76" s="260">
        <f>$AM$76/$C$8</f>
        <v>0</v>
      </c>
      <c r="R76" s="250">
        <f t="shared" si="528"/>
        <v>0</v>
      </c>
      <c r="S76" s="260">
        <f>$AM$76/$C$8</f>
        <v>0</v>
      </c>
      <c r="T76" s="250">
        <f t="shared" ref="T76:T78" si="535">S76*S$8</f>
        <v>0</v>
      </c>
      <c r="U76" s="260">
        <f>$AM$76/$C$8</f>
        <v>0</v>
      </c>
      <c r="V76" s="250">
        <f t="shared" ref="V76" si="536">U76*U$8</f>
        <v>0</v>
      </c>
      <c r="W76" s="260">
        <f>$AM$76/$C$8</f>
        <v>0</v>
      </c>
      <c r="X76" s="250">
        <f t="shared" ref="X76" si="537">W76*W$8</f>
        <v>0</v>
      </c>
      <c r="Y76" s="260"/>
      <c r="Z76" s="250">
        <f t="shared" ref="Z76" si="538">Y76*Y$8</f>
        <v>0</v>
      </c>
      <c r="AA76" s="260">
        <f>$AM$76/$C$8</f>
        <v>0</v>
      </c>
      <c r="AB76" s="250">
        <f t="shared" ref="AB76" si="539">AA76*AA$8</f>
        <v>0</v>
      </c>
      <c r="AC76" s="250">
        <f t="shared" si="234"/>
        <v>0</v>
      </c>
      <c r="AD76" s="250">
        <f>AF76+AH76+AJ76</f>
        <v>0</v>
      </c>
      <c r="AE76" s="260">
        <f>$AM$76/$C$8</f>
        <v>0</v>
      </c>
      <c r="AF76" s="250">
        <f t="shared" ref="AF76" si="540">AE76*AE$8</f>
        <v>0</v>
      </c>
      <c r="AG76" s="260"/>
      <c r="AH76" s="250">
        <f t="shared" ref="AH76" si="541">AG76*AG$8</f>
        <v>0</v>
      </c>
      <c r="AI76" s="260"/>
      <c r="AJ76" s="250">
        <f t="shared" ref="AJ76" si="542">AI76*AI$8</f>
        <v>0</v>
      </c>
      <c r="AK76" s="295" t="s">
        <v>312</v>
      </c>
      <c r="AL76" s="292">
        <f t="shared" si="532"/>
        <v>21</v>
      </c>
      <c r="AM76" s="290"/>
      <c r="AN76" s="288"/>
      <c r="AO76" s="288"/>
      <c r="AP76" s="288"/>
      <c r="AQ76" s="288"/>
      <c r="AR76" s="288"/>
      <c r="AS76" s="288"/>
      <c r="AT76" s="288"/>
      <c r="AU76" s="288"/>
      <c r="AV76" s="288"/>
      <c r="AW76" s="288"/>
      <c r="AX76" s="288"/>
      <c r="AY76" s="288"/>
    </row>
    <row r="77" ht="36.95" customHeight="1" outlineLevel="2" spans="1:51">
      <c r="A77" s="266">
        <v>30103</v>
      </c>
      <c r="B77" s="304" t="s">
        <v>313</v>
      </c>
      <c r="C77" s="250">
        <f>D77/$C$8</f>
        <v>3.73365675761631</v>
      </c>
      <c r="D77" s="250">
        <f>F77+AD77</f>
        <v>50.0000000000001</v>
      </c>
      <c r="E77" s="250">
        <f t="shared" si="212"/>
        <v>3.73365675761631</v>
      </c>
      <c r="F77" s="250">
        <f t="shared" si="213"/>
        <v>35.3048833168792</v>
      </c>
      <c r="G77" s="260">
        <f>$AM$77/$C$8</f>
        <v>3.7336567576163</v>
      </c>
      <c r="H77" s="250">
        <f t="shared" si="214"/>
        <v>1.98955741008776</v>
      </c>
      <c r="I77" s="260">
        <f>$AM$77/$C$8</f>
        <v>3.7336567576163</v>
      </c>
      <c r="J77" s="250">
        <f t="shared" ref="J77" si="543">I77*I$8</f>
        <v>21.034794918075</v>
      </c>
      <c r="K77" s="260">
        <f>$AM$77/$C$8</f>
        <v>3.7336567576163</v>
      </c>
      <c r="L77" s="250">
        <f t="shared" ref="L77" si="544">K77*K$8</f>
        <v>12.0612719956254</v>
      </c>
      <c r="M77" s="260">
        <f>$AM$77/$C$8</f>
        <v>3.7336567576163</v>
      </c>
      <c r="N77" s="250">
        <f t="shared" si="527"/>
        <v>0</v>
      </c>
      <c r="O77" s="260">
        <f>$AM$77/$C$8</f>
        <v>3.7336567576163</v>
      </c>
      <c r="P77" s="250">
        <f t="shared" si="534"/>
        <v>0</v>
      </c>
      <c r="Q77" s="260">
        <f>$AM$77/$C$8</f>
        <v>3.7336567576163</v>
      </c>
      <c r="R77" s="250">
        <f t="shared" si="528"/>
        <v>0</v>
      </c>
      <c r="S77" s="260">
        <f>$AM$77/$C$8</f>
        <v>3.7336567576163</v>
      </c>
      <c r="T77" s="250">
        <f t="shared" si="535"/>
        <v>0</v>
      </c>
      <c r="U77" s="260">
        <f>$AM$77/$C$8</f>
        <v>3.7336567576163</v>
      </c>
      <c r="V77" s="250">
        <f t="shared" ref="V77" si="545">U77*U$8</f>
        <v>0</v>
      </c>
      <c r="W77" s="260">
        <f>$AM$77/$C$8</f>
        <v>3.7336567576163</v>
      </c>
      <c r="X77" s="250">
        <f t="shared" ref="X77" si="546">W77*W$8</f>
        <v>0</v>
      </c>
      <c r="Y77" s="260">
        <f>$AM$77/$C$8</f>
        <v>3.7336567576163</v>
      </c>
      <c r="Z77" s="250">
        <f t="shared" ref="Z77" si="547">Y77*Y$8</f>
        <v>0.219258993091017</v>
      </c>
      <c r="AA77" s="260">
        <f>$AM$77/$C$8</f>
        <v>3.7336567576163</v>
      </c>
      <c r="AB77" s="250">
        <f t="shared" ref="AB77" si="548">AA77*AA$8</f>
        <v>0</v>
      </c>
      <c r="AC77" s="250">
        <f t="shared" si="234"/>
        <v>3.73365675761631</v>
      </c>
      <c r="AD77" s="250">
        <f>AF77+AH77+AJ77</f>
        <v>14.6951166831209</v>
      </c>
      <c r="AE77" s="260">
        <f>$AM$77/$C$8</f>
        <v>3.7336567576163</v>
      </c>
      <c r="AF77" s="250">
        <f t="shared" ref="AF77" si="549">AE77*AE$8</f>
        <v>0</v>
      </c>
      <c r="AG77" s="260">
        <f>$AM$77/$C$8</f>
        <v>3.7336567576163</v>
      </c>
      <c r="AH77" s="250">
        <f t="shared" ref="AH77" si="550">AG77*AG$8</f>
        <v>2.45732486330896</v>
      </c>
      <c r="AI77" s="260">
        <f>$AM$77/$C$8</f>
        <v>3.7336567576163</v>
      </c>
      <c r="AJ77" s="250">
        <f t="shared" ref="AJ77" si="551">AI77*AI$8</f>
        <v>12.2377918198119</v>
      </c>
      <c r="AK77" s="295" t="s">
        <v>314</v>
      </c>
      <c r="AL77" s="292">
        <f t="shared" si="532"/>
        <v>50</v>
      </c>
      <c r="AM77" s="290">
        <v>50</v>
      </c>
      <c r="AN77" s="288"/>
      <c r="AO77" s="288"/>
      <c r="AP77" s="288"/>
      <c r="AQ77" s="288"/>
      <c r="AR77" s="288"/>
      <c r="AS77" s="288"/>
      <c r="AT77" s="288"/>
      <c r="AU77" s="288"/>
      <c r="AV77" s="288"/>
      <c r="AW77" s="288"/>
      <c r="AX77" s="288"/>
      <c r="AY77" s="288"/>
    </row>
    <row r="78" ht="39" customHeight="1" outlineLevel="2" spans="1:51">
      <c r="A78" s="308" t="s">
        <v>315</v>
      </c>
      <c r="B78" s="304" t="s">
        <v>316</v>
      </c>
      <c r="C78" s="250">
        <f t="shared" ref="C78:C83" si="552">D78/$C$8</f>
        <v>97.1892292664627</v>
      </c>
      <c r="D78" s="250">
        <f>F78+AD78</f>
        <v>1301.52871</v>
      </c>
      <c r="E78" s="250">
        <f t="shared" si="212"/>
        <v>97.1892292664627</v>
      </c>
      <c r="F78" s="250">
        <f t="shared" si="213"/>
        <v>919.006384802364</v>
      </c>
      <c r="G78" s="260">
        <f>$AM$78/$C$8</f>
        <v>97.1892292664626</v>
      </c>
      <c r="H78" s="250">
        <f t="shared" si="214"/>
        <v>51.7893217884492</v>
      </c>
      <c r="I78" s="260">
        <f>$AM$78/$C$8</f>
        <v>97.1892292664626</v>
      </c>
      <c r="J78" s="250">
        <f t="shared" ref="J78" si="553">I78*I$8</f>
        <v>547.547789896734</v>
      </c>
      <c r="K78" s="260">
        <f>$AM$78/$C$8</f>
        <v>97.1892292664626</v>
      </c>
      <c r="L78" s="250">
        <f t="shared" ref="L78" si="554">K78*K$8</f>
        <v>313.961835628508</v>
      </c>
      <c r="M78" s="260">
        <f>$AM$78/$C$8</f>
        <v>97.1892292664626</v>
      </c>
      <c r="N78" s="250">
        <f t="shared" si="527"/>
        <v>0</v>
      </c>
      <c r="O78" s="260">
        <f>$AM$78/$C$8</f>
        <v>97.1892292664626</v>
      </c>
      <c r="P78" s="250">
        <f t="shared" si="534"/>
        <v>0</v>
      </c>
      <c r="Q78" s="260">
        <f>$AM$78/$C$8</f>
        <v>97.1892292664626</v>
      </c>
      <c r="R78" s="250">
        <f t="shared" si="528"/>
        <v>0</v>
      </c>
      <c r="S78" s="260">
        <f>$AM$78/$C$8</f>
        <v>97.1892292664626</v>
      </c>
      <c r="T78" s="250">
        <f t="shared" si="535"/>
        <v>0</v>
      </c>
      <c r="U78" s="260">
        <f>$AM$78/$C$8</f>
        <v>97.1892292664626</v>
      </c>
      <c r="V78" s="250">
        <f t="shared" ref="V78" si="555">U78*U$8</f>
        <v>0</v>
      </c>
      <c r="W78" s="260">
        <f>$AM$78/$C$8</f>
        <v>97.1892292664626</v>
      </c>
      <c r="X78" s="250">
        <f t="shared" ref="X78" si="556">W78*W$8</f>
        <v>0</v>
      </c>
      <c r="Y78" s="260">
        <f>$AM$78/$C$8</f>
        <v>97.1892292664626</v>
      </c>
      <c r="Z78" s="250">
        <f t="shared" ref="Z78" si="557">Y78*Y$8</f>
        <v>5.70743748867302</v>
      </c>
      <c r="AA78" s="260">
        <f>$AM$78/$C$8</f>
        <v>97.1892292664626</v>
      </c>
      <c r="AB78" s="250">
        <f t="shared" ref="AB78" si="558">AA78*AA$8</f>
        <v>0</v>
      </c>
      <c r="AC78" s="250">
        <f t="shared" si="234"/>
        <v>97.1892292664627</v>
      </c>
      <c r="AD78" s="250">
        <f>AF78+AH78+AJ78</f>
        <v>382.522325197637</v>
      </c>
      <c r="AE78" s="260">
        <f>$AM$78/$C$8</f>
        <v>97.1892292664626</v>
      </c>
      <c r="AF78" s="250">
        <f t="shared" ref="AF78" si="559">AE78*AE$8</f>
        <v>0</v>
      </c>
      <c r="AG78" s="260">
        <f>$AM$78/$C$8</f>
        <v>97.1892292664626</v>
      </c>
      <c r="AH78" s="250">
        <f t="shared" ref="AH78" si="560">AG78*AG$8</f>
        <v>63.9655771878687</v>
      </c>
      <c r="AI78" s="260">
        <f>$AM$78/$C$8</f>
        <v>97.1892292664626</v>
      </c>
      <c r="AJ78" s="250">
        <f t="shared" ref="AJ78" si="561">AI78*AI$8</f>
        <v>318.556748009768</v>
      </c>
      <c r="AK78" s="295" t="s">
        <v>317</v>
      </c>
      <c r="AL78" s="292">
        <f t="shared" si="532"/>
        <v>1301.52871</v>
      </c>
      <c r="AM78" s="290">
        <f>经济指标!E20*7*30/10000+1000*7*250/10000+100+200</f>
        <v>1301.52871</v>
      </c>
      <c r="AN78" s="288"/>
      <c r="AO78" s="288"/>
      <c r="AP78" s="288"/>
      <c r="AQ78" s="288"/>
      <c r="AR78" s="288"/>
      <c r="AS78" s="288"/>
      <c r="AT78" s="288"/>
      <c r="AU78" s="288"/>
      <c r="AV78" s="288"/>
      <c r="AW78" s="288"/>
      <c r="AX78" s="288"/>
      <c r="AY78" s="288"/>
    </row>
    <row r="79" customHeight="1" outlineLevel="1" spans="1:51">
      <c r="A79" s="255" t="s">
        <v>318</v>
      </c>
      <c r="B79" s="255" t="s">
        <v>319</v>
      </c>
      <c r="C79" s="309">
        <f>D79/C8</f>
        <v>2406.32177116911</v>
      </c>
      <c r="D79" s="309">
        <f>D80+D81+D82+D88+D89+D90+D91+D92+D93+D94+D95+D96+D97+D98+D99+D100+D101+D102</f>
        <v>32224.732044</v>
      </c>
      <c r="E79" s="309">
        <f>F79/E8</f>
        <v>2252.93264623811</v>
      </c>
      <c r="F79" s="309">
        <f>F80+F81+F82+F88+F89+F90+F91+F92+F93+F94+F95+F96+F97+F98+F99+F100+F101+F102</f>
        <v>21303.3841512</v>
      </c>
      <c r="G79" s="309">
        <f>H79/G8</f>
        <v>2135.0886034331</v>
      </c>
      <c r="H79" s="309">
        <f>H80+H81+H82+H88+H89+H90+H91+H92+H93+H94+H95+H96+H97+H98+H99+H100+H101+H102</f>
        <v>1137.7267992</v>
      </c>
      <c r="I79" s="309">
        <f>J79/I8</f>
        <v>2086.20473851545</v>
      </c>
      <c r="J79" s="309">
        <f t="shared" ref="H79:J79" si="562">J80+J81+J82+J88+J89+J90+J91+J92+J93+J94+J95+J96+J97+J98+J99+J100+J101+J102</f>
        <v>11753.3270144</v>
      </c>
      <c r="K79" s="309">
        <f>L79/K8</f>
        <v>2567.50215222922</v>
      </c>
      <c r="L79" s="309">
        <f>L80+L81+L82+L88+L89+L90+L91+L92+L93+L94+L95+L96+L97+L98+L99+L100+L101+L102</f>
        <v>8294.1051676</v>
      </c>
      <c r="M79" s="309"/>
      <c r="N79" s="309">
        <f>N80+N81+N82+N88+N89+N90+N91+N92+N93+N94+N95+N96+N97+N98+N99+N100+N101+N102</f>
        <v>0</v>
      </c>
      <c r="O79" s="309"/>
      <c r="P79" s="309">
        <f>P80+P81+P82+P88+P89+P90+P91+P92+P93+P94+P95+P96+P97+P98+P99+P100+P101+P102</f>
        <v>0</v>
      </c>
      <c r="Q79" s="309"/>
      <c r="R79" s="309">
        <f>R80+R81+R82+R88+R89+R90+R91+R92+R93+R94+R95+R96+R97+R98+R99+R100+R101+R102</f>
        <v>0</v>
      </c>
      <c r="S79" s="309"/>
      <c r="T79" s="309">
        <f>T80+T81+T82+T88+T89+T90+T91+T92+T93+T94+T95+T96+T97+T98+T99+T100+T101+T102</f>
        <v>0</v>
      </c>
      <c r="U79" s="309"/>
      <c r="V79" s="309">
        <f>V80+V81+V82+V88+V89+V90+V91+V92+V93+V94+V95+V96+V97+V98+V99+V100+V101+V102</f>
        <v>0</v>
      </c>
      <c r="W79" s="309"/>
      <c r="X79" s="309">
        <f>X80+X81+X82+X88+X89+X90+X91+X92+X93+X94+X95+X96+X97+X98+X99+X100+X101+X102</f>
        <v>0</v>
      </c>
      <c r="Y79" s="309">
        <f>Z79/Y8</f>
        <v>2013.2</v>
      </c>
      <c r="Z79" s="309">
        <f>Z80+Z81+Z82+Z88+Z89+Z90+Z91+Z92+Z93+Z94+Z95+Z96+Z97+Z98+Z99+Z100+Z101+Z102</f>
        <v>118.22517</v>
      </c>
      <c r="AA79" s="309">
        <f>AA80+AA81+AA82+AA88+AA89+AA90+AA91+AA92+AA93+AA94+AA95+AA96+AA97+AA98+AA99+AA100+AA101+AA102</f>
        <v>1974.2</v>
      </c>
      <c r="AB79" s="309">
        <f>AB80+AB81+AB82+AB88+AB89+AB90+AB91+AB92+AB93+AB94+AB95+AB96+AB97+AB98+AB99+AB100+AB101+AB102</f>
        <v>0</v>
      </c>
      <c r="AC79" s="309">
        <f>AD79/AC8</f>
        <v>2774.83773974167</v>
      </c>
      <c r="AD79" s="309">
        <f>AH79+AJ79</f>
        <v>10921.3478928</v>
      </c>
      <c r="AE79" s="309" t="e">
        <f>#REF!+AE96+AE97+AE98</f>
        <v>#REF!</v>
      </c>
      <c r="AF79" s="309" t="e">
        <f>#REF!+AF96+AF97+AF98</f>
        <v>#REF!</v>
      </c>
      <c r="AG79" s="309">
        <f>AH79/AG8</f>
        <v>3332.8</v>
      </c>
      <c r="AH79" s="309">
        <f>AH80+AH81+AH82+AH88+AH89+AH90+AH91+AH92+AH93+AH94+AH95+AH96+AH97+AH98+AH99+AH100+AH101+AH102</f>
        <v>2193.498984</v>
      </c>
      <c r="AI79" s="309">
        <f>AJ79/AI8</f>
        <v>2662.8</v>
      </c>
      <c r="AJ79" s="309">
        <f>AJ80+AJ81+AJ82+AJ88+AJ89+AJ90+AJ91+AJ92+AJ93+AJ94+AJ95+AJ96+AJ97+AJ98+AJ99+AJ100+AJ101+AJ102</f>
        <v>8727.8489088</v>
      </c>
      <c r="AK79" s="295"/>
      <c r="AL79" s="292">
        <f t="shared" si="532"/>
        <v>32224.732044</v>
      </c>
      <c r="AM79" s="290"/>
      <c r="AN79" s="288"/>
      <c r="AO79" s="288"/>
      <c r="AP79" s="288"/>
      <c r="AQ79" s="288"/>
      <c r="AR79" s="288"/>
      <c r="AS79" s="288"/>
      <c r="AT79" s="288"/>
      <c r="AU79" s="288"/>
      <c r="AV79" s="288"/>
      <c r="AW79" s="288"/>
      <c r="AX79" s="288"/>
      <c r="AY79" s="288"/>
    </row>
    <row r="80" customHeight="1" outlineLevel="2" spans="1:51">
      <c r="A80" s="310" t="s">
        <v>320</v>
      </c>
      <c r="B80" s="310" t="s">
        <v>321</v>
      </c>
      <c r="C80" s="250">
        <f t="shared" si="552"/>
        <v>1884.39773540276</v>
      </c>
      <c r="D80" s="250">
        <f t="shared" ref="D80:D86" si="563">F80+AD80</f>
        <v>25235.2835</v>
      </c>
      <c r="E80" s="250">
        <f t="shared" ref="E80:E81" si="564">F80/$E$8</f>
        <v>1666.23688668365</v>
      </c>
      <c r="F80" s="250">
        <f t="shared" ref="F80:F81" si="565">H80+J80+L80+N80+P80+R80+T80+V80+X80+Z80+AB80</f>
        <v>15755.6794</v>
      </c>
      <c r="G80" s="311">
        <v>1550</v>
      </c>
      <c r="H80" s="250">
        <f>G80*G$8</f>
        <v>825.95005</v>
      </c>
      <c r="I80" s="311">
        <v>1510</v>
      </c>
      <c r="J80" s="250">
        <f t="shared" ref="J80:J81" si="566">I80*I$8</f>
        <v>8507.08632</v>
      </c>
      <c r="K80" s="260">
        <f>I80+450</f>
        <v>1960</v>
      </c>
      <c r="L80" s="250">
        <f t="shared" ref="L80" si="567">K80*K$8</f>
        <v>6331.61928</v>
      </c>
      <c r="M80" s="260"/>
      <c r="N80" s="250">
        <f t="shared" ref="N80:N86" si="568">M80*M$8</f>
        <v>0</v>
      </c>
      <c r="O80" s="317">
        <f>1000+250+90+200</f>
        <v>1540</v>
      </c>
      <c r="P80" s="250">
        <f t="shared" ref="P80:P86" si="569">O80*O$8</f>
        <v>0</v>
      </c>
      <c r="Q80" s="311"/>
      <c r="R80" s="250">
        <f t="shared" ref="R80:R86" si="570">Q80*Q$8</f>
        <v>0</v>
      </c>
      <c r="S80" s="318">
        <v>1550</v>
      </c>
      <c r="T80" s="250">
        <f t="shared" ref="T80:T86" si="571">S80*S$8</f>
        <v>0</v>
      </c>
      <c r="U80" s="311">
        <f t="shared" ref="U80:Y80" si="572">1200+200+150</f>
        <v>1550</v>
      </c>
      <c r="V80" s="250">
        <f t="shared" ref="V80" si="573">U80*U$8</f>
        <v>0</v>
      </c>
      <c r="W80" s="311">
        <f t="shared" si="572"/>
        <v>1550</v>
      </c>
      <c r="X80" s="250">
        <f t="shared" ref="X80" si="574">W80*W$8</f>
        <v>0</v>
      </c>
      <c r="Y80" s="311">
        <f t="shared" si="572"/>
        <v>1550</v>
      </c>
      <c r="Z80" s="250">
        <f t="shared" ref="Z80" si="575">Y80*Y$8</f>
        <v>91.02375</v>
      </c>
      <c r="AA80" s="262">
        <v>1500</v>
      </c>
      <c r="AB80" s="250">
        <f t="shared" ref="AB80" si="576">AA80*AA$8</f>
        <v>0</v>
      </c>
      <c r="AC80" s="250">
        <f>AD80/AC$8</f>
        <v>2408.52717747699</v>
      </c>
      <c r="AD80" s="250">
        <f>AF80+AH80+AJ80</f>
        <v>9479.6041</v>
      </c>
      <c r="AE80" s="260">
        <v>3900</v>
      </c>
      <c r="AF80" s="250">
        <f t="shared" ref="AF80" si="577">AE80*AE$8</f>
        <v>0</v>
      </c>
      <c r="AG80" s="262">
        <v>2700</v>
      </c>
      <c r="AH80" s="250">
        <f t="shared" ref="AH80" si="578">AG80*AG$8</f>
        <v>1777.0185</v>
      </c>
      <c r="AI80" s="262">
        <v>2350</v>
      </c>
      <c r="AJ80" s="250">
        <f t="shared" ref="AJ80" si="579">AI80*AI$8</f>
        <v>7702.5856</v>
      </c>
      <c r="AK80" s="324" t="s">
        <v>322</v>
      </c>
      <c r="AL80" s="292">
        <f t="shared" si="532"/>
        <v>25235.2835</v>
      </c>
      <c r="AM80" s="290"/>
      <c r="AN80" s="288"/>
      <c r="AO80" s="288"/>
      <c r="AP80" s="288"/>
      <c r="AQ80" s="288"/>
      <c r="AR80" s="288"/>
      <c r="AS80" s="288"/>
      <c r="AT80" s="288"/>
      <c r="AU80" s="288"/>
      <c r="AV80" s="288"/>
      <c r="AW80" s="288"/>
      <c r="AX80" s="288"/>
      <c r="AY80" s="288"/>
    </row>
    <row r="81" customHeight="1" outlineLevel="2" spans="1:51">
      <c r="A81" s="310" t="s">
        <v>323</v>
      </c>
      <c r="B81" s="310" t="s">
        <v>324</v>
      </c>
      <c r="C81" s="250">
        <f t="shared" si="552"/>
        <v>169.612669327868</v>
      </c>
      <c r="D81" s="250">
        <f t="shared" si="563"/>
        <v>2271.401475</v>
      </c>
      <c r="E81" s="250">
        <f t="shared" si="564"/>
        <v>167.363359661314</v>
      </c>
      <c r="F81" s="250">
        <f t="shared" si="565"/>
        <v>1582.562155</v>
      </c>
      <c r="G81" s="311">
        <v>155</v>
      </c>
      <c r="H81" s="250">
        <f>G81*G$8</f>
        <v>82.595005</v>
      </c>
      <c r="I81" s="311">
        <v>150</v>
      </c>
      <c r="J81" s="250">
        <f t="shared" si="566"/>
        <v>845.0748</v>
      </c>
      <c r="K81" s="260">
        <f>I81+50</f>
        <v>200</v>
      </c>
      <c r="L81" s="250">
        <f t="shared" ref="L81" si="580">K81*K$8</f>
        <v>646.0836</v>
      </c>
      <c r="M81" s="260"/>
      <c r="N81" s="250">
        <f t="shared" si="568"/>
        <v>0</v>
      </c>
      <c r="O81" s="317">
        <v>100</v>
      </c>
      <c r="P81" s="250">
        <f t="shared" si="569"/>
        <v>0</v>
      </c>
      <c r="Q81" s="311"/>
      <c r="R81" s="250">
        <f t="shared" si="570"/>
        <v>0</v>
      </c>
      <c r="S81" s="318">
        <v>155</v>
      </c>
      <c r="T81" s="250">
        <f t="shared" si="571"/>
        <v>0</v>
      </c>
      <c r="U81" s="311">
        <f>150</f>
        <v>150</v>
      </c>
      <c r="V81" s="250">
        <f t="shared" ref="V81" si="581">U81*U$8</f>
        <v>0</v>
      </c>
      <c r="W81" s="311">
        <v>150</v>
      </c>
      <c r="X81" s="250">
        <f t="shared" ref="X81" si="582">W81*W$8</f>
        <v>0</v>
      </c>
      <c r="Y81" s="311">
        <f>150</f>
        <v>150</v>
      </c>
      <c r="Z81" s="250">
        <f t="shared" ref="Z81" si="583">Y81*Y$8</f>
        <v>8.80875</v>
      </c>
      <c r="AA81" s="262">
        <v>150</v>
      </c>
      <c r="AB81" s="250">
        <f t="shared" ref="AB81" si="584">AA81*AA$8</f>
        <v>0</v>
      </c>
      <c r="AC81" s="250">
        <f>AD81/AC$8</f>
        <v>175.016615212314</v>
      </c>
      <c r="AD81" s="250">
        <f>AF81+AH81+AJ81</f>
        <v>688.83932</v>
      </c>
      <c r="AE81" s="260">
        <v>170</v>
      </c>
      <c r="AF81" s="250">
        <f t="shared" ref="AF81" si="585">AE81*AE$8</f>
        <v>0</v>
      </c>
      <c r="AG81" s="262">
        <v>200</v>
      </c>
      <c r="AH81" s="250">
        <f t="shared" ref="AH81" si="586">AG81*AG$8</f>
        <v>131.631</v>
      </c>
      <c r="AI81" s="262">
        <v>170</v>
      </c>
      <c r="AJ81" s="250">
        <f t="shared" ref="AJ81" si="587">AI81*AI$8</f>
        <v>557.20832</v>
      </c>
      <c r="AK81" s="324"/>
      <c r="AL81" s="292">
        <f t="shared" si="532"/>
        <v>2271.401475</v>
      </c>
      <c r="AM81" s="290"/>
      <c r="AN81" s="288"/>
      <c r="AO81" s="288"/>
      <c r="AP81" s="288"/>
      <c r="AQ81" s="288"/>
      <c r="AR81" s="288"/>
      <c r="AS81" s="288"/>
      <c r="AT81" s="288"/>
      <c r="AU81" s="288"/>
      <c r="AV81" s="288"/>
      <c r="AW81" s="288"/>
      <c r="AX81" s="288"/>
      <c r="AY81" s="288"/>
    </row>
    <row r="82" ht="14.25" outlineLevel="2" spans="1:51">
      <c r="A82" s="310" t="s">
        <v>325</v>
      </c>
      <c r="B82" s="310" t="s">
        <v>326</v>
      </c>
      <c r="C82" s="250">
        <f>D82/C8</f>
        <v>18.9246796727853</v>
      </c>
      <c r="D82" s="250">
        <f>SUM(D83:D87)</f>
        <v>253.433576</v>
      </c>
      <c r="E82" s="250">
        <f>F82/E8</f>
        <v>23.4719101812783</v>
      </c>
      <c r="F82" s="250">
        <f>SUM(F83:F87)</f>
        <v>221.946768</v>
      </c>
      <c r="G82" s="311">
        <f>H82/G8</f>
        <v>26.3909426484083</v>
      </c>
      <c r="H82" s="250">
        <f>SUM(H83:H87)</f>
        <v>14.062968</v>
      </c>
      <c r="I82" s="311">
        <f>J82/I8</f>
        <v>24.1524163304834</v>
      </c>
      <c r="J82" s="250">
        <f>SUM(J83:J87)</f>
        <v>136.070656</v>
      </c>
      <c r="K82" s="311">
        <f>L82/K8</f>
        <v>22.0848645593233</v>
      </c>
      <c r="L82" s="250">
        <f>SUM(L83:L87)</f>
        <v>71.343344</v>
      </c>
      <c r="M82" s="311"/>
      <c r="N82" s="250">
        <f>SUM(N83:N87)</f>
        <v>0</v>
      </c>
      <c r="O82" s="311"/>
      <c r="P82" s="250">
        <f>SUM(P83:P87)</f>
        <v>0</v>
      </c>
      <c r="Q82" s="311"/>
      <c r="R82" s="250">
        <f>SUM(R83:R87)</f>
        <v>0</v>
      </c>
      <c r="S82" s="311"/>
      <c r="T82" s="250">
        <f>SUM(T83:T87)</f>
        <v>0</v>
      </c>
      <c r="U82" s="311"/>
      <c r="V82" s="250">
        <f>SUM(V83:V87)</f>
        <v>0</v>
      </c>
      <c r="W82" s="311"/>
      <c r="X82" s="250">
        <f>SUM(X83:X87)</f>
        <v>0</v>
      </c>
      <c r="Y82" s="311">
        <f>Z82/Y8</f>
        <v>8</v>
      </c>
      <c r="Z82" s="250">
        <f>SUM(Z83:Z87)</f>
        <v>0.4698</v>
      </c>
      <c r="AA82" s="262"/>
      <c r="AB82" s="250"/>
      <c r="AC82" s="319">
        <f>AD82/AC8</f>
        <v>8.00000000000001</v>
      </c>
      <c r="AD82" s="250">
        <f>SUM(AD83:AD87)</f>
        <v>31.486808</v>
      </c>
      <c r="AE82" s="311" t="e">
        <f>AF82/AE8</f>
        <v>#DIV/0!</v>
      </c>
      <c r="AF82" s="250">
        <f>SUM(AF83:AF87)</f>
        <v>0</v>
      </c>
      <c r="AG82" s="311">
        <f>AH82/AG8</f>
        <v>8</v>
      </c>
      <c r="AH82" s="250">
        <f>SUM(AH83:AH87)</f>
        <v>5.26524</v>
      </c>
      <c r="AI82" s="311">
        <f>AJ82/AI8</f>
        <v>8</v>
      </c>
      <c r="AJ82" s="250">
        <f>SUM(AJ83:AJ87)</f>
        <v>26.221568</v>
      </c>
      <c r="AK82" s="324"/>
      <c r="AL82" s="292">
        <f t="shared" si="532"/>
        <v>253.433576</v>
      </c>
      <c r="AM82" s="290"/>
      <c r="AN82" s="288"/>
      <c r="AO82" s="288"/>
      <c r="AP82" s="288"/>
      <c r="AQ82" s="288"/>
      <c r="AR82" s="288"/>
      <c r="AS82" s="288"/>
      <c r="AT82" s="288"/>
      <c r="AU82" s="288"/>
      <c r="AV82" s="288"/>
      <c r="AW82" s="288"/>
      <c r="AX82" s="288"/>
      <c r="AY82" s="288"/>
    </row>
    <row r="83" customHeight="1" outlineLevel="3" spans="1:51">
      <c r="A83" s="310" t="s">
        <v>327</v>
      </c>
      <c r="B83" s="310" t="s">
        <v>328</v>
      </c>
      <c r="C83" s="250">
        <f t="shared" si="552"/>
        <v>10.9246796727853</v>
      </c>
      <c r="D83" s="250">
        <f>F83+AD83</f>
        <v>146.3</v>
      </c>
      <c r="E83" s="250">
        <f>F83/$E$8</f>
        <v>15.4719101812783</v>
      </c>
      <c r="F83" s="250">
        <f>H83+J83+L83+N83+P83+R83+T83+V83+X83+Z83+AB83</f>
        <v>146.3</v>
      </c>
      <c r="G83" s="311">
        <f>H83/G8</f>
        <v>18.3909426484083</v>
      </c>
      <c r="H83" s="250">
        <f>70*14*经济指标!E26*50/10000</f>
        <v>9.8</v>
      </c>
      <c r="I83" s="311">
        <f>J83/I8</f>
        <v>16.1524163304834</v>
      </c>
      <c r="J83" s="250">
        <f>70*10*经济指标!E28*50/10000</f>
        <v>91</v>
      </c>
      <c r="K83" s="260">
        <f>L83/K8</f>
        <v>14.0848645593233</v>
      </c>
      <c r="L83" s="250">
        <f>13*70*50*经济指标!E29/10000</f>
        <v>45.5</v>
      </c>
      <c r="M83" s="260"/>
      <c r="N83" s="250"/>
      <c r="O83" s="317"/>
      <c r="P83" s="250"/>
      <c r="Q83" s="311"/>
      <c r="R83" s="250"/>
      <c r="S83" s="318"/>
      <c r="T83" s="250"/>
      <c r="U83" s="311"/>
      <c r="V83" s="250"/>
      <c r="W83" s="311"/>
      <c r="X83" s="250"/>
      <c r="Y83" s="311"/>
      <c r="Z83" s="250"/>
      <c r="AA83" s="262"/>
      <c r="AB83" s="250"/>
      <c r="AC83" s="250"/>
      <c r="AD83" s="250"/>
      <c r="AE83" s="260"/>
      <c r="AF83" s="250"/>
      <c r="AG83" s="262"/>
      <c r="AH83" s="250"/>
      <c r="AI83" s="262"/>
      <c r="AJ83" s="250"/>
      <c r="AK83" s="324" t="s">
        <v>329</v>
      </c>
      <c r="AL83" s="292">
        <f t="shared" si="532"/>
        <v>146.3</v>
      </c>
      <c r="AM83" s="290"/>
      <c r="AN83" s="288"/>
      <c r="AO83" s="288"/>
      <c r="AP83" s="288"/>
      <c r="AQ83" s="288"/>
      <c r="AR83" s="288"/>
      <c r="AS83" s="288"/>
      <c r="AT83" s="288"/>
      <c r="AU83" s="288"/>
      <c r="AV83" s="288"/>
      <c r="AW83" s="288"/>
      <c r="AX83" s="288"/>
      <c r="AY83" s="288"/>
    </row>
    <row r="84" ht="23" customHeight="1" outlineLevel="3" spans="1:51">
      <c r="A84" s="310" t="s">
        <v>330</v>
      </c>
      <c r="B84" s="310" t="s">
        <v>331</v>
      </c>
      <c r="C84" s="250"/>
      <c r="D84" s="250"/>
      <c r="E84" s="250"/>
      <c r="F84" s="250"/>
      <c r="G84" s="311"/>
      <c r="H84" s="250"/>
      <c r="I84" s="318"/>
      <c r="J84" s="250"/>
      <c r="K84" s="260"/>
      <c r="L84" s="250"/>
      <c r="M84" s="260"/>
      <c r="N84" s="250"/>
      <c r="O84" s="317"/>
      <c r="P84" s="250"/>
      <c r="Q84" s="311"/>
      <c r="R84" s="250"/>
      <c r="S84" s="318"/>
      <c r="T84" s="250"/>
      <c r="U84" s="311"/>
      <c r="V84" s="250"/>
      <c r="W84" s="311"/>
      <c r="X84" s="250"/>
      <c r="Y84" s="311"/>
      <c r="Z84" s="250"/>
      <c r="AA84" s="262"/>
      <c r="AB84" s="250"/>
      <c r="AC84" s="250"/>
      <c r="AD84" s="250"/>
      <c r="AE84" s="260"/>
      <c r="AF84" s="250"/>
      <c r="AG84" s="262"/>
      <c r="AH84" s="250"/>
      <c r="AI84" s="262"/>
      <c r="AJ84" s="250"/>
      <c r="AK84" s="324" t="s">
        <v>332</v>
      </c>
      <c r="AL84" s="292">
        <f t="shared" si="532"/>
        <v>0</v>
      </c>
      <c r="AM84" s="290"/>
      <c r="AN84" s="288"/>
      <c r="AO84" s="288"/>
      <c r="AP84" s="288"/>
      <c r="AQ84" s="288"/>
      <c r="AR84" s="288"/>
      <c r="AS84" s="288"/>
      <c r="AT84" s="288"/>
      <c r="AU84" s="288"/>
      <c r="AV84" s="288"/>
      <c r="AW84" s="288"/>
      <c r="AX84" s="288"/>
      <c r="AY84" s="288"/>
    </row>
    <row r="85" customHeight="1" outlineLevel="3" spans="1:51">
      <c r="A85" s="310" t="s">
        <v>333</v>
      </c>
      <c r="B85" s="310" t="s">
        <v>334</v>
      </c>
      <c r="C85" s="250">
        <f>D85/$C$8</f>
        <v>5</v>
      </c>
      <c r="D85" s="250">
        <f t="shared" si="563"/>
        <v>66.958485</v>
      </c>
      <c r="E85" s="250">
        <f>F85/$E$8</f>
        <v>5</v>
      </c>
      <c r="F85" s="250">
        <f>H85+J85+L85+N85+P85+R85+T85+V85+X85+Z85+AB85</f>
        <v>47.27923</v>
      </c>
      <c r="G85" s="260">
        <v>5</v>
      </c>
      <c r="H85" s="250">
        <f t="shared" ref="H85:L85" si="588">G85*G$8</f>
        <v>2.664355</v>
      </c>
      <c r="I85" s="260">
        <v>5</v>
      </c>
      <c r="J85" s="250">
        <f t="shared" si="588"/>
        <v>28.16916</v>
      </c>
      <c r="K85" s="260">
        <v>5</v>
      </c>
      <c r="L85" s="250">
        <f t="shared" si="588"/>
        <v>16.15209</v>
      </c>
      <c r="M85" s="260">
        <v>5</v>
      </c>
      <c r="N85" s="250">
        <f t="shared" si="568"/>
        <v>0</v>
      </c>
      <c r="O85" s="260">
        <v>5</v>
      </c>
      <c r="P85" s="250">
        <f t="shared" si="569"/>
        <v>0</v>
      </c>
      <c r="Q85" s="260">
        <v>5</v>
      </c>
      <c r="R85" s="250">
        <f t="shared" si="570"/>
        <v>0</v>
      </c>
      <c r="S85" s="260">
        <v>5</v>
      </c>
      <c r="T85" s="250">
        <f t="shared" si="571"/>
        <v>0</v>
      </c>
      <c r="U85" s="260">
        <v>5</v>
      </c>
      <c r="V85" s="250">
        <f t="shared" ref="V85:Z85" si="589">U85*U$8</f>
        <v>0</v>
      </c>
      <c r="W85" s="260">
        <v>5</v>
      </c>
      <c r="X85" s="250">
        <f t="shared" si="589"/>
        <v>0</v>
      </c>
      <c r="Y85" s="260">
        <v>5</v>
      </c>
      <c r="Z85" s="250">
        <f t="shared" si="589"/>
        <v>0.293625</v>
      </c>
      <c r="AA85" s="260">
        <v>5</v>
      </c>
      <c r="AB85" s="250">
        <f>AA85*AA$8</f>
        <v>0</v>
      </c>
      <c r="AC85" s="250">
        <f>AD85/AC$8</f>
        <v>5</v>
      </c>
      <c r="AD85" s="250">
        <f>AF85+AH85+AJ85</f>
        <v>19.679255</v>
      </c>
      <c r="AE85" s="260">
        <v>5</v>
      </c>
      <c r="AF85" s="250">
        <f t="shared" ref="AF85:AJ85" si="590">AE85*AE$8</f>
        <v>0</v>
      </c>
      <c r="AG85" s="260">
        <v>5</v>
      </c>
      <c r="AH85" s="250">
        <f t="shared" si="590"/>
        <v>3.290775</v>
      </c>
      <c r="AI85" s="260">
        <v>5</v>
      </c>
      <c r="AJ85" s="250">
        <f t="shared" si="590"/>
        <v>16.38848</v>
      </c>
      <c r="AK85" s="295"/>
      <c r="AL85" s="292">
        <f t="shared" si="532"/>
        <v>66.958485</v>
      </c>
      <c r="AM85" s="290"/>
      <c r="AN85" s="288"/>
      <c r="AO85" s="288"/>
      <c r="AP85" s="288"/>
      <c r="AQ85" s="288"/>
      <c r="AR85" s="288"/>
      <c r="AS85" s="288"/>
      <c r="AT85" s="288"/>
      <c r="AU85" s="288"/>
      <c r="AV85" s="288"/>
      <c r="AW85" s="288"/>
      <c r="AX85" s="288"/>
      <c r="AY85" s="288"/>
    </row>
    <row r="86" customHeight="1" outlineLevel="3" spans="1:51">
      <c r="A86" s="310" t="s">
        <v>335</v>
      </c>
      <c r="B86" s="310" t="s">
        <v>336</v>
      </c>
      <c r="C86" s="250">
        <f>D86/$C$8</f>
        <v>3</v>
      </c>
      <c r="D86" s="250">
        <f t="shared" si="563"/>
        <v>40.175091</v>
      </c>
      <c r="E86" s="250">
        <f>F86/$E$8</f>
        <v>3</v>
      </c>
      <c r="F86" s="250">
        <f>H86+J86+L86+N86+P86+R86+T86+V86+X86+Z86+AB86</f>
        <v>28.367538</v>
      </c>
      <c r="G86" s="260">
        <v>3</v>
      </c>
      <c r="H86" s="250">
        <f t="shared" ref="H86:L86" si="591">G86*G$8</f>
        <v>1.598613</v>
      </c>
      <c r="I86" s="260">
        <v>3</v>
      </c>
      <c r="J86" s="250">
        <f t="shared" si="591"/>
        <v>16.901496</v>
      </c>
      <c r="K86" s="260">
        <v>3</v>
      </c>
      <c r="L86" s="250">
        <f t="shared" si="591"/>
        <v>9.691254</v>
      </c>
      <c r="M86" s="260">
        <v>3</v>
      </c>
      <c r="N86" s="250">
        <f t="shared" si="568"/>
        <v>0</v>
      </c>
      <c r="O86" s="260">
        <v>3</v>
      </c>
      <c r="P86" s="250">
        <f t="shared" si="569"/>
        <v>0</v>
      </c>
      <c r="Q86" s="260">
        <v>3</v>
      </c>
      <c r="R86" s="250">
        <f t="shared" si="570"/>
        <v>0</v>
      </c>
      <c r="S86" s="260">
        <v>3</v>
      </c>
      <c r="T86" s="250">
        <f t="shared" si="571"/>
        <v>0</v>
      </c>
      <c r="U86" s="260">
        <v>3</v>
      </c>
      <c r="V86" s="250">
        <f t="shared" ref="V86:X86" si="592">U86*U$8</f>
        <v>0</v>
      </c>
      <c r="W86" s="260">
        <v>3</v>
      </c>
      <c r="X86" s="250">
        <f t="shared" si="592"/>
        <v>0</v>
      </c>
      <c r="Y86" s="260">
        <v>3</v>
      </c>
      <c r="Z86" s="250">
        <f>Y86*Y$8</f>
        <v>0.176175</v>
      </c>
      <c r="AA86" s="260"/>
      <c r="AB86" s="250"/>
      <c r="AC86" s="250">
        <f>AD86/AC$8</f>
        <v>3</v>
      </c>
      <c r="AD86" s="250">
        <f>AF86+AH86+AJ86</f>
        <v>11.807553</v>
      </c>
      <c r="AE86" s="260"/>
      <c r="AF86" s="250"/>
      <c r="AG86" s="260">
        <v>3</v>
      </c>
      <c r="AH86" s="250">
        <f>AG86*AG$8</f>
        <v>1.974465</v>
      </c>
      <c r="AI86" s="260">
        <v>3</v>
      </c>
      <c r="AJ86" s="250">
        <f>AI86*AI$8</f>
        <v>9.83308800000001</v>
      </c>
      <c r="AK86" s="295" t="s">
        <v>337</v>
      </c>
      <c r="AL86" s="292">
        <f t="shared" si="532"/>
        <v>40.175091</v>
      </c>
      <c r="AM86" s="290"/>
      <c r="AN86" s="288"/>
      <c r="AO86" s="288"/>
      <c r="AP86" s="288"/>
      <c r="AQ86" s="288"/>
      <c r="AR86" s="288"/>
      <c r="AS86" s="288"/>
      <c r="AT86" s="288"/>
      <c r="AU86" s="288"/>
      <c r="AV86" s="288"/>
      <c r="AW86" s="288"/>
      <c r="AX86" s="288"/>
      <c r="AY86" s="288"/>
    </row>
    <row r="87" customHeight="1" outlineLevel="3" spans="1:51">
      <c r="A87" s="310" t="s">
        <v>338</v>
      </c>
      <c r="B87" s="310" t="s">
        <v>339</v>
      </c>
      <c r="C87" s="250"/>
      <c r="D87" s="250"/>
      <c r="E87" s="250"/>
      <c r="F87" s="250"/>
      <c r="G87" s="311"/>
      <c r="H87" s="250"/>
      <c r="I87" s="318"/>
      <c r="J87" s="250"/>
      <c r="K87" s="260"/>
      <c r="L87" s="250"/>
      <c r="M87" s="260"/>
      <c r="N87" s="250"/>
      <c r="O87" s="317"/>
      <c r="P87" s="250"/>
      <c r="Q87" s="311"/>
      <c r="R87" s="250"/>
      <c r="S87" s="318"/>
      <c r="T87" s="250"/>
      <c r="U87" s="311"/>
      <c r="V87" s="250"/>
      <c r="W87" s="311"/>
      <c r="X87" s="250"/>
      <c r="Y87" s="311"/>
      <c r="Z87" s="250"/>
      <c r="AA87" s="262"/>
      <c r="AB87" s="250"/>
      <c r="AC87" s="250"/>
      <c r="AD87" s="250"/>
      <c r="AE87" s="260"/>
      <c r="AF87" s="250"/>
      <c r="AG87" s="262"/>
      <c r="AH87" s="250"/>
      <c r="AI87" s="262"/>
      <c r="AJ87" s="250"/>
      <c r="AK87" s="324"/>
      <c r="AL87" s="292">
        <f t="shared" si="532"/>
        <v>0</v>
      </c>
      <c r="AM87" s="290"/>
      <c r="AN87" s="288"/>
      <c r="AO87" s="288"/>
      <c r="AP87" s="288"/>
      <c r="AQ87" s="288"/>
      <c r="AR87" s="288"/>
      <c r="AS87" s="288"/>
      <c r="AT87" s="288"/>
      <c r="AU87" s="288"/>
      <c r="AV87" s="288"/>
      <c r="AW87" s="288"/>
      <c r="AX87" s="288"/>
      <c r="AY87" s="288"/>
    </row>
    <row r="88" ht="27.95" customHeight="1" outlineLevel="2" spans="1:51">
      <c r="A88" s="310" t="s">
        <v>340</v>
      </c>
      <c r="B88" s="310" t="s">
        <v>341</v>
      </c>
      <c r="C88" s="250">
        <f>D88/$C$8</f>
        <v>82.2983981791105</v>
      </c>
      <c r="D88" s="250">
        <f t="shared" ref="D88:D102" si="593">F88+AD88</f>
        <v>1102.115212</v>
      </c>
      <c r="E88" s="250">
        <f>F88/$E$8</f>
        <v>116.553845314317</v>
      </c>
      <c r="F88" s="250">
        <f t="shared" ref="F88:F102" si="594">H88+J88+L88+N88+P88+R88+T88+V88+X88+Z88+AB88</f>
        <v>1102.115212</v>
      </c>
      <c r="G88" s="260">
        <f>0.2*550</f>
        <v>110</v>
      </c>
      <c r="H88" s="250">
        <f>G88*G$8</f>
        <v>58.61581</v>
      </c>
      <c r="I88" s="260">
        <f>0.22*550</f>
        <v>121</v>
      </c>
      <c r="J88" s="250">
        <f>I88*I$8</f>
        <v>681.693672</v>
      </c>
      <c r="K88" s="260">
        <f>0.2*550</f>
        <v>110</v>
      </c>
      <c r="L88" s="250">
        <f t="shared" ref="L88" si="595">K88*K$8</f>
        <v>355.34598</v>
      </c>
      <c r="M88" s="260"/>
      <c r="N88" s="250">
        <f>M88*M$8</f>
        <v>0</v>
      </c>
      <c r="O88" s="260">
        <f>0.2*550</f>
        <v>110</v>
      </c>
      <c r="P88" s="250">
        <f>O88*O$8</f>
        <v>0</v>
      </c>
      <c r="Q88" s="260"/>
      <c r="R88" s="250">
        <f>Q88*Q$8</f>
        <v>0</v>
      </c>
      <c r="S88" s="260">
        <f>0.2*550</f>
        <v>110</v>
      </c>
      <c r="T88" s="250">
        <f>S88*S$8</f>
        <v>0</v>
      </c>
      <c r="U88" s="260">
        <f>G88</f>
        <v>110</v>
      </c>
      <c r="V88" s="250">
        <f t="shared" ref="V88" si="596">U88*U$8</f>
        <v>0</v>
      </c>
      <c r="W88" s="260">
        <f>0.2*550</f>
        <v>110</v>
      </c>
      <c r="X88" s="250">
        <f t="shared" ref="X88" si="597">W88*W$8</f>
        <v>0</v>
      </c>
      <c r="Y88" s="260">
        <f>0.2*550</f>
        <v>110</v>
      </c>
      <c r="Z88" s="250">
        <f t="shared" ref="Z88" si="598">Y88*Y$8</f>
        <v>6.45975</v>
      </c>
      <c r="AA88" s="260">
        <f>0.2*550</f>
        <v>110</v>
      </c>
      <c r="AB88" s="250">
        <f t="shared" ref="AB88" si="599">AA88*AA$8</f>
        <v>0</v>
      </c>
      <c r="AC88" s="250">
        <f>AD88/AC$8</f>
        <v>0</v>
      </c>
      <c r="AD88" s="250">
        <f>AF88+AH88+AJ88</f>
        <v>0</v>
      </c>
      <c r="AE88" s="260"/>
      <c r="AF88" s="250">
        <f t="shared" ref="AF88" si="600">AE88*AE$8</f>
        <v>0</v>
      </c>
      <c r="AG88" s="260"/>
      <c r="AH88" s="250">
        <f t="shared" ref="AH88" si="601">AG88*AG$8</f>
        <v>0</v>
      </c>
      <c r="AI88" s="260"/>
      <c r="AJ88" s="250">
        <f t="shared" ref="AJ88" si="602">AI88*AI$8</f>
        <v>0</v>
      </c>
      <c r="AK88" s="299" t="s">
        <v>342</v>
      </c>
      <c r="AL88" s="292">
        <f t="shared" si="532"/>
        <v>1102.115212</v>
      </c>
      <c r="AM88" s="290"/>
      <c r="AN88" s="288"/>
      <c r="AO88" s="288"/>
      <c r="AP88" s="288"/>
      <c r="AQ88" s="288"/>
      <c r="AR88" s="288"/>
      <c r="AS88" s="288"/>
      <c r="AT88" s="288"/>
      <c r="AU88" s="288"/>
      <c r="AV88" s="288"/>
      <c r="AW88" s="288"/>
      <c r="AX88" s="288"/>
      <c r="AY88" s="288"/>
    </row>
    <row r="89" ht="23" customHeight="1" outlineLevel="2" spans="1:51">
      <c r="A89" s="310" t="s">
        <v>343</v>
      </c>
      <c r="B89" s="310" t="s">
        <v>344</v>
      </c>
      <c r="C89" s="250">
        <f>D89/$C$8</f>
        <v>12.8</v>
      </c>
      <c r="D89" s="250">
        <f t="shared" si="593"/>
        <v>171.4137216</v>
      </c>
      <c r="E89" s="250">
        <f>F89/$E$8</f>
        <v>12.8</v>
      </c>
      <c r="F89" s="250">
        <f t="shared" si="594"/>
        <v>121.0348288</v>
      </c>
      <c r="G89" s="260">
        <f>0.04*320</f>
        <v>12.8</v>
      </c>
      <c r="H89" s="250">
        <f>G89*G$8</f>
        <v>6.8207488</v>
      </c>
      <c r="I89" s="260">
        <f>0.04*320</f>
        <v>12.8</v>
      </c>
      <c r="J89" s="250">
        <f t="shared" ref="J89:J91" si="603">I89*I$8</f>
        <v>72.1130496</v>
      </c>
      <c r="K89" s="260">
        <f>0.04*320</f>
        <v>12.8</v>
      </c>
      <c r="L89" s="250">
        <f t="shared" ref="L89" si="604">K89*K$8</f>
        <v>41.3493504</v>
      </c>
      <c r="M89" s="260">
        <f>0.04*320</f>
        <v>12.8</v>
      </c>
      <c r="N89" s="250">
        <f>M89*M$8</f>
        <v>0</v>
      </c>
      <c r="O89" s="260">
        <f>0.04*320</f>
        <v>12.8</v>
      </c>
      <c r="P89" s="250">
        <f>O89*O$8</f>
        <v>0</v>
      </c>
      <c r="Q89" s="260">
        <f>0.04*320</f>
        <v>12.8</v>
      </c>
      <c r="R89" s="250">
        <f>Q89*Q$8</f>
        <v>0</v>
      </c>
      <c r="S89" s="260">
        <f>0.04*320</f>
        <v>12.8</v>
      </c>
      <c r="T89" s="250">
        <f>S89*S$8</f>
        <v>0</v>
      </c>
      <c r="U89" s="260">
        <f>0.04*320</f>
        <v>12.8</v>
      </c>
      <c r="V89" s="250">
        <f t="shared" ref="V89" si="605">U89*U$8</f>
        <v>0</v>
      </c>
      <c r="W89" s="260">
        <f>0.04*320</f>
        <v>12.8</v>
      </c>
      <c r="X89" s="250">
        <f t="shared" ref="X89" si="606">W89*W$8</f>
        <v>0</v>
      </c>
      <c r="Y89" s="260">
        <f>0.04*320</f>
        <v>12.8</v>
      </c>
      <c r="Z89" s="250">
        <f t="shared" ref="Z89" si="607">Y89*Y$8</f>
        <v>0.75168</v>
      </c>
      <c r="AA89" s="260">
        <f>0.04*320</f>
        <v>12.8</v>
      </c>
      <c r="AB89" s="250">
        <f t="shared" ref="AB89" si="608">AA89*AA$8</f>
        <v>0</v>
      </c>
      <c r="AC89" s="250">
        <f>AD89/AC$8</f>
        <v>12.8</v>
      </c>
      <c r="AD89" s="250">
        <f>AF89+AH89+AJ89</f>
        <v>50.3788928</v>
      </c>
      <c r="AE89" s="260">
        <f>0.04*320</f>
        <v>12.8</v>
      </c>
      <c r="AF89" s="250">
        <f t="shared" ref="AF89" si="609">AE89*AE$8</f>
        <v>0</v>
      </c>
      <c r="AG89" s="260">
        <f>0.04*320</f>
        <v>12.8</v>
      </c>
      <c r="AH89" s="250">
        <f t="shared" ref="AH89" si="610">AG89*AG$8</f>
        <v>8.424384</v>
      </c>
      <c r="AI89" s="260">
        <f>0.04*320</f>
        <v>12.8</v>
      </c>
      <c r="AJ89" s="250">
        <f t="shared" ref="AJ89" si="611">AI89*AI$8</f>
        <v>41.9545088</v>
      </c>
      <c r="AK89" s="295" t="s">
        <v>345</v>
      </c>
      <c r="AL89" s="292">
        <f t="shared" si="532"/>
        <v>171.4137216</v>
      </c>
      <c r="AM89" s="290"/>
      <c r="AN89" s="288"/>
      <c r="AO89" s="288"/>
      <c r="AP89" s="288"/>
      <c r="AQ89" s="288"/>
      <c r="AR89" s="288"/>
      <c r="AS89" s="288"/>
      <c r="AT89" s="288"/>
      <c r="AU89" s="288"/>
      <c r="AV89" s="288"/>
      <c r="AW89" s="288"/>
      <c r="AX89" s="288"/>
      <c r="AY89" s="288"/>
    </row>
    <row r="90" ht="23.1" customHeight="1" outlineLevel="2" spans="1:51">
      <c r="A90" s="310" t="s">
        <v>346</v>
      </c>
      <c r="B90" s="310" t="s">
        <v>347</v>
      </c>
      <c r="C90" s="250">
        <f>D90/$C$8</f>
        <v>11.8580938621894</v>
      </c>
      <c r="D90" s="250">
        <f t="shared" si="593"/>
        <v>158.8</v>
      </c>
      <c r="E90" s="250">
        <f>F90/$E$8</f>
        <v>16.7938437237662</v>
      </c>
      <c r="F90" s="250">
        <f t="shared" si="594"/>
        <v>158.8</v>
      </c>
      <c r="G90" s="260">
        <f>经济指标!G9*2000/10000/G8</f>
        <v>17.6402919280651</v>
      </c>
      <c r="H90" s="250">
        <f>G90*G$8</f>
        <v>9.4</v>
      </c>
      <c r="I90" s="260">
        <f>经济指标!G10*2000/10000/I8</f>
        <v>15.4779198243753</v>
      </c>
      <c r="J90" s="250">
        <f t="shared" si="603"/>
        <v>87.1999999999999</v>
      </c>
      <c r="K90" s="260">
        <f>经济指标!G11*2000/10000/K8</f>
        <v>19.2544741887892</v>
      </c>
      <c r="L90" s="250">
        <f t="shared" ref="L90" si="612">K90*K$8</f>
        <v>62.2</v>
      </c>
      <c r="M90" s="260"/>
      <c r="N90" s="250">
        <f>M90*M$8</f>
        <v>0</v>
      </c>
      <c r="O90" s="260"/>
      <c r="P90" s="250">
        <f>O90*O$8</f>
        <v>0</v>
      </c>
      <c r="Q90" s="260"/>
      <c r="R90" s="250">
        <f>Q90*Q$8</f>
        <v>0</v>
      </c>
      <c r="S90" s="260"/>
      <c r="T90" s="250">
        <f>S90*S$8</f>
        <v>0</v>
      </c>
      <c r="U90" s="260"/>
      <c r="V90" s="250">
        <f t="shared" ref="V90" si="613">U90*U$8</f>
        <v>0</v>
      </c>
      <c r="W90" s="260"/>
      <c r="X90" s="250">
        <f t="shared" ref="X90" si="614">W90*W$8</f>
        <v>0</v>
      </c>
      <c r="Y90" s="260"/>
      <c r="Z90" s="250">
        <f t="shared" ref="Z90" si="615">Y90*Y$8</f>
        <v>0</v>
      </c>
      <c r="AA90" s="260"/>
      <c r="AB90" s="250">
        <f t="shared" ref="AB90" si="616">AA90*AA$8</f>
        <v>0</v>
      </c>
      <c r="AC90" s="250">
        <f>AD90/AC$8</f>
        <v>0</v>
      </c>
      <c r="AD90" s="250">
        <f>AF90+AH90+AJ90</f>
        <v>0</v>
      </c>
      <c r="AE90" s="260"/>
      <c r="AF90" s="250">
        <f t="shared" ref="AF90" si="617">AE90*AE$8</f>
        <v>0</v>
      </c>
      <c r="AG90" s="260"/>
      <c r="AH90" s="250">
        <f t="shared" ref="AH90" si="618">AG90*AG$8</f>
        <v>0</v>
      </c>
      <c r="AI90" s="260"/>
      <c r="AJ90" s="250">
        <f t="shared" ref="AJ90" si="619">AI90*AI$8</f>
        <v>0</v>
      </c>
      <c r="AK90" s="295" t="s">
        <v>348</v>
      </c>
      <c r="AL90" s="292">
        <f t="shared" si="532"/>
        <v>158.8</v>
      </c>
      <c r="AM90" s="290"/>
      <c r="AN90" s="288"/>
      <c r="AO90" s="288"/>
      <c r="AP90" s="288"/>
      <c r="AQ90" s="288"/>
      <c r="AR90" s="288"/>
      <c r="AS90" s="288"/>
      <c r="AT90" s="288"/>
      <c r="AU90" s="288"/>
      <c r="AV90" s="288"/>
      <c r="AW90" s="288"/>
      <c r="AX90" s="288"/>
      <c r="AY90" s="288"/>
    </row>
    <row r="91" ht="19" customHeight="1" outlineLevel="2" spans="1:51">
      <c r="A91" s="310" t="s">
        <v>349</v>
      </c>
      <c r="B91" s="310" t="s">
        <v>350</v>
      </c>
      <c r="C91" s="250">
        <f>D91/$C$8</f>
        <v>30.914677953063</v>
      </c>
      <c r="D91" s="250">
        <f t="shared" si="593"/>
        <v>414</v>
      </c>
      <c r="E91" s="250">
        <f>F91/$E$8</f>
        <v>43.7824389271991</v>
      </c>
      <c r="F91" s="250">
        <f t="shared" si="594"/>
        <v>414</v>
      </c>
      <c r="G91" s="260">
        <f>250*经济指标!E26*600/10000/G8</f>
        <v>56.2988040257398</v>
      </c>
      <c r="H91" s="250">
        <f>G91*G$8</f>
        <v>30</v>
      </c>
      <c r="I91" s="260">
        <f>150*经济指标!E28*600/10000/I8</f>
        <v>41.5347848498145</v>
      </c>
      <c r="J91" s="250">
        <f t="shared" si="603"/>
        <v>234</v>
      </c>
      <c r="K91" s="260">
        <f>250*经济指标!E29*600/10000/K8</f>
        <v>46.4336194263405</v>
      </c>
      <c r="L91" s="250">
        <f t="shared" ref="L91" si="620">K91*K$8</f>
        <v>150</v>
      </c>
      <c r="M91" s="260"/>
      <c r="N91" s="250">
        <f>M91*M$8</f>
        <v>0</v>
      </c>
      <c r="O91" s="260"/>
      <c r="P91" s="250">
        <f>O91*O$8</f>
        <v>0</v>
      </c>
      <c r="Q91" s="260"/>
      <c r="R91" s="250">
        <f>Q91*Q$8</f>
        <v>0</v>
      </c>
      <c r="S91" s="260"/>
      <c r="T91" s="250">
        <f>S91*S$8</f>
        <v>0</v>
      </c>
      <c r="U91" s="260"/>
      <c r="V91" s="250">
        <f t="shared" ref="V91" si="621">U91*U$8</f>
        <v>0</v>
      </c>
      <c r="W91" s="260"/>
      <c r="X91" s="250">
        <f t="shared" ref="X91" si="622">W91*W$8</f>
        <v>0</v>
      </c>
      <c r="Y91" s="260"/>
      <c r="Z91" s="250">
        <f t="shared" ref="Z91:Z92" si="623">Y91*Y$8</f>
        <v>0</v>
      </c>
      <c r="AA91" s="260"/>
      <c r="AB91" s="250">
        <f t="shared" ref="AB91:AB92" si="624">AA91*AA$8</f>
        <v>0</v>
      </c>
      <c r="AC91" s="250">
        <f>AD91/AC$8</f>
        <v>0</v>
      </c>
      <c r="AD91" s="250">
        <f>AF91+AH91+AJ91</f>
        <v>0</v>
      </c>
      <c r="AE91" s="260"/>
      <c r="AF91" s="250">
        <f t="shared" ref="AF91" si="625">AE91*AE$8</f>
        <v>0</v>
      </c>
      <c r="AG91" s="260"/>
      <c r="AH91" s="250">
        <f t="shared" ref="AH91" si="626">AG91*AG$8</f>
        <v>0</v>
      </c>
      <c r="AI91" s="260"/>
      <c r="AJ91" s="250">
        <f t="shared" ref="AJ91" si="627">AI91*AI$8</f>
        <v>0</v>
      </c>
      <c r="AK91" s="295" t="s">
        <v>351</v>
      </c>
      <c r="AL91" s="292">
        <f t="shared" si="532"/>
        <v>414</v>
      </c>
      <c r="AM91" s="290"/>
      <c r="AN91" s="288"/>
      <c r="AO91" s="288"/>
      <c r="AP91" s="288"/>
      <c r="AQ91" s="288"/>
      <c r="AR91" s="288"/>
      <c r="AS91" s="288"/>
      <c r="AT91" s="288"/>
      <c r="AU91" s="288"/>
      <c r="AV91" s="288"/>
      <c r="AW91" s="288"/>
      <c r="AX91" s="288"/>
      <c r="AY91" s="288"/>
    </row>
    <row r="92" ht="19" customHeight="1" outlineLevel="2" spans="1:51">
      <c r="A92" s="310" t="s">
        <v>352</v>
      </c>
      <c r="B92" s="310" t="s">
        <v>353</v>
      </c>
      <c r="C92" s="250">
        <f>D92/$C$8</f>
        <v>61.8182654520932</v>
      </c>
      <c r="D92" s="250">
        <f t="shared" si="593"/>
        <v>827.85148</v>
      </c>
      <c r="E92" s="250">
        <f>F92/$E$8</f>
        <v>87.5491711688198</v>
      </c>
      <c r="F92" s="250">
        <f t="shared" si="594"/>
        <v>827.85148</v>
      </c>
      <c r="G92" s="260">
        <v>80</v>
      </c>
      <c r="H92" s="250">
        <f>G92*G$8</f>
        <v>42.62968</v>
      </c>
      <c r="I92" s="260">
        <v>88</v>
      </c>
      <c r="J92" s="250">
        <f t="shared" ref="J92" si="628">I92*I$8</f>
        <v>495.777216</v>
      </c>
      <c r="K92" s="260">
        <v>88</v>
      </c>
      <c r="L92" s="250">
        <f t="shared" ref="L92" si="629">K92*K$8</f>
        <v>284.276784</v>
      </c>
      <c r="M92" s="260"/>
      <c r="N92" s="250">
        <f>M92*M$8</f>
        <v>0</v>
      </c>
      <c r="O92" s="260">
        <v>80</v>
      </c>
      <c r="P92" s="250">
        <f>O92*O$8</f>
        <v>0</v>
      </c>
      <c r="Q92" s="260">
        <v>80</v>
      </c>
      <c r="R92" s="250">
        <f>Q92*Q$8</f>
        <v>0</v>
      </c>
      <c r="S92" s="260">
        <v>80</v>
      </c>
      <c r="T92" s="250">
        <f>S92*S$8</f>
        <v>0</v>
      </c>
      <c r="U92" s="260">
        <v>80</v>
      </c>
      <c r="V92" s="250">
        <f t="shared" ref="V92" si="630">U92*U$8</f>
        <v>0</v>
      </c>
      <c r="W92" s="260">
        <v>80</v>
      </c>
      <c r="X92" s="250">
        <f t="shared" ref="X92" si="631">W92*W$8</f>
        <v>0</v>
      </c>
      <c r="Y92" s="260">
        <v>88</v>
      </c>
      <c r="Z92" s="250">
        <f t="shared" si="623"/>
        <v>5.1678</v>
      </c>
      <c r="AA92" s="260">
        <v>80</v>
      </c>
      <c r="AB92" s="250">
        <f t="shared" si="624"/>
        <v>0</v>
      </c>
      <c r="AC92" s="250">
        <f>AD92/AC$8</f>
        <v>0</v>
      </c>
      <c r="AD92" s="250">
        <f>AF92+AH92+AJ92</f>
        <v>0</v>
      </c>
      <c r="AE92" s="260"/>
      <c r="AF92" s="250">
        <f t="shared" ref="AF92" si="632">AE92*AE$8</f>
        <v>0</v>
      </c>
      <c r="AG92" s="260"/>
      <c r="AH92" s="250">
        <f t="shared" ref="AH92" si="633">AG92*AG$8</f>
        <v>0</v>
      </c>
      <c r="AI92" s="260"/>
      <c r="AJ92" s="250">
        <f t="shared" ref="AJ92" si="634">AI92*AI$8</f>
        <v>0</v>
      </c>
      <c r="AK92" s="295" t="s">
        <v>354</v>
      </c>
      <c r="AL92" s="292">
        <f t="shared" si="532"/>
        <v>827.85148</v>
      </c>
      <c r="AM92" s="290"/>
      <c r="AN92" s="288"/>
      <c r="AO92" s="288"/>
      <c r="AP92" s="288"/>
      <c r="AQ92" s="288"/>
      <c r="AR92" s="288"/>
      <c r="AS92" s="288"/>
      <c r="AT92" s="288"/>
      <c r="AU92" s="288"/>
      <c r="AV92" s="288"/>
      <c r="AW92" s="288"/>
      <c r="AX92" s="288"/>
      <c r="AY92" s="288"/>
    </row>
    <row r="93" ht="23" customHeight="1" outlineLevel="2" spans="1:51">
      <c r="A93" s="310" t="s">
        <v>355</v>
      </c>
      <c r="B93" s="310" t="s">
        <v>356</v>
      </c>
      <c r="C93" s="250">
        <f t="shared" ref="C93:C102" si="635">D93/$C$8</f>
        <v>0</v>
      </c>
      <c r="D93" s="250">
        <f t="shared" si="593"/>
        <v>0</v>
      </c>
      <c r="E93" s="250">
        <f t="shared" ref="E93:E102" si="636">F93/$E$8</f>
        <v>0</v>
      </c>
      <c r="F93" s="250">
        <f t="shared" si="594"/>
        <v>0</v>
      </c>
      <c r="G93" s="260"/>
      <c r="H93" s="250">
        <f t="shared" ref="H93:H102" si="637">G93*G$8</f>
        <v>0</v>
      </c>
      <c r="I93" s="260"/>
      <c r="J93" s="250">
        <f t="shared" ref="J93" si="638">I93*I$8</f>
        <v>0</v>
      </c>
      <c r="K93" s="260"/>
      <c r="L93" s="250">
        <f t="shared" ref="L93" si="639">K93*K$8</f>
        <v>0</v>
      </c>
      <c r="M93" s="260"/>
      <c r="N93" s="250">
        <f t="shared" ref="N93:N98" si="640">M93*M$8</f>
        <v>0</v>
      </c>
      <c r="O93" s="260"/>
      <c r="P93" s="250">
        <f t="shared" ref="P93:P98" si="641">O93*O$8</f>
        <v>0</v>
      </c>
      <c r="Q93" s="260"/>
      <c r="R93" s="250">
        <f t="shared" ref="R93:R98" si="642">Q93*Q$8</f>
        <v>0</v>
      </c>
      <c r="S93" s="260"/>
      <c r="T93" s="250">
        <f t="shared" ref="T93:T98" si="643">S93*S$8</f>
        <v>0</v>
      </c>
      <c r="U93" s="260"/>
      <c r="V93" s="250">
        <f t="shared" ref="V93" si="644">U93*U$8</f>
        <v>0</v>
      </c>
      <c r="W93" s="260"/>
      <c r="X93" s="250">
        <f t="shared" ref="X93" si="645">W93*W$8</f>
        <v>0</v>
      </c>
      <c r="Y93" s="260"/>
      <c r="Z93" s="250">
        <f t="shared" ref="Z93" si="646">Y93*Y$8</f>
        <v>0</v>
      </c>
      <c r="AA93" s="260"/>
      <c r="AB93" s="250">
        <f t="shared" ref="AB93" si="647">AA93*AA$8</f>
        <v>0</v>
      </c>
      <c r="AC93" s="250">
        <f t="shared" ref="AC93:AC102" si="648">AD93/AC$8</f>
        <v>0</v>
      </c>
      <c r="AD93" s="250">
        <f t="shared" ref="AD93:AD102" si="649">AF93+AH93+AJ93</f>
        <v>0</v>
      </c>
      <c r="AE93" s="260"/>
      <c r="AF93" s="250">
        <f t="shared" ref="AF93" si="650">AE93*AE$8</f>
        <v>0</v>
      </c>
      <c r="AG93" s="260"/>
      <c r="AH93" s="250">
        <f t="shared" ref="AH93" si="651">AG93*AG$8</f>
        <v>0</v>
      </c>
      <c r="AI93" s="260"/>
      <c r="AJ93" s="250">
        <f t="shared" ref="AJ93" si="652">AI93*AI$8</f>
        <v>0</v>
      </c>
      <c r="AK93" s="295"/>
      <c r="AL93" s="292">
        <f t="shared" si="532"/>
        <v>0</v>
      </c>
      <c r="AM93" s="290"/>
      <c r="AN93" s="288"/>
      <c r="AO93" s="288"/>
      <c r="AP93" s="288"/>
      <c r="AQ93" s="288"/>
      <c r="AR93" s="288"/>
      <c r="AS93" s="288"/>
      <c r="AT93" s="288"/>
      <c r="AU93" s="288"/>
      <c r="AV93" s="288"/>
      <c r="AW93" s="288"/>
      <c r="AX93" s="288"/>
      <c r="AY93" s="288"/>
    </row>
    <row r="94" ht="29.1" customHeight="1" outlineLevel="2" spans="1:51">
      <c r="A94" s="310" t="s">
        <v>357</v>
      </c>
      <c r="B94" s="310" t="s">
        <v>358</v>
      </c>
      <c r="C94" s="250">
        <f t="shared" si="635"/>
        <v>9.60292826219112</v>
      </c>
      <c r="D94" s="250">
        <f t="shared" si="593"/>
        <v>128.5995056</v>
      </c>
      <c r="E94" s="250">
        <f t="shared" si="636"/>
        <v>13.6</v>
      </c>
      <c r="F94" s="250">
        <f t="shared" si="594"/>
        <v>128.5995056</v>
      </c>
      <c r="G94" s="262">
        <v>13.6</v>
      </c>
      <c r="H94" s="250">
        <f t="shared" si="637"/>
        <v>7.2470456</v>
      </c>
      <c r="I94" s="262">
        <v>13.6</v>
      </c>
      <c r="J94" s="250">
        <f t="shared" ref="J94" si="653">I94*I$8</f>
        <v>76.6201152</v>
      </c>
      <c r="K94" s="262">
        <v>13.6</v>
      </c>
      <c r="L94" s="250">
        <f t="shared" ref="L94" si="654">K94*K$8</f>
        <v>43.9336848</v>
      </c>
      <c r="M94" s="262">
        <v>13.6</v>
      </c>
      <c r="N94" s="250">
        <f t="shared" si="640"/>
        <v>0</v>
      </c>
      <c r="O94" s="262">
        <v>13.6</v>
      </c>
      <c r="P94" s="250">
        <f t="shared" si="641"/>
        <v>0</v>
      </c>
      <c r="Q94" s="262">
        <v>13.6</v>
      </c>
      <c r="R94" s="250">
        <f t="shared" si="642"/>
        <v>0</v>
      </c>
      <c r="S94" s="262">
        <v>13.6</v>
      </c>
      <c r="T94" s="250">
        <f t="shared" si="643"/>
        <v>0</v>
      </c>
      <c r="U94" s="262">
        <v>13.6</v>
      </c>
      <c r="V94" s="250">
        <f t="shared" ref="V94" si="655">U94*U$8</f>
        <v>0</v>
      </c>
      <c r="W94" s="262">
        <v>13.6</v>
      </c>
      <c r="X94" s="250">
        <f t="shared" ref="X94" si="656">W94*W$8</f>
        <v>0</v>
      </c>
      <c r="Y94" s="262">
        <v>13.6</v>
      </c>
      <c r="Z94" s="250">
        <f t="shared" ref="Z94" si="657">Y94*Y$8</f>
        <v>0.79866</v>
      </c>
      <c r="AA94" s="262">
        <v>13.6</v>
      </c>
      <c r="AB94" s="250">
        <f t="shared" ref="AB94" si="658">AA94*AA$8</f>
        <v>0</v>
      </c>
      <c r="AC94" s="250">
        <f t="shared" si="648"/>
        <v>0</v>
      </c>
      <c r="AD94" s="250">
        <f t="shared" si="649"/>
        <v>0</v>
      </c>
      <c r="AE94" s="260"/>
      <c r="AF94" s="250">
        <f t="shared" ref="AF94" si="659">AE94*AE$8</f>
        <v>0</v>
      </c>
      <c r="AG94" s="260"/>
      <c r="AH94" s="250">
        <f t="shared" ref="AH94" si="660">AG94*AG$8</f>
        <v>0</v>
      </c>
      <c r="AI94" s="260"/>
      <c r="AJ94" s="250">
        <f t="shared" ref="AJ94" si="661">AI94*AI$8</f>
        <v>0</v>
      </c>
      <c r="AK94" s="295"/>
      <c r="AL94" s="292">
        <f t="shared" si="532"/>
        <v>128.5995056</v>
      </c>
      <c r="AM94" s="290"/>
      <c r="AN94" s="288"/>
      <c r="AO94" s="288"/>
      <c r="AP94" s="288"/>
      <c r="AQ94" s="288"/>
      <c r="AR94" s="288"/>
      <c r="AS94" s="288"/>
      <c r="AT94" s="288"/>
      <c r="AU94" s="288"/>
      <c r="AV94" s="288"/>
      <c r="AW94" s="288"/>
      <c r="AX94" s="288"/>
      <c r="AY94" s="288"/>
    </row>
    <row r="95" customHeight="1" outlineLevel="2" spans="1:51">
      <c r="A95" s="310" t="s">
        <v>359</v>
      </c>
      <c r="B95" s="310" t="s">
        <v>360</v>
      </c>
      <c r="C95" s="250">
        <f t="shared" si="635"/>
        <v>5.50756179743314</v>
      </c>
      <c r="D95" s="250">
        <f t="shared" si="593"/>
        <v>73.7555988</v>
      </c>
      <c r="E95" s="250">
        <f t="shared" si="636"/>
        <v>7.8</v>
      </c>
      <c r="F95" s="250">
        <f t="shared" si="594"/>
        <v>73.7555988</v>
      </c>
      <c r="G95" s="262">
        <v>7.8</v>
      </c>
      <c r="H95" s="250">
        <f t="shared" si="637"/>
        <v>4.1563938</v>
      </c>
      <c r="I95" s="262">
        <v>7.8</v>
      </c>
      <c r="J95" s="250">
        <f t="shared" ref="J95" si="662">I95*I$8</f>
        <v>43.9438896</v>
      </c>
      <c r="K95" s="262">
        <v>7.8</v>
      </c>
      <c r="L95" s="250">
        <f t="shared" ref="L95" si="663">K95*K$8</f>
        <v>25.1972604</v>
      </c>
      <c r="M95" s="262">
        <v>7.8</v>
      </c>
      <c r="N95" s="250">
        <f t="shared" si="640"/>
        <v>0</v>
      </c>
      <c r="O95" s="262">
        <v>7.8</v>
      </c>
      <c r="P95" s="250">
        <f t="shared" si="641"/>
        <v>0</v>
      </c>
      <c r="Q95" s="262">
        <v>7.8</v>
      </c>
      <c r="R95" s="250">
        <f t="shared" si="642"/>
        <v>0</v>
      </c>
      <c r="S95" s="262">
        <v>7.8</v>
      </c>
      <c r="T95" s="250">
        <f t="shared" si="643"/>
        <v>0</v>
      </c>
      <c r="U95" s="262">
        <v>7.8</v>
      </c>
      <c r="V95" s="250">
        <f t="shared" ref="V95" si="664">U95*U$8</f>
        <v>0</v>
      </c>
      <c r="W95" s="262">
        <v>7.8</v>
      </c>
      <c r="X95" s="250">
        <f t="shared" ref="X95" si="665">W95*W$8</f>
        <v>0</v>
      </c>
      <c r="Y95" s="262">
        <v>7.8</v>
      </c>
      <c r="Z95" s="250">
        <f t="shared" ref="Z95" si="666">Y95*Y$8</f>
        <v>0.458055</v>
      </c>
      <c r="AA95" s="262">
        <v>7.8</v>
      </c>
      <c r="AB95" s="250">
        <f t="shared" ref="AB95" si="667">AA95*AA$8</f>
        <v>0</v>
      </c>
      <c r="AC95" s="250">
        <f t="shared" si="648"/>
        <v>0</v>
      </c>
      <c r="AD95" s="250">
        <f t="shared" si="649"/>
        <v>0</v>
      </c>
      <c r="AE95" s="260"/>
      <c r="AF95" s="250">
        <f t="shared" ref="AF95" si="668">AE95*AE$8</f>
        <v>0</v>
      </c>
      <c r="AG95" s="260"/>
      <c r="AH95" s="250">
        <f t="shared" ref="AH95" si="669">AG95*AG$8</f>
        <v>0</v>
      </c>
      <c r="AI95" s="260"/>
      <c r="AJ95" s="250">
        <f t="shared" ref="AJ95" si="670">AI95*AI$8</f>
        <v>0</v>
      </c>
      <c r="AK95" s="295"/>
      <c r="AL95" s="292">
        <f t="shared" si="532"/>
        <v>73.7555988</v>
      </c>
      <c r="AM95" s="290"/>
      <c r="AN95" s="288"/>
      <c r="AO95" s="288"/>
      <c r="AP95" s="288"/>
      <c r="AQ95" s="288"/>
      <c r="AR95" s="288"/>
      <c r="AS95" s="288"/>
      <c r="AT95" s="288"/>
      <c r="AU95" s="288"/>
      <c r="AV95" s="288"/>
      <c r="AW95" s="288"/>
      <c r="AX95" s="288"/>
      <c r="AY95" s="288"/>
    </row>
    <row r="96" customHeight="1" outlineLevel="2" spans="1:51">
      <c r="A96" s="312" t="s">
        <v>361</v>
      </c>
      <c r="B96" s="310" t="s">
        <v>362</v>
      </c>
      <c r="C96" s="250">
        <f t="shared" si="635"/>
        <v>45.6999587132236</v>
      </c>
      <c r="D96" s="250">
        <f t="shared" si="593"/>
        <v>612</v>
      </c>
      <c r="E96" s="250">
        <f t="shared" si="636"/>
        <v>64.7218662402074</v>
      </c>
      <c r="F96" s="250">
        <f t="shared" si="594"/>
        <v>612</v>
      </c>
      <c r="G96" s="260">
        <f>经济指标!E26*18/G8</f>
        <v>67.5585648308878</v>
      </c>
      <c r="H96" s="250">
        <f t="shared" si="637"/>
        <v>36</v>
      </c>
      <c r="I96" s="260">
        <f>经济指标!E28*16/I8</f>
        <v>73.8396175107813</v>
      </c>
      <c r="J96" s="250">
        <f t="shared" ref="J96" si="671">I96*I$8</f>
        <v>416</v>
      </c>
      <c r="K96" s="260">
        <f>经济指标!E29*16/K8</f>
        <v>49.5291940547632</v>
      </c>
      <c r="L96" s="250">
        <f t="shared" ref="L96" si="672">K96*K$8</f>
        <v>160</v>
      </c>
      <c r="M96" s="260"/>
      <c r="N96" s="250">
        <f t="shared" si="640"/>
        <v>0</v>
      </c>
      <c r="O96" s="260"/>
      <c r="P96" s="250">
        <f t="shared" si="641"/>
        <v>0</v>
      </c>
      <c r="Q96" s="260"/>
      <c r="R96" s="250">
        <f t="shared" si="642"/>
        <v>0</v>
      </c>
      <c r="S96" s="260"/>
      <c r="T96" s="250">
        <f t="shared" si="643"/>
        <v>0</v>
      </c>
      <c r="U96" s="260"/>
      <c r="V96" s="250">
        <f t="shared" ref="V96" si="673">U96*U$8</f>
        <v>0</v>
      </c>
      <c r="W96" s="260"/>
      <c r="X96" s="250">
        <f t="shared" ref="X96" si="674">W96*W$8</f>
        <v>0</v>
      </c>
      <c r="Y96" s="260"/>
      <c r="Z96" s="250">
        <f t="shared" ref="Z96" si="675">Y96*Y$8</f>
        <v>0</v>
      </c>
      <c r="AA96" s="260"/>
      <c r="AB96" s="250">
        <f t="shared" ref="AB96" si="676">AA96*AA$8</f>
        <v>0</v>
      </c>
      <c r="AC96" s="250">
        <f t="shared" si="648"/>
        <v>0</v>
      </c>
      <c r="AD96" s="250">
        <f t="shared" si="649"/>
        <v>0</v>
      </c>
      <c r="AE96" s="260"/>
      <c r="AF96" s="250">
        <f t="shared" ref="AF96" si="677">AE96*AE$8</f>
        <v>0</v>
      </c>
      <c r="AG96" s="260"/>
      <c r="AH96" s="250">
        <f t="shared" ref="AH96" si="678">AG96*AG$8</f>
        <v>0</v>
      </c>
      <c r="AI96" s="260"/>
      <c r="AJ96" s="250">
        <f t="shared" ref="AJ96" si="679">AI96*AI$8</f>
        <v>0</v>
      </c>
      <c r="AK96" s="295" t="s">
        <v>363</v>
      </c>
      <c r="AL96" s="292">
        <f t="shared" si="532"/>
        <v>612</v>
      </c>
      <c r="AM96" s="290"/>
      <c r="AN96" s="288"/>
      <c r="AO96" s="288"/>
      <c r="AP96" s="288"/>
      <c r="AQ96" s="288"/>
      <c r="AR96" s="288"/>
      <c r="AS96" s="288"/>
      <c r="AT96" s="288"/>
      <c r="AU96" s="288"/>
      <c r="AV96" s="288"/>
      <c r="AW96" s="288"/>
      <c r="AX96" s="288"/>
      <c r="AY96" s="288"/>
    </row>
    <row r="97" customHeight="1" outlineLevel="2" spans="1:51">
      <c r="A97" s="259" t="s">
        <v>364</v>
      </c>
      <c r="B97" s="259" t="s">
        <v>365</v>
      </c>
      <c r="C97" s="250">
        <f t="shared" si="635"/>
        <v>57.4026155908396</v>
      </c>
      <c r="D97" s="250">
        <f t="shared" si="593"/>
        <v>768.718435</v>
      </c>
      <c r="E97" s="250">
        <f t="shared" si="636"/>
        <v>29.259324337558</v>
      </c>
      <c r="F97" s="250">
        <f t="shared" si="594"/>
        <v>276.671665</v>
      </c>
      <c r="G97" s="262">
        <v>35</v>
      </c>
      <c r="H97" s="250">
        <f t="shared" si="637"/>
        <v>18.650485</v>
      </c>
      <c r="I97" s="260">
        <v>25</v>
      </c>
      <c r="J97" s="250">
        <f t="shared" ref="J97" si="680">I97*I$8</f>
        <v>140.8458</v>
      </c>
      <c r="K97" s="260">
        <v>35</v>
      </c>
      <c r="L97" s="250">
        <f t="shared" ref="L97:L102" si="681">K97*K$8</f>
        <v>113.06463</v>
      </c>
      <c r="M97" s="260"/>
      <c r="N97" s="250">
        <f t="shared" si="640"/>
        <v>0</v>
      </c>
      <c r="O97" s="260">
        <v>100</v>
      </c>
      <c r="P97" s="250">
        <f t="shared" si="641"/>
        <v>0</v>
      </c>
      <c r="Q97" s="262">
        <v>70</v>
      </c>
      <c r="R97" s="250">
        <f t="shared" si="642"/>
        <v>0</v>
      </c>
      <c r="S97" s="262">
        <v>35</v>
      </c>
      <c r="T97" s="250">
        <f t="shared" si="643"/>
        <v>0</v>
      </c>
      <c r="U97" s="262">
        <v>70</v>
      </c>
      <c r="V97" s="250">
        <f t="shared" ref="V97" si="682">U97*U$8</f>
        <v>0</v>
      </c>
      <c r="W97" s="262">
        <v>70</v>
      </c>
      <c r="X97" s="250">
        <f t="shared" ref="X97" si="683">W97*W$8</f>
        <v>0</v>
      </c>
      <c r="Y97" s="262">
        <v>70</v>
      </c>
      <c r="Z97" s="250">
        <f t="shared" ref="Z97:Z102" si="684">Y97*Y$8</f>
        <v>4.11075</v>
      </c>
      <c r="AA97" s="262">
        <v>100</v>
      </c>
      <c r="AB97" s="250">
        <f t="shared" ref="AB97" si="685">AA97*AA$8</f>
        <v>0</v>
      </c>
      <c r="AC97" s="250">
        <f t="shared" si="648"/>
        <v>125.016615212314</v>
      </c>
      <c r="AD97" s="250">
        <f t="shared" si="649"/>
        <v>492.04677</v>
      </c>
      <c r="AE97" s="260"/>
      <c r="AF97" s="250">
        <f t="shared" ref="AF97" si="686">AE97*AE$8</f>
        <v>0</v>
      </c>
      <c r="AG97" s="260">
        <v>150</v>
      </c>
      <c r="AH97" s="250">
        <f t="shared" ref="AH97" si="687">AG97*AG$8</f>
        <v>98.72325</v>
      </c>
      <c r="AI97" s="260">
        <v>120</v>
      </c>
      <c r="AJ97" s="250">
        <f t="shared" ref="AJ97" si="688">AI97*AI$8</f>
        <v>393.32352</v>
      </c>
      <c r="AK97" s="295"/>
      <c r="AL97" s="292">
        <f t="shared" si="532"/>
        <v>768.718435</v>
      </c>
      <c r="AM97" s="290"/>
      <c r="AN97" s="288"/>
      <c r="AO97" s="288"/>
      <c r="AP97" s="288"/>
      <c r="AQ97" s="288"/>
      <c r="AR97" s="288"/>
      <c r="AS97" s="288"/>
      <c r="AT97" s="288"/>
      <c r="AU97" s="288"/>
      <c r="AV97" s="288"/>
      <c r="AW97" s="288"/>
      <c r="AX97" s="288"/>
      <c r="AY97" s="288"/>
    </row>
    <row r="98" customHeight="1" outlineLevel="2" spans="1:51">
      <c r="A98" s="273" t="s">
        <v>366</v>
      </c>
      <c r="B98" s="273" t="s">
        <v>367</v>
      </c>
      <c r="C98" s="250">
        <f t="shared" si="635"/>
        <v>0</v>
      </c>
      <c r="D98" s="250">
        <f t="shared" si="593"/>
        <v>0</v>
      </c>
      <c r="E98" s="250">
        <f t="shared" si="636"/>
        <v>0</v>
      </c>
      <c r="F98" s="250">
        <f t="shared" si="594"/>
        <v>0</v>
      </c>
      <c r="G98" s="260"/>
      <c r="H98" s="250">
        <f t="shared" si="637"/>
        <v>0</v>
      </c>
      <c r="I98" s="260"/>
      <c r="J98" s="250">
        <f t="shared" ref="J98:J102" si="689">I98*I$8</f>
        <v>0</v>
      </c>
      <c r="K98" s="260"/>
      <c r="L98" s="250">
        <f t="shared" si="681"/>
        <v>0</v>
      </c>
      <c r="M98" s="260"/>
      <c r="N98" s="250">
        <f t="shared" si="640"/>
        <v>0</v>
      </c>
      <c r="O98" s="260"/>
      <c r="P98" s="250">
        <f t="shared" si="641"/>
        <v>0</v>
      </c>
      <c r="Q98" s="260"/>
      <c r="R98" s="250">
        <f t="shared" si="642"/>
        <v>0</v>
      </c>
      <c r="S98" s="260"/>
      <c r="T98" s="250">
        <f t="shared" si="643"/>
        <v>0</v>
      </c>
      <c r="U98" s="260"/>
      <c r="V98" s="250">
        <f t="shared" ref="V98" si="690">U98*U$8</f>
        <v>0</v>
      </c>
      <c r="W98" s="260"/>
      <c r="X98" s="250">
        <f t="shared" ref="X98" si="691">W98*W$8</f>
        <v>0</v>
      </c>
      <c r="Y98" s="260"/>
      <c r="Z98" s="250">
        <f t="shared" si="684"/>
        <v>0</v>
      </c>
      <c r="AA98" s="260"/>
      <c r="AB98" s="250">
        <f t="shared" ref="AB98" si="692">AA98*AA$8</f>
        <v>0</v>
      </c>
      <c r="AC98" s="250">
        <f t="shared" si="648"/>
        <v>0</v>
      </c>
      <c r="AD98" s="250">
        <f t="shared" si="649"/>
        <v>0</v>
      </c>
      <c r="AE98" s="260"/>
      <c r="AF98" s="250">
        <f t="shared" ref="AF98" si="693">AE98*AE$8</f>
        <v>0</v>
      </c>
      <c r="AG98" s="260"/>
      <c r="AH98" s="250">
        <f t="shared" ref="AH98:AH100" si="694">AG98*AG$8</f>
        <v>0</v>
      </c>
      <c r="AI98" s="260"/>
      <c r="AJ98" s="250">
        <f t="shared" ref="AJ98:AJ102" si="695">AI98*AI$8</f>
        <v>0</v>
      </c>
      <c r="AK98" s="295"/>
      <c r="AL98" s="292">
        <f t="shared" si="532"/>
        <v>0</v>
      </c>
      <c r="AM98" s="290"/>
      <c r="AN98" s="288"/>
      <c r="AO98" s="288"/>
      <c r="AP98" s="288"/>
      <c r="AQ98" s="288"/>
      <c r="AR98" s="288"/>
      <c r="AS98" s="288"/>
      <c r="AT98" s="288"/>
      <c r="AU98" s="288"/>
      <c r="AV98" s="288"/>
      <c r="AW98" s="288"/>
      <c r="AX98" s="288"/>
      <c r="AY98" s="288"/>
    </row>
    <row r="99" customHeight="1" outlineLevel="2" spans="1:51">
      <c r="A99" s="273" t="s">
        <v>368</v>
      </c>
      <c r="B99" s="273" t="s">
        <v>369</v>
      </c>
      <c r="C99" s="250">
        <f t="shared" si="635"/>
        <v>0.706097666337582</v>
      </c>
      <c r="D99" s="250">
        <f t="shared" si="593"/>
        <v>9.455846</v>
      </c>
      <c r="E99" s="250">
        <f t="shared" si="636"/>
        <v>1</v>
      </c>
      <c r="F99" s="250">
        <f t="shared" si="594"/>
        <v>9.455846</v>
      </c>
      <c r="G99" s="260">
        <v>1</v>
      </c>
      <c r="H99" s="250">
        <f t="shared" si="637"/>
        <v>0.532871</v>
      </c>
      <c r="I99" s="260">
        <v>1</v>
      </c>
      <c r="J99" s="250">
        <f t="shared" si="689"/>
        <v>5.633832</v>
      </c>
      <c r="K99" s="260">
        <v>1</v>
      </c>
      <c r="L99" s="250">
        <f t="shared" si="681"/>
        <v>3.230418</v>
      </c>
      <c r="M99" s="260"/>
      <c r="N99" s="250"/>
      <c r="O99" s="260"/>
      <c r="P99" s="250"/>
      <c r="Q99" s="260"/>
      <c r="R99" s="250"/>
      <c r="S99" s="260"/>
      <c r="T99" s="250"/>
      <c r="U99" s="260"/>
      <c r="V99" s="250"/>
      <c r="W99" s="260"/>
      <c r="X99" s="250"/>
      <c r="Y99" s="260">
        <v>1</v>
      </c>
      <c r="Z99" s="250">
        <f t="shared" si="684"/>
        <v>0.058725</v>
      </c>
      <c r="AA99" s="260"/>
      <c r="AB99" s="250"/>
      <c r="AC99" s="250">
        <f t="shared" si="648"/>
        <v>0</v>
      </c>
      <c r="AD99" s="250">
        <f t="shared" si="649"/>
        <v>0</v>
      </c>
      <c r="AE99" s="260"/>
      <c r="AF99" s="250"/>
      <c r="AG99" s="260"/>
      <c r="AH99" s="250">
        <f t="shared" si="694"/>
        <v>0</v>
      </c>
      <c r="AI99" s="260"/>
      <c r="AJ99" s="250">
        <f t="shared" si="695"/>
        <v>0</v>
      </c>
      <c r="AK99" s="295"/>
      <c r="AL99" s="292">
        <f t="shared" si="532"/>
        <v>9.455846</v>
      </c>
      <c r="AM99" s="290"/>
      <c r="AN99" s="288"/>
      <c r="AO99" s="288"/>
      <c r="AP99" s="288"/>
      <c r="AQ99" s="288"/>
      <c r="AR99" s="288"/>
      <c r="AS99" s="288"/>
      <c r="AT99" s="288"/>
      <c r="AU99" s="288"/>
      <c r="AV99" s="288"/>
      <c r="AW99" s="288"/>
      <c r="AX99" s="288"/>
      <c r="AY99" s="288"/>
    </row>
    <row r="100" customHeight="1" outlineLevel="2" spans="1:51">
      <c r="A100" s="273" t="s">
        <v>370</v>
      </c>
      <c r="B100" s="273" t="s">
        <v>371</v>
      </c>
      <c r="C100" s="250">
        <f t="shared" si="635"/>
        <v>2</v>
      </c>
      <c r="D100" s="250">
        <f t="shared" si="593"/>
        <v>26.783394</v>
      </c>
      <c r="E100" s="250">
        <f t="shared" si="636"/>
        <v>2</v>
      </c>
      <c r="F100" s="250">
        <f t="shared" si="594"/>
        <v>18.911692</v>
      </c>
      <c r="G100" s="260">
        <v>2</v>
      </c>
      <c r="H100" s="250">
        <f t="shared" si="637"/>
        <v>1.065742</v>
      </c>
      <c r="I100" s="260">
        <v>2</v>
      </c>
      <c r="J100" s="250">
        <f t="shared" si="689"/>
        <v>11.267664</v>
      </c>
      <c r="K100" s="260">
        <v>2</v>
      </c>
      <c r="L100" s="250">
        <f t="shared" si="681"/>
        <v>6.460836</v>
      </c>
      <c r="M100" s="260"/>
      <c r="N100" s="250"/>
      <c r="O100" s="260"/>
      <c r="P100" s="250"/>
      <c r="Q100" s="260"/>
      <c r="R100" s="250"/>
      <c r="S100" s="260"/>
      <c r="T100" s="250"/>
      <c r="U100" s="260"/>
      <c r="V100" s="250"/>
      <c r="W100" s="260"/>
      <c r="X100" s="250"/>
      <c r="Y100" s="260">
        <v>2</v>
      </c>
      <c r="Z100" s="250">
        <f t="shared" si="684"/>
        <v>0.11745</v>
      </c>
      <c r="AA100" s="260"/>
      <c r="AB100" s="250"/>
      <c r="AC100" s="250">
        <f t="shared" si="648"/>
        <v>2</v>
      </c>
      <c r="AD100" s="250">
        <f t="shared" si="649"/>
        <v>7.87170200000001</v>
      </c>
      <c r="AE100" s="260"/>
      <c r="AF100" s="250"/>
      <c r="AG100" s="260">
        <v>2</v>
      </c>
      <c r="AH100" s="250">
        <f t="shared" si="694"/>
        <v>1.31631</v>
      </c>
      <c r="AI100" s="260">
        <v>2</v>
      </c>
      <c r="AJ100" s="250">
        <f t="shared" si="695"/>
        <v>6.55539200000001</v>
      </c>
      <c r="AK100" s="295" t="s">
        <v>372</v>
      </c>
      <c r="AL100" s="292">
        <f t="shared" si="532"/>
        <v>26.783394</v>
      </c>
      <c r="AM100" s="290"/>
      <c r="AN100" s="288"/>
      <c r="AO100" s="288"/>
      <c r="AP100" s="288"/>
      <c r="AQ100" s="288"/>
      <c r="AR100" s="288"/>
      <c r="AS100" s="288"/>
      <c r="AT100" s="288"/>
      <c r="AU100" s="288"/>
      <c r="AV100" s="288"/>
      <c r="AW100" s="288"/>
      <c r="AX100" s="288"/>
      <c r="AY100" s="288"/>
    </row>
    <row r="101" customHeight="1" outlineLevel="2" spans="1:51">
      <c r="A101" s="273" t="s">
        <v>373</v>
      </c>
      <c r="B101" s="273" t="s">
        <v>374</v>
      </c>
      <c r="C101" s="250">
        <f t="shared" si="635"/>
        <v>9.82929945323584</v>
      </c>
      <c r="D101" s="250">
        <f t="shared" si="593"/>
        <v>131.631</v>
      </c>
      <c r="E101" s="250">
        <f t="shared" si="636"/>
        <v>0</v>
      </c>
      <c r="F101" s="250">
        <f t="shared" si="594"/>
        <v>0</v>
      </c>
      <c r="G101" s="260"/>
      <c r="H101" s="250">
        <f t="shared" si="637"/>
        <v>0</v>
      </c>
      <c r="I101" s="260"/>
      <c r="J101" s="250">
        <f t="shared" si="689"/>
        <v>0</v>
      </c>
      <c r="K101" s="260"/>
      <c r="L101" s="250">
        <f t="shared" si="681"/>
        <v>0</v>
      </c>
      <c r="M101" s="260"/>
      <c r="N101" s="250"/>
      <c r="O101" s="260"/>
      <c r="P101" s="250"/>
      <c r="Q101" s="260"/>
      <c r="R101" s="250"/>
      <c r="S101" s="260"/>
      <c r="T101" s="250"/>
      <c r="U101" s="260"/>
      <c r="V101" s="250"/>
      <c r="W101" s="260"/>
      <c r="X101" s="250"/>
      <c r="Y101" s="260"/>
      <c r="Z101" s="250">
        <f t="shared" si="684"/>
        <v>0</v>
      </c>
      <c r="AA101" s="260"/>
      <c r="AB101" s="250"/>
      <c r="AC101" s="250">
        <f t="shared" si="648"/>
        <v>33.4441014154245</v>
      </c>
      <c r="AD101" s="250">
        <f t="shared" si="649"/>
        <v>131.631</v>
      </c>
      <c r="AE101" s="260"/>
      <c r="AF101" s="250"/>
      <c r="AG101" s="260">
        <v>200</v>
      </c>
      <c r="AH101" s="250">
        <f>AG101*AG8</f>
        <v>131.631</v>
      </c>
      <c r="AI101" s="260"/>
      <c r="AJ101" s="250">
        <f t="shared" si="695"/>
        <v>0</v>
      </c>
      <c r="AK101" s="295" t="s">
        <v>374</v>
      </c>
      <c r="AL101" s="292">
        <f t="shared" si="532"/>
        <v>131.631</v>
      </c>
      <c r="AM101" s="290"/>
      <c r="AN101" s="288"/>
      <c r="AO101" s="288"/>
      <c r="AP101" s="288"/>
      <c r="AQ101" s="288"/>
      <c r="AR101" s="288"/>
      <c r="AS101" s="288"/>
      <c r="AT101" s="288"/>
      <c r="AU101" s="288"/>
      <c r="AV101" s="288"/>
      <c r="AW101" s="288"/>
      <c r="AX101" s="288"/>
      <c r="AY101" s="288"/>
    </row>
    <row r="102" customHeight="1" outlineLevel="2" spans="1:51">
      <c r="A102" s="273" t="s">
        <v>375</v>
      </c>
      <c r="B102" s="273" t="s">
        <v>376</v>
      </c>
      <c r="C102" s="250">
        <f t="shared" si="635"/>
        <v>2.94878983597075</v>
      </c>
      <c r="D102" s="250">
        <f t="shared" si="593"/>
        <v>39.4893</v>
      </c>
      <c r="E102" s="250">
        <f t="shared" si="636"/>
        <v>0</v>
      </c>
      <c r="F102" s="250">
        <f t="shared" si="594"/>
        <v>0</v>
      </c>
      <c r="G102" s="260"/>
      <c r="H102" s="250">
        <f t="shared" si="637"/>
        <v>0</v>
      </c>
      <c r="I102" s="260"/>
      <c r="J102" s="250">
        <f t="shared" si="689"/>
        <v>0</v>
      </c>
      <c r="K102" s="260"/>
      <c r="L102" s="250">
        <f t="shared" si="681"/>
        <v>0</v>
      </c>
      <c r="M102" s="260"/>
      <c r="N102" s="250"/>
      <c r="O102" s="260"/>
      <c r="P102" s="250"/>
      <c r="Q102" s="260"/>
      <c r="R102" s="250"/>
      <c r="S102" s="260"/>
      <c r="T102" s="250"/>
      <c r="U102" s="260"/>
      <c r="V102" s="250"/>
      <c r="W102" s="260"/>
      <c r="X102" s="250"/>
      <c r="Y102" s="260"/>
      <c r="Z102" s="250">
        <f t="shared" si="684"/>
        <v>0</v>
      </c>
      <c r="AA102" s="260"/>
      <c r="AB102" s="250"/>
      <c r="AC102" s="250">
        <f t="shared" si="648"/>
        <v>10.0332304246274</v>
      </c>
      <c r="AD102" s="250">
        <f t="shared" si="649"/>
        <v>39.4893</v>
      </c>
      <c r="AE102" s="260"/>
      <c r="AF102" s="250"/>
      <c r="AG102" s="260">
        <v>60</v>
      </c>
      <c r="AH102" s="250">
        <f>AG102*AG8</f>
        <v>39.4893</v>
      </c>
      <c r="AI102" s="260"/>
      <c r="AJ102" s="250">
        <f t="shared" si="695"/>
        <v>0</v>
      </c>
      <c r="AK102" s="295"/>
      <c r="AL102" s="292">
        <f t="shared" si="532"/>
        <v>39.4893</v>
      </c>
      <c r="AM102" s="290"/>
      <c r="AN102" s="288"/>
      <c r="AO102" s="288"/>
      <c r="AP102" s="288"/>
      <c r="AQ102" s="288"/>
      <c r="AR102" s="288"/>
      <c r="AS102" s="288"/>
      <c r="AT102" s="288"/>
      <c r="AU102" s="288"/>
      <c r="AV102" s="288"/>
      <c r="AW102" s="288"/>
      <c r="AX102" s="288"/>
      <c r="AY102" s="288"/>
    </row>
    <row r="103" customHeight="1" outlineLevel="1" spans="1:51">
      <c r="A103" s="313" t="s">
        <v>377</v>
      </c>
      <c r="B103" s="313" t="s">
        <v>378</v>
      </c>
      <c r="C103" s="309">
        <f>SUM(C104:C108)</f>
        <v>266.052520042829</v>
      </c>
      <c r="D103" s="309">
        <f t="shared" ref="D103:AJ103" si="696">SUM(D104:D108)</f>
        <v>3562.8947345</v>
      </c>
      <c r="E103" s="309">
        <f t="shared" si="696"/>
        <v>360.76776958931</v>
      </c>
      <c r="F103" s="309">
        <f t="shared" si="696"/>
        <v>3411.364471</v>
      </c>
      <c r="G103" s="309">
        <f t="shared" si="696"/>
        <v>92.0522889263777</v>
      </c>
      <c r="H103" s="309">
        <f t="shared" si="696"/>
        <v>49.0519952524878</v>
      </c>
      <c r="I103" s="309">
        <f t="shared" si="696"/>
        <v>102.392958838872</v>
      </c>
      <c r="J103" s="309">
        <f t="shared" si="696"/>
        <v>576.864728081119</v>
      </c>
      <c r="K103" s="309">
        <f t="shared" si="696"/>
        <v>847.013245705786</v>
      </c>
      <c r="L103" s="309">
        <f t="shared" si="696"/>
        <v>2736.20683516639</v>
      </c>
      <c r="M103" s="309">
        <f t="shared" si="696"/>
        <v>0</v>
      </c>
      <c r="N103" s="309">
        <f t="shared" si="696"/>
        <v>0</v>
      </c>
      <c r="O103" s="309">
        <f t="shared" si="696"/>
        <v>0</v>
      </c>
      <c r="P103" s="309">
        <f t="shared" si="696"/>
        <v>0</v>
      </c>
      <c r="Q103" s="309">
        <f t="shared" si="696"/>
        <v>600</v>
      </c>
      <c r="R103" s="309">
        <f t="shared" si="696"/>
        <v>0</v>
      </c>
      <c r="S103" s="309">
        <f t="shared" si="696"/>
        <v>0</v>
      </c>
      <c r="T103" s="309">
        <f t="shared" si="696"/>
        <v>0</v>
      </c>
      <c r="U103" s="309">
        <f t="shared" si="696"/>
        <v>800</v>
      </c>
      <c r="V103" s="309">
        <f t="shared" si="696"/>
        <v>0</v>
      </c>
      <c r="W103" s="309">
        <f t="shared" si="696"/>
        <v>0</v>
      </c>
      <c r="X103" s="309">
        <f t="shared" si="696"/>
        <v>0</v>
      </c>
      <c r="Y103" s="309">
        <f t="shared" si="696"/>
        <v>838.5</v>
      </c>
      <c r="Z103" s="309">
        <f t="shared" si="696"/>
        <v>49.2409125</v>
      </c>
      <c r="AA103" s="309">
        <f t="shared" si="696"/>
        <v>0</v>
      </c>
      <c r="AB103" s="309">
        <f t="shared" si="696"/>
        <v>0</v>
      </c>
      <c r="AC103" s="309">
        <f t="shared" si="696"/>
        <v>38.5</v>
      </c>
      <c r="AD103" s="309">
        <f t="shared" si="696"/>
        <v>151.5302635</v>
      </c>
      <c r="AE103" s="309">
        <f t="shared" si="696"/>
        <v>0</v>
      </c>
      <c r="AF103" s="309">
        <f t="shared" si="696"/>
        <v>0</v>
      </c>
      <c r="AG103" s="309">
        <f t="shared" si="696"/>
        <v>38.5</v>
      </c>
      <c r="AH103" s="309">
        <f t="shared" si="696"/>
        <v>25.3389675</v>
      </c>
      <c r="AI103" s="309">
        <f t="shared" si="696"/>
        <v>38.5</v>
      </c>
      <c r="AJ103" s="309">
        <f t="shared" si="696"/>
        <v>126.191296</v>
      </c>
      <c r="AK103" s="295"/>
      <c r="AL103" s="292">
        <f t="shared" si="532"/>
        <v>3562.8947345</v>
      </c>
      <c r="AM103" s="290"/>
      <c r="AN103" s="288"/>
      <c r="AO103" s="288"/>
      <c r="AP103" s="288"/>
      <c r="AQ103" s="288"/>
      <c r="AR103" s="288"/>
      <c r="AS103" s="288"/>
      <c r="AT103" s="288"/>
      <c r="AU103" s="288"/>
      <c r="AV103" s="288"/>
      <c r="AW103" s="288"/>
      <c r="AX103" s="288"/>
      <c r="AY103" s="288"/>
    </row>
    <row r="104" customHeight="1" outlineLevel="2" spans="1:51">
      <c r="A104" s="259" t="s">
        <v>379</v>
      </c>
      <c r="B104" s="259" t="s">
        <v>380</v>
      </c>
      <c r="C104" s="250">
        <f>D104/$C$8</f>
        <v>25.0901734111816</v>
      </c>
      <c r="D104" s="250">
        <f>F104+AD104</f>
        <v>336</v>
      </c>
      <c r="E104" s="250">
        <f>F104/$E$8</f>
        <v>35.5335736220746</v>
      </c>
      <c r="F104" s="250">
        <f>H104+J104+L104+N104+P104+R104+T104+V104+X104+Z104+AB104</f>
        <v>336</v>
      </c>
      <c r="G104" s="260">
        <f>经济指标!E26*60*2000/10000/G8</f>
        <v>45.0390432205919</v>
      </c>
      <c r="H104" s="250">
        <f>G104*G$8</f>
        <v>24</v>
      </c>
      <c r="I104" s="260">
        <f>经济指标!E28*60*2000/10000/I8</f>
        <v>55.379713133086</v>
      </c>
      <c r="J104" s="250">
        <f t="shared" ref="J104" si="697">I104*I$8</f>
        <v>312</v>
      </c>
      <c r="K104" s="260"/>
      <c r="L104" s="250">
        <f t="shared" ref="L104" si="698">K104*K$8</f>
        <v>0</v>
      </c>
      <c r="M104" s="260"/>
      <c r="N104" s="250">
        <f t="shared" ref="N104:N108" si="699">M104*M$8</f>
        <v>0</v>
      </c>
      <c r="O104" s="260"/>
      <c r="P104" s="250">
        <f t="shared" ref="P104:P108" si="700">O104*O$8</f>
        <v>0</v>
      </c>
      <c r="Q104" s="260"/>
      <c r="R104" s="250">
        <f t="shared" ref="R104:R108" si="701">Q104*Q$8</f>
        <v>0</v>
      </c>
      <c r="S104" s="260"/>
      <c r="T104" s="250">
        <f t="shared" ref="T104:T108" si="702">S104*S$8</f>
        <v>0</v>
      </c>
      <c r="U104" s="260"/>
      <c r="V104" s="250">
        <f t="shared" ref="V104" si="703">U104*U$8</f>
        <v>0</v>
      </c>
      <c r="W104" s="260"/>
      <c r="X104" s="250">
        <f t="shared" ref="X104" si="704">W104*W$8</f>
        <v>0</v>
      </c>
      <c r="Y104" s="260"/>
      <c r="Z104" s="250">
        <f t="shared" ref="Z104" si="705">Y104*Y$8</f>
        <v>0</v>
      </c>
      <c r="AA104" s="260"/>
      <c r="AB104" s="250">
        <f t="shared" ref="AB104" si="706">AA104*AA$8</f>
        <v>0</v>
      </c>
      <c r="AC104" s="250">
        <f>AD104/AC$8</f>
        <v>0</v>
      </c>
      <c r="AD104" s="250">
        <f>AF104+AH104+AJ104</f>
        <v>0</v>
      </c>
      <c r="AE104" s="260"/>
      <c r="AF104" s="250">
        <f t="shared" ref="AF104" si="707">AE104*AE$8</f>
        <v>0</v>
      </c>
      <c r="AG104" s="260"/>
      <c r="AH104" s="250">
        <f t="shared" ref="AH104" si="708">AG104*AG$8</f>
        <v>0</v>
      </c>
      <c r="AI104" s="260"/>
      <c r="AJ104" s="250">
        <f t="shared" ref="AJ104" si="709">AI104*AI$8</f>
        <v>0</v>
      </c>
      <c r="AK104" s="295" t="s">
        <v>381</v>
      </c>
      <c r="AL104" s="292">
        <f t="shared" si="532"/>
        <v>336</v>
      </c>
      <c r="AM104" s="290"/>
      <c r="AN104" s="288"/>
      <c r="AO104" s="288"/>
      <c r="AP104" s="288"/>
      <c r="AQ104" s="288"/>
      <c r="AR104" s="288"/>
      <c r="AS104" s="288"/>
      <c r="AT104" s="288"/>
      <c r="AU104" s="288"/>
      <c r="AV104" s="288"/>
      <c r="AW104" s="288"/>
      <c r="AX104" s="288"/>
      <c r="AY104" s="288"/>
    </row>
    <row r="105" customHeight="1" outlineLevel="2" spans="1:51">
      <c r="A105" s="259" t="s">
        <v>382</v>
      </c>
      <c r="B105" s="259" t="s">
        <v>383</v>
      </c>
      <c r="C105" s="250">
        <f>D105/$C$8</f>
        <v>196.488495819462</v>
      </c>
      <c r="D105" s="250">
        <f>F105+AD105</f>
        <v>2631.3144</v>
      </c>
      <c r="E105" s="250">
        <f>F105/$E$8</f>
        <v>278.273821295313</v>
      </c>
      <c r="F105" s="250">
        <f>H105+J105+L105+N105+P105+R105+T105+V105+X105+Z105+AB105</f>
        <v>2631.3144</v>
      </c>
      <c r="G105" s="260"/>
      <c r="H105" s="250">
        <f>G105*G$8</f>
        <v>0</v>
      </c>
      <c r="I105" s="260"/>
      <c r="J105" s="250">
        <f t="shared" ref="J105" si="710">I105*I$8</f>
        <v>0</v>
      </c>
      <c r="K105" s="260">
        <v>800</v>
      </c>
      <c r="L105" s="250">
        <f t="shared" ref="L105" si="711">K105*K$8</f>
        <v>2584.3344</v>
      </c>
      <c r="M105" s="260"/>
      <c r="N105" s="250">
        <f t="shared" si="699"/>
        <v>0</v>
      </c>
      <c r="O105" s="260"/>
      <c r="P105" s="250">
        <f t="shared" si="700"/>
        <v>0</v>
      </c>
      <c r="Q105" s="260">
        <v>600</v>
      </c>
      <c r="R105" s="250">
        <f t="shared" si="701"/>
        <v>0</v>
      </c>
      <c r="S105" s="260"/>
      <c r="T105" s="250">
        <f t="shared" si="702"/>
        <v>0</v>
      </c>
      <c r="U105" s="260">
        <v>800</v>
      </c>
      <c r="V105" s="250">
        <f t="shared" ref="V105" si="712">U105*U$8</f>
        <v>0</v>
      </c>
      <c r="W105" s="260"/>
      <c r="X105" s="250">
        <f t="shared" ref="X105" si="713">W105*W$8</f>
        <v>0</v>
      </c>
      <c r="Y105" s="260">
        <v>800</v>
      </c>
      <c r="Z105" s="250">
        <f t="shared" ref="Z105" si="714">Y105*Y$8</f>
        <v>46.98</v>
      </c>
      <c r="AA105" s="260"/>
      <c r="AB105" s="250">
        <f t="shared" ref="AB105" si="715">AA105*AA$8</f>
        <v>0</v>
      </c>
      <c r="AC105" s="250">
        <f>AD105/AC$8</f>
        <v>0</v>
      </c>
      <c r="AD105" s="250">
        <f>AF105+AH105+AJ105</f>
        <v>0</v>
      </c>
      <c r="AE105" s="260"/>
      <c r="AF105" s="250">
        <f t="shared" ref="AF105" si="716">AE105*AE$8</f>
        <v>0</v>
      </c>
      <c r="AG105" s="260"/>
      <c r="AH105" s="250">
        <f t="shared" ref="AH105" si="717">AG105*AG$8</f>
        <v>0</v>
      </c>
      <c r="AI105" s="260"/>
      <c r="AJ105" s="250">
        <f t="shared" ref="AJ105" si="718">AI105*AI$8</f>
        <v>0</v>
      </c>
      <c r="AK105" s="295" t="s">
        <v>384</v>
      </c>
      <c r="AL105" s="292">
        <f t="shared" si="532"/>
        <v>2631.3144</v>
      </c>
      <c r="AM105" s="290"/>
      <c r="AN105" s="288"/>
      <c r="AO105" s="288"/>
      <c r="AP105" s="288"/>
      <c r="AQ105" s="288"/>
      <c r="AR105" s="288"/>
      <c r="AS105" s="288"/>
      <c r="AT105" s="288"/>
      <c r="AU105" s="288"/>
      <c r="AV105" s="288"/>
      <c r="AW105" s="288"/>
      <c r="AX105" s="288"/>
      <c r="AY105" s="288"/>
    </row>
    <row r="106" customHeight="1" outlineLevel="2" spans="1:51">
      <c r="A106" s="259" t="s">
        <v>385</v>
      </c>
      <c r="B106" s="259" t="s">
        <v>386</v>
      </c>
      <c r="C106" s="250">
        <f>D106/$C$8</f>
        <v>38.5</v>
      </c>
      <c r="D106" s="250">
        <f>F106+AD106</f>
        <v>515.5803345</v>
      </c>
      <c r="E106" s="250">
        <f>F106/$E$8</f>
        <v>38.5</v>
      </c>
      <c r="F106" s="250">
        <f>H106+J106+L106+N106+P106+R106+T106+V106+X106+Z106+AB106</f>
        <v>364.050071</v>
      </c>
      <c r="G106" s="260">
        <v>38.5</v>
      </c>
      <c r="H106" s="250">
        <f>G106*G$8</f>
        <v>20.5155335</v>
      </c>
      <c r="I106" s="260">
        <v>38.5</v>
      </c>
      <c r="J106" s="250">
        <f t="shared" ref="J106:J107" si="719">I106*I$8</f>
        <v>216.902532</v>
      </c>
      <c r="K106" s="260">
        <v>38.5</v>
      </c>
      <c r="L106" s="250">
        <f t="shared" ref="L106" si="720">K106*K$8</f>
        <v>124.371093</v>
      </c>
      <c r="M106" s="260">
        <f>$AM$106/$C$8</f>
        <v>0</v>
      </c>
      <c r="N106" s="250">
        <f t="shared" si="699"/>
        <v>0</v>
      </c>
      <c r="O106" s="260">
        <f>$AM$106/$C$8</f>
        <v>0</v>
      </c>
      <c r="P106" s="250">
        <f t="shared" si="700"/>
        <v>0</v>
      </c>
      <c r="Q106" s="260">
        <f>$AM$106/$C$8</f>
        <v>0</v>
      </c>
      <c r="R106" s="250">
        <f t="shared" si="701"/>
        <v>0</v>
      </c>
      <c r="S106" s="260">
        <f>$AM$106/$C$8</f>
        <v>0</v>
      </c>
      <c r="T106" s="250">
        <f t="shared" si="702"/>
        <v>0</v>
      </c>
      <c r="U106" s="260">
        <f>$AM$106/$C$8</f>
        <v>0</v>
      </c>
      <c r="V106" s="250">
        <f t="shared" ref="V106" si="721">U106*U$8</f>
        <v>0</v>
      </c>
      <c r="W106" s="260">
        <f>$AM$106/$C$8</f>
        <v>0</v>
      </c>
      <c r="X106" s="250">
        <f t="shared" ref="X106" si="722">W106*W$8</f>
        <v>0</v>
      </c>
      <c r="Y106" s="260">
        <v>38.5</v>
      </c>
      <c r="Z106" s="250">
        <f t="shared" ref="Z106" si="723">Y106*Y$8</f>
        <v>2.2609125</v>
      </c>
      <c r="AA106" s="260">
        <f>$AM$106/$C$8</f>
        <v>0</v>
      </c>
      <c r="AB106" s="250">
        <f t="shared" ref="AB106" si="724">AA106*AA$8</f>
        <v>0</v>
      </c>
      <c r="AC106" s="250">
        <f>AD106/AC$8</f>
        <v>38.5</v>
      </c>
      <c r="AD106" s="250">
        <f>AF106+AH106+AJ106</f>
        <v>151.5302635</v>
      </c>
      <c r="AE106" s="260">
        <f>$AM$106/$C$8</f>
        <v>0</v>
      </c>
      <c r="AF106" s="250">
        <f t="shared" ref="AF106" si="725">AE106*AE$8</f>
        <v>0</v>
      </c>
      <c r="AG106" s="260">
        <v>38.5</v>
      </c>
      <c r="AH106" s="250">
        <f t="shared" ref="AH106" si="726">AG106*AG$8</f>
        <v>25.3389675</v>
      </c>
      <c r="AI106" s="260">
        <v>38.5</v>
      </c>
      <c r="AJ106" s="250">
        <f t="shared" ref="AJ106" si="727">AI106*AI$8</f>
        <v>126.191296</v>
      </c>
      <c r="AK106" s="295" t="s">
        <v>387</v>
      </c>
      <c r="AL106" s="292">
        <f t="shared" si="532"/>
        <v>515.5803345</v>
      </c>
      <c r="AM106" s="290"/>
      <c r="AN106" s="288"/>
      <c r="AO106" s="288"/>
      <c r="AP106" s="288"/>
      <c r="AQ106" s="288"/>
      <c r="AR106" s="288"/>
      <c r="AS106" s="288"/>
      <c r="AT106" s="288"/>
      <c r="AU106" s="288"/>
      <c r="AV106" s="288"/>
      <c r="AW106" s="288"/>
      <c r="AX106" s="288"/>
      <c r="AY106" s="288"/>
    </row>
    <row r="107" customHeight="1" outlineLevel="2" spans="1:51">
      <c r="A107" s="259" t="s">
        <v>388</v>
      </c>
      <c r="B107" s="259" t="s">
        <v>389</v>
      </c>
      <c r="C107" s="250">
        <f>D107/$C$8</f>
        <v>5.97385081218609</v>
      </c>
      <c r="D107" s="250">
        <f>F107+AD107</f>
        <v>80</v>
      </c>
      <c r="E107" s="250">
        <f>F107/$E$8</f>
        <v>8.46037467192253</v>
      </c>
      <c r="F107" s="250">
        <f>H107+J107+L107+N107+P107+R107+T107+V107+X107+Z107+AB107</f>
        <v>80</v>
      </c>
      <c r="G107" s="260">
        <f>$AM$107/($K$8+$G$8+$S$8+I8)</f>
        <v>8.51324570578585</v>
      </c>
      <c r="H107" s="250">
        <f>G107*G$8</f>
        <v>4.53646175248781</v>
      </c>
      <c r="I107" s="260">
        <f>$AM$107/($G$8+$I$8+K8)</f>
        <v>8.51324570578585</v>
      </c>
      <c r="J107" s="250">
        <f t="shared" si="719"/>
        <v>47.9621960811189</v>
      </c>
      <c r="K107" s="260">
        <f>$AM$107/($G$8+$I$8+K8)</f>
        <v>8.51324570578585</v>
      </c>
      <c r="L107" s="250">
        <f t="shared" ref="L107" si="728">K107*K$8</f>
        <v>27.5013421663933</v>
      </c>
      <c r="M107" s="260"/>
      <c r="N107" s="250">
        <f t="shared" si="699"/>
        <v>0</v>
      </c>
      <c r="O107" s="260"/>
      <c r="P107" s="250">
        <f t="shared" si="700"/>
        <v>0</v>
      </c>
      <c r="Q107" s="260"/>
      <c r="R107" s="250">
        <f t="shared" si="701"/>
        <v>0</v>
      </c>
      <c r="S107" s="260"/>
      <c r="T107" s="250">
        <f t="shared" si="702"/>
        <v>0</v>
      </c>
      <c r="U107" s="260"/>
      <c r="V107" s="250">
        <f t="shared" ref="V107" si="729">U107*U$8</f>
        <v>0</v>
      </c>
      <c r="W107" s="260"/>
      <c r="X107" s="250">
        <f t="shared" ref="X107" si="730">W107*W$8</f>
        <v>0</v>
      </c>
      <c r="Y107" s="260"/>
      <c r="Z107" s="250">
        <f t="shared" ref="Z107" si="731">Y107*Y$8</f>
        <v>0</v>
      </c>
      <c r="AA107" s="260"/>
      <c r="AB107" s="250">
        <f t="shared" ref="AB107" si="732">AA107*AA$8</f>
        <v>0</v>
      </c>
      <c r="AC107" s="250">
        <f>AD107/AC$8</f>
        <v>0</v>
      </c>
      <c r="AD107" s="250">
        <f>AF107+AH107+AJ107</f>
        <v>0</v>
      </c>
      <c r="AE107" s="260"/>
      <c r="AF107" s="250">
        <f t="shared" ref="AF107" si="733">AE107*AE$8</f>
        <v>0</v>
      </c>
      <c r="AG107" s="260"/>
      <c r="AH107" s="250">
        <f t="shared" ref="AH107" si="734">AG107*AG$8</f>
        <v>0</v>
      </c>
      <c r="AI107" s="260"/>
      <c r="AJ107" s="250">
        <f t="shared" ref="AJ107" si="735">AI107*AI$8</f>
        <v>0</v>
      </c>
      <c r="AK107" s="295" t="s">
        <v>390</v>
      </c>
      <c r="AL107" s="292">
        <f t="shared" ref="AL107:AL138" si="736">H107+J107+L107+Z107+AH107+AJ107</f>
        <v>80</v>
      </c>
      <c r="AM107" s="290">
        <f>200*4000/10000</f>
        <v>80</v>
      </c>
      <c r="AN107" s="288"/>
      <c r="AO107" s="288"/>
      <c r="AP107" s="288"/>
      <c r="AQ107" s="288"/>
      <c r="AR107" s="288"/>
      <c r="AS107" s="288"/>
      <c r="AT107" s="288"/>
      <c r="AU107" s="288"/>
      <c r="AV107" s="288"/>
      <c r="AW107" s="288"/>
      <c r="AX107" s="288"/>
      <c r="AY107" s="288"/>
    </row>
    <row r="108" customHeight="1" outlineLevel="2" spans="1:51">
      <c r="A108" s="259" t="s">
        <v>391</v>
      </c>
      <c r="B108" s="259" t="s">
        <v>392</v>
      </c>
      <c r="C108" s="250">
        <f>D108/$C$8</f>
        <v>0</v>
      </c>
      <c r="D108" s="250">
        <f>F108+AD108</f>
        <v>0</v>
      </c>
      <c r="E108" s="250">
        <f>F108/$E$8</f>
        <v>0</v>
      </c>
      <c r="F108" s="250">
        <f>H108+J108+L108+N108+P108+R108+T108+V108+X108+Z108+AB108</f>
        <v>0</v>
      </c>
      <c r="G108" s="260"/>
      <c r="H108" s="250">
        <f>G108*G$8</f>
        <v>0</v>
      </c>
      <c r="I108" s="260"/>
      <c r="J108" s="250">
        <f t="shared" ref="J108" si="737">I108*I$8</f>
        <v>0</v>
      </c>
      <c r="K108" s="260"/>
      <c r="L108" s="250">
        <f t="shared" ref="L108" si="738">K108*K$8</f>
        <v>0</v>
      </c>
      <c r="M108" s="260"/>
      <c r="N108" s="250">
        <f t="shared" si="699"/>
        <v>0</v>
      </c>
      <c r="O108" s="260"/>
      <c r="P108" s="250">
        <f t="shared" si="700"/>
        <v>0</v>
      </c>
      <c r="Q108" s="260"/>
      <c r="R108" s="250">
        <f t="shared" si="701"/>
        <v>0</v>
      </c>
      <c r="S108" s="260"/>
      <c r="T108" s="250">
        <f t="shared" si="702"/>
        <v>0</v>
      </c>
      <c r="U108" s="260"/>
      <c r="V108" s="250">
        <f t="shared" ref="V108" si="739">U108*U$8</f>
        <v>0</v>
      </c>
      <c r="W108" s="260"/>
      <c r="X108" s="250">
        <f t="shared" ref="X108" si="740">W108*W$8</f>
        <v>0</v>
      </c>
      <c r="Y108" s="260"/>
      <c r="Z108" s="250">
        <f t="shared" ref="Z108" si="741">Y108*Y$8</f>
        <v>0</v>
      </c>
      <c r="AA108" s="260"/>
      <c r="AB108" s="250">
        <f t="shared" ref="AB108" si="742">AA108*AA$8</f>
        <v>0</v>
      </c>
      <c r="AC108" s="250">
        <f>AD108/AC$8</f>
        <v>0</v>
      </c>
      <c r="AD108" s="250">
        <f>AF108+AH108+AJ108</f>
        <v>0</v>
      </c>
      <c r="AE108" s="260"/>
      <c r="AF108" s="250">
        <f t="shared" ref="AF108" si="743">AE108*AE$8</f>
        <v>0</v>
      </c>
      <c r="AG108" s="260"/>
      <c r="AH108" s="250">
        <f t="shared" ref="AH108" si="744">AG108*AG$8</f>
        <v>0</v>
      </c>
      <c r="AI108" s="260"/>
      <c r="AJ108" s="250">
        <f t="shared" ref="AJ108" si="745">AI108*AI$8</f>
        <v>0</v>
      </c>
      <c r="AK108" s="295" t="s">
        <v>244</v>
      </c>
      <c r="AL108" s="292">
        <f t="shared" si="736"/>
        <v>0</v>
      </c>
      <c r="AM108" s="290"/>
      <c r="AN108" s="288"/>
      <c r="AO108" s="288"/>
      <c r="AP108" s="288"/>
      <c r="AQ108" s="288"/>
      <c r="AR108" s="288"/>
      <c r="AS108" s="288"/>
      <c r="AT108" s="288"/>
      <c r="AU108" s="288"/>
      <c r="AV108" s="288"/>
      <c r="AW108" s="288"/>
      <c r="AX108" s="288"/>
      <c r="AY108" s="288"/>
    </row>
    <row r="109" customHeight="1" outlineLevel="1" spans="1:51">
      <c r="A109" s="255" t="s">
        <v>393</v>
      </c>
      <c r="B109" s="255" t="s">
        <v>394</v>
      </c>
      <c r="C109" s="309">
        <f>SUM(C110:C114)</f>
        <v>3.6</v>
      </c>
      <c r="D109" s="309">
        <f t="shared" ref="D109:AJ109" si="746">SUM(D110:D114)</f>
        <v>48.2101092</v>
      </c>
      <c r="E109" s="309">
        <f t="shared" si="746"/>
        <v>3.6</v>
      </c>
      <c r="F109" s="309">
        <f t="shared" si="746"/>
        <v>34.0410456</v>
      </c>
      <c r="G109" s="309">
        <f t="shared" si="746"/>
        <v>3.6</v>
      </c>
      <c r="H109" s="309">
        <f t="shared" si="746"/>
        <v>1.9183356</v>
      </c>
      <c r="I109" s="309">
        <f t="shared" si="746"/>
        <v>3.6</v>
      </c>
      <c r="J109" s="309">
        <f t="shared" si="746"/>
        <v>20.2817952</v>
      </c>
      <c r="K109" s="309">
        <f t="shared" si="746"/>
        <v>3.6</v>
      </c>
      <c r="L109" s="309">
        <f t="shared" si="746"/>
        <v>11.6295048</v>
      </c>
      <c r="M109" s="309">
        <f t="shared" si="746"/>
        <v>1.2</v>
      </c>
      <c r="N109" s="309">
        <f t="shared" si="746"/>
        <v>0</v>
      </c>
      <c r="O109" s="309">
        <f t="shared" si="746"/>
        <v>2.2</v>
      </c>
      <c r="P109" s="309">
        <f t="shared" si="746"/>
        <v>0</v>
      </c>
      <c r="Q109" s="309">
        <f t="shared" si="746"/>
        <v>1.2</v>
      </c>
      <c r="R109" s="309">
        <f t="shared" si="746"/>
        <v>0</v>
      </c>
      <c r="S109" s="309">
        <f t="shared" si="746"/>
        <v>3.6</v>
      </c>
      <c r="T109" s="309">
        <f t="shared" si="746"/>
        <v>0</v>
      </c>
      <c r="U109" s="309">
        <f t="shared" si="746"/>
        <v>3.6</v>
      </c>
      <c r="V109" s="309">
        <f t="shared" si="746"/>
        <v>0</v>
      </c>
      <c r="W109" s="309">
        <f t="shared" si="746"/>
        <v>2.8</v>
      </c>
      <c r="X109" s="309">
        <f t="shared" si="746"/>
        <v>0</v>
      </c>
      <c r="Y109" s="309">
        <f t="shared" si="746"/>
        <v>3.6</v>
      </c>
      <c r="Z109" s="309">
        <f t="shared" si="746"/>
        <v>0.21141</v>
      </c>
      <c r="AA109" s="309">
        <f t="shared" si="746"/>
        <v>3.6</v>
      </c>
      <c r="AB109" s="309">
        <f t="shared" si="746"/>
        <v>0</v>
      </c>
      <c r="AC109" s="309">
        <f t="shared" si="746"/>
        <v>3.6</v>
      </c>
      <c r="AD109" s="309">
        <f t="shared" si="746"/>
        <v>14.1690636</v>
      </c>
      <c r="AE109" s="309">
        <f t="shared" si="746"/>
        <v>3.6</v>
      </c>
      <c r="AF109" s="309">
        <f t="shared" si="746"/>
        <v>0</v>
      </c>
      <c r="AG109" s="309">
        <f t="shared" si="746"/>
        <v>3.6</v>
      </c>
      <c r="AH109" s="309">
        <f t="shared" si="746"/>
        <v>2.369358</v>
      </c>
      <c r="AI109" s="309">
        <f t="shared" si="746"/>
        <v>3.6</v>
      </c>
      <c r="AJ109" s="309">
        <f t="shared" si="746"/>
        <v>11.7997056</v>
      </c>
      <c r="AK109" s="295"/>
      <c r="AL109" s="292">
        <f t="shared" si="736"/>
        <v>48.2101092</v>
      </c>
      <c r="AM109" s="290"/>
      <c r="AN109" s="288"/>
      <c r="AO109" s="288"/>
      <c r="AP109" s="288"/>
      <c r="AQ109" s="288"/>
      <c r="AR109" s="288"/>
      <c r="AS109" s="288"/>
      <c r="AT109" s="288"/>
      <c r="AU109" s="288"/>
      <c r="AV109" s="288"/>
      <c r="AW109" s="288"/>
      <c r="AX109" s="288"/>
      <c r="AY109" s="288"/>
    </row>
    <row r="110" customHeight="1" outlineLevel="2" spans="1:51">
      <c r="A110" s="314" t="s">
        <v>395</v>
      </c>
      <c r="B110" s="259" t="s">
        <v>396</v>
      </c>
      <c r="C110" s="250">
        <f>D110/$C$8</f>
        <v>1</v>
      </c>
      <c r="D110" s="250">
        <f>F110+AD110</f>
        <v>13.391697</v>
      </c>
      <c r="E110" s="250">
        <f>F110/$E$8</f>
        <v>1</v>
      </c>
      <c r="F110" s="250">
        <f>H110+J110+L110+N110+P110+R110+T110+V110+X110+Z110+AB110</f>
        <v>9.455846</v>
      </c>
      <c r="G110" s="260">
        <v>1</v>
      </c>
      <c r="H110" s="250">
        <f>G110*G$8</f>
        <v>0.532871</v>
      </c>
      <c r="I110" s="260">
        <v>1</v>
      </c>
      <c r="J110" s="250">
        <f t="shared" ref="J110" si="747">I110*I$8</f>
        <v>5.633832</v>
      </c>
      <c r="K110" s="260">
        <v>1</v>
      </c>
      <c r="L110" s="250">
        <f t="shared" ref="L110" si="748">K110*K$8</f>
        <v>3.230418</v>
      </c>
      <c r="M110" s="260">
        <v>0.2</v>
      </c>
      <c r="N110" s="250">
        <f>M110*M$8</f>
        <v>0</v>
      </c>
      <c r="O110" s="260">
        <v>0.2</v>
      </c>
      <c r="P110" s="250">
        <f>O110*O$8</f>
        <v>0</v>
      </c>
      <c r="Q110" s="260">
        <v>0.2</v>
      </c>
      <c r="R110" s="250">
        <f>Q110*Q$8</f>
        <v>0</v>
      </c>
      <c r="S110" s="260">
        <v>1</v>
      </c>
      <c r="T110" s="250">
        <f>S110*S$8</f>
        <v>0</v>
      </c>
      <c r="U110" s="260">
        <v>1</v>
      </c>
      <c r="V110" s="250">
        <f t="shared" ref="V110" si="749">U110*U$8</f>
        <v>0</v>
      </c>
      <c r="W110" s="260">
        <v>0.2</v>
      </c>
      <c r="X110" s="250">
        <f t="shared" ref="X110" si="750">W110*W$8</f>
        <v>0</v>
      </c>
      <c r="Y110" s="260">
        <v>1</v>
      </c>
      <c r="Z110" s="250">
        <f t="shared" ref="Z110" si="751">Y110*Y$8</f>
        <v>0.058725</v>
      </c>
      <c r="AA110" s="260">
        <v>1</v>
      </c>
      <c r="AB110" s="250">
        <f t="shared" ref="AB110" si="752">AA110*AA$8</f>
        <v>0</v>
      </c>
      <c r="AC110" s="250">
        <f>AD110/AC$8</f>
        <v>1</v>
      </c>
      <c r="AD110" s="250">
        <f>AF110+AH110+AJ110</f>
        <v>3.935851</v>
      </c>
      <c r="AE110" s="260">
        <v>1</v>
      </c>
      <c r="AF110" s="250">
        <f t="shared" ref="AF110" si="753">AE110*AE$8</f>
        <v>0</v>
      </c>
      <c r="AG110" s="260">
        <v>1</v>
      </c>
      <c r="AH110" s="250">
        <f t="shared" ref="AH110" si="754">AG110*AG$8</f>
        <v>0.658155</v>
      </c>
      <c r="AI110" s="260">
        <v>1</v>
      </c>
      <c r="AJ110" s="250">
        <f t="shared" ref="AJ110" si="755">AI110*AI$8</f>
        <v>3.277696</v>
      </c>
      <c r="AK110" s="295" t="s">
        <v>397</v>
      </c>
      <c r="AL110" s="292">
        <f t="shared" si="736"/>
        <v>13.391697</v>
      </c>
      <c r="AM110" s="290"/>
      <c r="AN110" s="288"/>
      <c r="AO110" s="288"/>
      <c r="AP110" s="288"/>
      <c r="AQ110" s="288"/>
      <c r="AR110" s="288"/>
      <c r="AS110" s="288"/>
      <c r="AT110" s="288"/>
      <c r="AU110" s="288"/>
      <c r="AV110" s="288"/>
      <c r="AW110" s="288"/>
      <c r="AX110" s="288"/>
      <c r="AY110" s="288"/>
    </row>
    <row r="111" customHeight="1" outlineLevel="2" spans="1:51">
      <c r="A111" s="259" t="s">
        <v>398</v>
      </c>
      <c r="B111" s="259" t="s">
        <v>399</v>
      </c>
      <c r="C111" s="250">
        <f>D111/$C$8</f>
        <v>0</v>
      </c>
      <c r="D111" s="250">
        <f>F111+AD111</f>
        <v>0</v>
      </c>
      <c r="E111" s="250">
        <f>F111/$E$8</f>
        <v>0</v>
      </c>
      <c r="F111" s="250">
        <f>H111+J111+L111+N111+P111+R111+T111+V111+X111+Z111+AB111</f>
        <v>0</v>
      </c>
      <c r="G111" s="260"/>
      <c r="H111" s="250">
        <f>G111*G$8</f>
        <v>0</v>
      </c>
      <c r="I111" s="260"/>
      <c r="J111" s="250">
        <f t="shared" ref="J111" si="756">I111*I$8</f>
        <v>0</v>
      </c>
      <c r="K111" s="260"/>
      <c r="L111" s="250">
        <f t="shared" ref="L111" si="757">K111*K$8</f>
        <v>0</v>
      </c>
      <c r="M111" s="260"/>
      <c r="N111" s="250">
        <f>M111*M$8</f>
        <v>0</v>
      </c>
      <c r="O111" s="260"/>
      <c r="P111" s="250">
        <f>O111*O$8</f>
        <v>0</v>
      </c>
      <c r="Q111" s="260"/>
      <c r="R111" s="250">
        <f>Q111*Q$8</f>
        <v>0</v>
      </c>
      <c r="S111" s="260"/>
      <c r="T111" s="250">
        <f>S111*S$8</f>
        <v>0</v>
      </c>
      <c r="U111" s="260"/>
      <c r="V111" s="250">
        <f t="shared" ref="V111" si="758">U111*U$8</f>
        <v>0</v>
      </c>
      <c r="W111" s="260"/>
      <c r="X111" s="250">
        <f t="shared" ref="X111" si="759">W111*W$8</f>
        <v>0</v>
      </c>
      <c r="Y111" s="260"/>
      <c r="Z111" s="250">
        <f t="shared" ref="Z111" si="760">Y111*Y$8</f>
        <v>0</v>
      </c>
      <c r="AA111" s="260"/>
      <c r="AB111" s="250">
        <f t="shared" ref="AB111" si="761">AA111*AA$8</f>
        <v>0</v>
      </c>
      <c r="AC111" s="250">
        <f>AD111/AC$8</f>
        <v>0</v>
      </c>
      <c r="AD111" s="250">
        <f>AF111+AH111+AJ111</f>
        <v>0</v>
      </c>
      <c r="AE111" s="260"/>
      <c r="AF111" s="250">
        <f t="shared" ref="AF111" si="762">AE111*AE$8</f>
        <v>0</v>
      </c>
      <c r="AG111" s="260"/>
      <c r="AH111" s="250">
        <f t="shared" ref="AH111" si="763">AG111*AG$8</f>
        <v>0</v>
      </c>
      <c r="AI111" s="260"/>
      <c r="AJ111" s="250">
        <f t="shared" ref="AJ111" si="764">AI111*AI$8</f>
        <v>0</v>
      </c>
      <c r="AK111" s="295" t="s">
        <v>400</v>
      </c>
      <c r="AL111" s="292">
        <f t="shared" si="736"/>
        <v>0</v>
      </c>
      <c r="AM111" s="290"/>
      <c r="AN111" s="288"/>
      <c r="AO111" s="288"/>
      <c r="AP111" s="288"/>
      <c r="AQ111" s="288"/>
      <c r="AR111" s="288"/>
      <c r="AS111" s="288"/>
      <c r="AT111" s="288"/>
      <c r="AU111" s="288"/>
      <c r="AV111" s="288"/>
      <c r="AW111" s="288"/>
      <c r="AX111" s="288"/>
      <c r="AY111" s="288"/>
    </row>
    <row r="112" customHeight="1" outlineLevel="2" spans="1:51">
      <c r="A112" s="259" t="s">
        <v>401</v>
      </c>
      <c r="B112" s="259" t="s">
        <v>402</v>
      </c>
      <c r="C112" s="250">
        <f>D112/$C$8</f>
        <v>0</v>
      </c>
      <c r="D112" s="250">
        <f>F112+AD112</f>
        <v>0</v>
      </c>
      <c r="E112" s="250">
        <f>F112/$E$8</f>
        <v>0</v>
      </c>
      <c r="F112" s="250">
        <f>H112+J112+L112+N112+P112+R112+T112+V112+X112+Z112+AB112</f>
        <v>0</v>
      </c>
      <c r="G112" s="260"/>
      <c r="H112" s="250">
        <f>G112*G$8</f>
        <v>0</v>
      </c>
      <c r="I112" s="260"/>
      <c r="J112" s="250">
        <f t="shared" ref="J112" si="765">I112*I$8</f>
        <v>0</v>
      </c>
      <c r="K112" s="260"/>
      <c r="L112" s="250">
        <f t="shared" ref="L112" si="766">K112*K$8</f>
        <v>0</v>
      </c>
      <c r="M112" s="260"/>
      <c r="N112" s="250">
        <f>M112*M$8</f>
        <v>0</v>
      </c>
      <c r="O112" s="260"/>
      <c r="P112" s="250">
        <f>O112*O$8</f>
        <v>0</v>
      </c>
      <c r="Q112" s="260"/>
      <c r="R112" s="250">
        <f>Q112*Q$8</f>
        <v>0</v>
      </c>
      <c r="S112" s="260"/>
      <c r="T112" s="250">
        <f>S112*S$8</f>
        <v>0</v>
      </c>
      <c r="U112" s="260"/>
      <c r="V112" s="250">
        <f t="shared" ref="V112" si="767">U112*U$8</f>
        <v>0</v>
      </c>
      <c r="W112" s="260"/>
      <c r="X112" s="250">
        <f t="shared" ref="X112" si="768">W112*W$8</f>
        <v>0</v>
      </c>
      <c r="Y112" s="260"/>
      <c r="Z112" s="250">
        <f t="shared" ref="Z112" si="769">Y112*Y$8</f>
        <v>0</v>
      </c>
      <c r="AA112" s="260"/>
      <c r="AB112" s="250">
        <f t="shared" ref="AB112" si="770">AA112*AA$8</f>
        <v>0</v>
      </c>
      <c r="AC112" s="250">
        <f>AD112/AC$8</f>
        <v>0</v>
      </c>
      <c r="AD112" s="250">
        <f>AF112+AH112+AJ112</f>
        <v>0</v>
      </c>
      <c r="AE112" s="260"/>
      <c r="AF112" s="250">
        <f t="shared" ref="AF112" si="771">AE112*AE$8</f>
        <v>0</v>
      </c>
      <c r="AG112" s="260"/>
      <c r="AH112" s="250">
        <f t="shared" ref="AH112" si="772">AG112*AG$8</f>
        <v>0</v>
      </c>
      <c r="AI112" s="260"/>
      <c r="AJ112" s="250">
        <f t="shared" ref="AJ112" si="773">AI112*AI$8</f>
        <v>0</v>
      </c>
      <c r="AK112" s="295" t="s">
        <v>403</v>
      </c>
      <c r="AL112" s="292">
        <f t="shared" si="736"/>
        <v>0</v>
      </c>
      <c r="AM112" s="290"/>
      <c r="AN112" s="288"/>
      <c r="AO112" s="288"/>
      <c r="AP112" s="288"/>
      <c r="AQ112" s="288"/>
      <c r="AR112" s="288"/>
      <c r="AS112" s="288"/>
      <c r="AT112" s="288"/>
      <c r="AU112" s="288"/>
      <c r="AV112" s="288"/>
      <c r="AW112" s="288"/>
      <c r="AX112" s="288"/>
      <c r="AY112" s="288"/>
    </row>
    <row r="113" customHeight="1" outlineLevel="2" spans="1:51">
      <c r="A113" s="259" t="s">
        <v>404</v>
      </c>
      <c r="B113" s="259" t="s">
        <v>405</v>
      </c>
      <c r="C113" s="250">
        <f>D113/$C$8</f>
        <v>1.6</v>
      </c>
      <c r="D113" s="250">
        <f>F113+AD113</f>
        <v>21.4267152</v>
      </c>
      <c r="E113" s="250">
        <f>F113/$E$8</f>
        <v>1.6</v>
      </c>
      <c r="F113" s="250">
        <f>H113+J113+L113+N113+P113+R113+T113+V113+X113+Z113+AB113</f>
        <v>15.1293536</v>
      </c>
      <c r="G113" s="260">
        <v>1.6</v>
      </c>
      <c r="H113" s="250">
        <f>G113*G$8</f>
        <v>0.8525936</v>
      </c>
      <c r="I113" s="260">
        <v>1.6</v>
      </c>
      <c r="J113" s="250">
        <f t="shared" ref="J113" si="774">I113*I$8</f>
        <v>9.0141312</v>
      </c>
      <c r="K113" s="260">
        <v>1.6</v>
      </c>
      <c r="L113" s="250">
        <f t="shared" ref="L113" si="775">K113*K$8</f>
        <v>5.1686688</v>
      </c>
      <c r="M113" s="260"/>
      <c r="N113" s="250">
        <f>M113*M$8</f>
        <v>0</v>
      </c>
      <c r="O113" s="260">
        <v>1</v>
      </c>
      <c r="P113" s="250">
        <f>O113*O$8</f>
        <v>0</v>
      </c>
      <c r="Q113" s="260"/>
      <c r="R113" s="250">
        <f>Q113*Q$8</f>
        <v>0</v>
      </c>
      <c r="S113" s="260">
        <v>1.6</v>
      </c>
      <c r="T113" s="250">
        <f>S113*S$8</f>
        <v>0</v>
      </c>
      <c r="U113" s="260">
        <v>1.6</v>
      </c>
      <c r="V113" s="250">
        <f t="shared" ref="V113" si="776">U113*U$8</f>
        <v>0</v>
      </c>
      <c r="W113" s="260">
        <v>1.6</v>
      </c>
      <c r="X113" s="250">
        <f t="shared" ref="X113" si="777">W113*W$8</f>
        <v>0</v>
      </c>
      <c r="Y113" s="260">
        <v>1.6</v>
      </c>
      <c r="Z113" s="250">
        <f t="shared" ref="Z113" si="778">Y113*Y$8</f>
        <v>0.09396</v>
      </c>
      <c r="AA113" s="260">
        <v>1.6</v>
      </c>
      <c r="AB113" s="250">
        <f t="shared" ref="AB113" si="779">AA113*AA$8</f>
        <v>0</v>
      </c>
      <c r="AC113" s="250">
        <f>AD113/AC$8</f>
        <v>1.6</v>
      </c>
      <c r="AD113" s="250">
        <f>AF113+AH113+AJ113</f>
        <v>6.29736160000001</v>
      </c>
      <c r="AE113" s="260">
        <v>1.6</v>
      </c>
      <c r="AF113" s="250">
        <f t="shared" ref="AF113" si="780">AE113*AE$8</f>
        <v>0</v>
      </c>
      <c r="AG113" s="260">
        <v>1.6</v>
      </c>
      <c r="AH113" s="250">
        <f t="shared" ref="AH113" si="781">AG113*AG$8</f>
        <v>1.053048</v>
      </c>
      <c r="AI113" s="260">
        <v>1.6</v>
      </c>
      <c r="AJ113" s="250">
        <f t="shared" ref="AJ113" si="782">AI113*AI$8</f>
        <v>5.24431360000001</v>
      </c>
      <c r="AK113" s="325" t="s">
        <v>406</v>
      </c>
      <c r="AL113" s="292">
        <f t="shared" si="736"/>
        <v>21.4267152</v>
      </c>
      <c r="AM113" s="290"/>
      <c r="AN113" s="288"/>
      <c r="AO113" s="288"/>
      <c r="AP113" s="288"/>
      <c r="AQ113" s="288"/>
      <c r="AR113" s="288"/>
      <c r="AS113" s="288"/>
      <c r="AT113" s="288"/>
      <c r="AU113" s="288"/>
      <c r="AV113" s="288"/>
      <c r="AW113" s="288"/>
      <c r="AX113" s="288"/>
      <c r="AY113" s="288"/>
    </row>
    <row r="114" customHeight="1" outlineLevel="2" spans="1:51">
      <c r="A114" s="259" t="s">
        <v>407</v>
      </c>
      <c r="B114" s="259" t="s">
        <v>408</v>
      </c>
      <c r="C114" s="250">
        <f>D114/$C$8</f>
        <v>1</v>
      </c>
      <c r="D114" s="250">
        <f>F114+AD114</f>
        <v>13.391697</v>
      </c>
      <c r="E114" s="250">
        <f>F114/$E$8</f>
        <v>1</v>
      </c>
      <c r="F114" s="250">
        <f>H114+J114+L114+N114+P114+R114+T114+V114+X114+Z114+AB114</f>
        <v>9.455846</v>
      </c>
      <c r="G114" s="260">
        <v>1</v>
      </c>
      <c r="H114" s="250">
        <f>G114*G$8</f>
        <v>0.532871</v>
      </c>
      <c r="I114" s="260">
        <v>1</v>
      </c>
      <c r="J114" s="250">
        <f t="shared" ref="J114" si="783">I114*I$8</f>
        <v>5.633832</v>
      </c>
      <c r="K114" s="260">
        <v>1</v>
      </c>
      <c r="L114" s="250">
        <f t="shared" ref="L114" si="784">K114*K$8</f>
        <v>3.230418</v>
      </c>
      <c r="M114" s="260">
        <v>1</v>
      </c>
      <c r="N114" s="250">
        <f>M114*M$8</f>
        <v>0</v>
      </c>
      <c r="O114" s="260">
        <v>1</v>
      </c>
      <c r="P114" s="250">
        <f>O114*O$8</f>
        <v>0</v>
      </c>
      <c r="Q114" s="260">
        <v>1</v>
      </c>
      <c r="R114" s="250">
        <f>Q114*Q$8</f>
        <v>0</v>
      </c>
      <c r="S114" s="260">
        <v>1</v>
      </c>
      <c r="T114" s="250">
        <f>S114*S$8</f>
        <v>0</v>
      </c>
      <c r="U114" s="260">
        <v>1</v>
      </c>
      <c r="V114" s="250">
        <f t="shared" ref="V114" si="785">U114*U$8</f>
        <v>0</v>
      </c>
      <c r="W114" s="260">
        <v>1</v>
      </c>
      <c r="X114" s="250">
        <f t="shared" ref="X114" si="786">W114*W$8</f>
        <v>0</v>
      </c>
      <c r="Y114" s="260">
        <v>1</v>
      </c>
      <c r="Z114" s="250">
        <f t="shared" ref="Z114" si="787">Y114*Y$8</f>
        <v>0.058725</v>
      </c>
      <c r="AA114" s="260">
        <v>1</v>
      </c>
      <c r="AB114" s="250">
        <f t="shared" ref="AB114" si="788">AA114*AA$8</f>
        <v>0</v>
      </c>
      <c r="AC114" s="250">
        <f>AD114/AC$8</f>
        <v>1</v>
      </c>
      <c r="AD114" s="250">
        <f>AF114+AH114+AJ114</f>
        <v>3.935851</v>
      </c>
      <c r="AE114" s="260">
        <v>1</v>
      </c>
      <c r="AF114" s="250">
        <f t="shared" ref="AF114" si="789">AE114*AE$8</f>
        <v>0</v>
      </c>
      <c r="AG114" s="260">
        <v>1</v>
      </c>
      <c r="AH114" s="250">
        <f t="shared" ref="AH114" si="790">AG114*AG$8</f>
        <v>0.658155</v>
      </c>
      <c r="AI114" s="260">
        <v>1</v>
      </c>
      <c r="AJ114" s="250">
        <f t="shared" ref="AJ114" si="791">AI114*AI$8</f>
        <v>3.277696</v>
      </c>
      <c r="AK114" s="295" t="s">
        <v>409</v>
      </c>
      <c r="AL114" s="292">
        <f t="shared" si="736"/>
        <v>13.391697</v>
      </c>
      <c r="AM114" s="290"/>
      <c r="AN114" s="288"/>
      <c r="AO114" s="288"/>
      <c r="AP114" s="288"/>
      <c r="AQ114" s="288"/>
      <c r="AR114" s="288"/>
      <c r="AS114" s="288"/>
      <c r="AT114" s="288"/>
      <c r="AU114" s="288"/>
      <c r="AV114" s="288"/>
      <c r="AW114" s="288"/>
      <c r="AX114" s="288"/>
      <c r="AY114" s="288"/>
    </row>
    <row r="115" customHeight="1" outlineLevel="2" spans="1:51">
      <c r="A115" s="259" t="s">
        <v>410</v>
      </c>
      <c r="B115" s="259" t="s">
        <v>411</v>
      </c>
      <c r="C115" s="250"/>
      <c r="D115" s="250"/>
      <c r="E115" s="250"/>
      <c r="F115" s="250"/>
      <c r="G115" s="260"/>
      <c r="H115" s="250"/>
      <c r="I115" s="260"/>
      <c r="J115" s="250"/>
      <c r="K115" s="260"/>
      <c r="L115" s="250"/>
      <c r="M115" s="260"/>
      <c r="N115" s="250"/>
      <c r="O115" s="260"/>
      <c r="P115" s="250"/>
      <c r="Q115" s="260"/>
      <c r="R115" s="250"/>
      <c r="S115" s="260"/>
      <c r="T115" s="250"/>
      <c r="U115" s="260"/>
      <c r="V115" s="250"/>
      <c r="W115" s="260"/>
      <c r="X115" s="250"/>
      <c r="Y115" s="260"/>
      <c r="Z115" s="250"/>
      <c r="AA115" s="260"/>
      <c r="AB115" s="250"/>
      <c r="AC115" s="250"/>
      <c r="AD115" s="250"/>
      <c r="AE115" s="260"/>
      <c r="AF115" s="250"/>
      <c r="AG115" s="260"/>
      <c r="AH115" s="250"/>
      <c r="AI115" s="260"/>
      <c r="AJ115" s="250"/>
      <c r="AK115" s="295"/>
      <c r="AL115" s="292">
        <f t="shared" si="736"/>
        <v>0</v>
      </c>
      <c r="AM115" s="290"/>
      <c r="AN115" s="288"/>
      <c r="AO115" s="288"/>
      <c r="AP115" s="288"/>
      <c r="AQ115" s="288"/>
      <c r="AR115" s="288"/>
      <c r="AS115" s="288"/>
      <c r="AT115" s="288"/>
      <c r="AU115" s="288"/>
      <c r="AV115" s="288"/>
      <c r="AW115" s="288"/>
      <c r="AX115" s="288"/>
      <c r="AY115" s="288"/>
    </row>
    <row r="116" customHeight="1" outlineLevel="1" spans="1:51">
      <c r="A116" s="255" t="s">
        <v>412</v>
      </c>
      <c r="B116" s="255" t="s">
        <v>413</v>
      </c>
      <c r="C116" s="315">
        <f>D116/$C$8</f>
        <v>5</v>
      </c>
      <c r="D116" s="315">
        <f t="shared" ref="D116:D139" si="792">F116+AD116</f>
        <v>66.958485</v>
      </c>
      <c r="E116" s="315">
        <f>F116/$E$8</f>
        <v>5</v>
      </c>
      <c r="F116" s="315">
        <f t="shared" ref="F116:F162" si="793">H116+J116+L116+N116+P116+R116+T116+V116+X116+Z116+AB116</f>
        <v>47.27923</v>
      </c>
      <c r="G116" s="315">
        <v>5</v>
      </c>
      <c r="H116" s="315">
        <f>G116*G$8</f>
        <v>2.664355</v>
      </c>
      <c r="I116" s="315">
        <v>5</v>
      </c>
      <c r="J116" s="315">
        <f t="shared" ref="J116" si="794">I116*I$8</f>
        <v>28.16916</v>
      </c>
      <c r="K116" s="315">
        <v>5</v>
      </c>
      <c r="L116" s="315">
        <f t="shared" ref="L116" si="795">K116*K$8</f>
        <v>16.15209</v>
      </c>
      <c r="M116" s="315">
        <v>2</v>
      </c>
      <c r="N116" s="315">
        <f>M116*M$8</f>
        <v>0</v>
      </c>
      <c r="O116" s="315">
        <v>2</v>
      </c>
      <c r="P116" s="315">
        <f>O116*O$8</f>
        <v>0</v>
      </c>
      <c r="Q116" s="315">
        <v>2</v>
      </c>
      <c r="R116" s="315">
        <f>Q116*Q$8</f>
        <v>0</v>
      </c>
      <c r="S116" s="315">
        <v>10</v>
      </c>
      <c r="T116" s="315">
        <f>S116*S$8</f>
        <v>0</v>
      </c>
      <c r="U116" s="315">
        <v>10</v>
      </c>
      <c r="V116" s="315">
        <f t="shared" ref="V116" si="796">U116*U$8</f>
        <v>0</v>
      </c>
      <c r="W116" s="315">
        <v>10</v>
      </c>
      <c r="X116" s="315">
        <f t="shared" ref="X116" si="797">W116*W$8</f>
        <v>0</v>
      </c>
      <c r="Y116" s="315">
        <v>5</v>
      </c>
      <c r="Z116" s="315">
        <f t="shared" ref="Z116" si="798">Y116*Y$8</f>
        <v>0.293625</v>
      </c>
      <c r="AA116" s="315">
        <v>10</v>
      </c>
      <c r="AB116" s="315">
        <f t="shared" ref="AB116" si="799">AA116*AA$8</f>
        <v>0</v>
      </c>
      <c r="AC116" s="315">
        <f>AD116/AC$8</f>
        <v>5</v>
      </c>
      <c r="AD116" s="315">
        <f>AF116+AH116+AJ116</f>
        <v>19.679255</v>
      </c>
      <c r="AE116" s="315">
        <v>2</v>
      </c>
      <c r="AF116" s="315">
        <f t="shared" ref="AF116" si="800">AE116*AE$8</f>
        <v>0</v>
      </c>
      <c r="AG116" s="315">
        <v>5</v>
      </c>
      <c r="AH116" s="315">
        <f t="shared" ref="AH116" si="801">AG116*AG$8</f>
        <v>3.290775</v>
      </c>
      <c r="AI116" s="315">
        <v>5</v>
      </c>
      <c r="AJ116" s="315">
        <f t="shared" ref="AJ116" si="802">AI116*AI$8</f>
        <v>16.38848</v>
      </c>
      <c r="AK116" s="295" t="s">
        <v>414</v>
      </c>
      <c r="AL116" s="292">
        <f t="shared" si="736"/>
        <v>66.958485</v>
      </c>
      <c r="AM116" s="290"/>
      <c r="AN116" s="288"/>
      <c r="AO116" s="288"/>
      <c r="AP116" s="288"/>
      <c r="AQ116" s="288"/>
      <c r="AR116" s="288"/>
      <c r="AS116" s="288"/>
      <c r="AT116" s="288"/>
      <c r="AU116" s="288"/>
      <c r="AV116" s="288"/>
      <c r="AW116" s="288"/>
      <c r="AX116" s="288"/>
      <c r="AY116" s="288"/>
    </row>
    <row r="117" customHeight="1" spans="1:51">
      <c r="A117" s="253" t="s">
        <v>415</v>
      </c>
      <c r="B117" s="253" t="s">
        <v>416</v>
      </c>
      <c r="C117" s="254">
        <f>C118+C124+C128+C132+C134+C137+C138+C141+C147+C151+C152+C153+C158+C167+C168+C169</f>
        <v>363.367653106249</v>
      </c>
      <c r="D117" s="254">
        <f>D118+D124+D128+D132+D134+D137+D138+D141+D147+D151+D152+D153+D158+D167+D168+D169</f>
        <v>4866.10951</v>
      </c>
      <c r="E117" s="254">
        <f t="shared" ref="E117:AJ117" si="803">E118+E124+E128+E132+E134+E137+E138+E141+E147+E151+E152+E153+E158+E167+E168+E169</f>
        <v>470.909229591937</v>
      </c>
      <c r="F117" s="254">
        <f t="shared" si="803"/>
        <v>4452.845155</v>
      </c>
      <c r="G117" s="254">
        <f t="shared" si="803"/>
        <v>485.558331300428</v>
      </c>
      <c r="H117" s="254">
        <f t="shared" si="803"/>
        <v>258.73995355839</v>
      </c>
      <c r="I117" s="254">
        <f t="shared" si="803"/>
        <v>461.557942908601</v>
      </c>
      <c r="J117" s="254">
        <f t="shared" si="803"/>
        <v>2600.33990861265</v>
      </c>
      <c r="K117" s="254">
        <f t="shared" si="803"/>
        <v>488.544568482767</v>
      </c>
      <c r="L117" s="254">
        <f t="shared" si="803"/>
        <v>1578.20316782896</v>
      </c>
      <c r="M117" s="254">
        <f t="shared" ref="M117:T117" si="804">M118+M124+M128+M132+M134+M137+M138+M141+M147+M151+M152+M153+M158+M167+M168+M169</f>
        <v>357.238922359709</v>
      </c>
      <c r="N117" s="254">
        <f t="shared" si="804"/>
        <v>0</v>
      </c>
      <c r="O117" s="254">
        <f t="shared" si="804"/>
        <v>357.238922359709</v>
      </c>
      <c r="P117" s="254">
        <f t="shared" si="804"/>
        <v>0</v>
      </c>
      <c r="Q117" s="254">
        <f t="shared" si="804"/>
        <v>357.238922359709</v>
      </c>
      <c r="R117" s="254">
        <f t="shared" si="804"/>
        <v>0</v>
      </c>
      <c r="S117" s="254">
        <f t="shared" si="804"/>
        <v>451.657447991123</v>
      </c>
      <c r="T117" s="254">
        <f t="shared" si="804"/>
        <v>0</v>
      </c>
      <c r="U117" s="254">
        <f t="shared" si="803"/>
        <v>288.733656757616</v>
      </c>
      <c r="V117" s="254">
        <f t="shared" si="803"/>
        <v>0</v>
      </c>
      <c r="W117" s="254">
        <f t="shared" si="803"/>
        <v>268.733656757616</v>
      </c>
      <c r="X117" s="254">
        <f t="shared" si="803"/>
        <v>0</v>
      </c>
      <c r="Y117" s="254">
        <f t="shared" si="803"/>
        <v>265</v>
      </c>
      <c r="Z117" s="254">
        <f t="shared" si="803"/>
        <v>15.562125</v>
      </c>
      <c r="AA117" s="254">
        <f t="shared" si="803"/>
        <v>268.733656757616</v>
      </c>
      <c r="AB117" s="254">
        <f t="shared" si="803"/>
        <v>0</v>
      </c>
      <c r="AC117" s="254">
        <f t="shared" si="803"/>
        <v>105</v>
      </c>
      <c r="AD117" s="254">
        <f t="shared" si="803"/>
        <v>413.264355</v>
      </c>
      <c r="AE117" s="254">
        <f t="shared" si="803"/>
        <v>108.733656757616</v>
      </c>
      <c r="AF117" s="254">
        <f t="shared" si="803"/>
        <v>0</v>
      </c>
      <c r="AG117" s="254">
        <f t="shared" si="803"/>
        <v>105</v>
      </c>
      <c r="AH117" s="254">
        <f t="shared" si="803"/>
        <v>69.106275</v>
      </c>
      <c r="AI117" s="254">
        <f t="shared" si="803"/>
        <v>105</v>
      </c>
      <c r="AJ117" s="254">
        <f t="shared" si="803"/>
        <v>344.15808</v>
      </c>
      <c r="AK117" s="295"/>
      <c r="AL117" s="292">
        <f t="shared" si="736"/>
        <v>4866.10951</v>
      </c>
      <c r="AM117" s="290"/>
      <c r="AN117" s="288"/>
      <c r="AO117" s="288"/>
      <c r="AP117" s="288"/>
      <c r="AQ117" s="288"/>
      <c r="AR117" s="288"/>
      <c r="AS117" s="288"/>
      <c r="AT117" s="288"/>
      <c r="AU117" s="288"/>
      <c r="AV117" s="288"/>
      <c r="AW117" s="288"/>
      <c r="AX117" s="288"/>
      <c r="AY117" s="288"/>
    </row>
    <row r="118" customHeight="1" outlineLevel="1" spans="1:51">
      <c r="A118" s="316" t="s">
        <v>417</v>
      </c>
      <c r="B118" s="316" t="s">
        <v>418</v>
      </c>
      <c r="C118" s="306">
        <f>SUM(C119:C123)</f>
        <v>76.4983784355336</v>
      </c>
      <c r="D118" s="306">
        <f t="shared" ref="D118:AJ118" si="805">SUM(D119:D123)</f>
        <v>1024.443105</v>
      </c>
      <c r="E118" s="306">
        <f t="shared" si="805"/>
        <v>72.9597087346812</v>
      </c>
      <c r="F118" s="306">
        <f t="shared" si="805"/>
        <v>689.89577</v>
      </c>
      <c r="G118" s="306">
        <f t="shared" si="805"/>
        <v>85</v>
      </c>
      <c r="H118" s="306">
        <f t="shared" si="805"/>
        <v>45.294035</v>
      </c>
      <c r="I118" s="306">
        <f t="shared" si="805"/>
        <v>65</v>
      </c>
      <c r="J118" s="306">
        <f t="shared" si="805"/>
        <v>366.19908</v>
      </c>
      <c r="K118" s="306">
        <f t="shared" si="805"/>
        <v>85</v>
      </c>
      <c r="L118" s="306">
        <f t="shared" si="805"/>
        <v>274.58553</v>
      </c>
      <c r="M118" s="306">
        <f t="shared" ref="M118:T118" si="806">SUM(M119:M123)</f>
        <v>85</v>
      </c>
      <c r="N118" s="306">
        <f t="shared" si="806"/>
        <v>0</v>
      </c>
      <c r="O118" s="306">
        <f t="shared" si="806"/>
        <v>85</v>
      </c>
      <c r="P118" s="306">
        <f t="shared" si="806"/>
        <v>0</v>
      </c>
      <c r="Q118" s="306">
        <f t="shared" si="806"/>
        <v>85</v>
      </c>
      <c r="R118" s="306">
        <f t="shared" si="806"/>
        <v>0</v>
      </c>
      <c r="S118" s="306">
        <f t="shared" si="806"/>
        <v>85</v>
      </c>
      <c r="T118" s="306">
        <f t="shared" si="806"/>
        <v>0</v>
      </c>
      <c r="U118" s="306">
        <f t="shared" si="805"/>
        <v>85</v>
      </c>
      <c r="V118" s="306">
        <f t="shared" si="805"/>
        <v>0</v>
      </c>
      <c r="W118" s="306">
        <f t="shared" si="805"/>
        <v>65</v>
      </c>
      <c r="X118" s="306">
        <f t="shared" si="805"/>
        <v>0</v>
      </c>
      <c r="Y118" s="306">
        <f t="shared" si="805"/>
        <v>65</v>
      </c>
      <c r="Z118" s="306">
        <f t="shared" si="805"/>
        <v>3.817125</v>
      </c>
      <c r="AA118" s="306">
        <f t="shared" si="805"/>
        <v>65</v>
      </c>
      <c r="AB118" s="306">
        <f t="shared" si="805"/>
        <v>0</v>
      </c>
      <c r="AC118" s="306">
        <f t="shared" si="805"/>
        <v>85.0000000000001</v>
      </c>
      <c r="AD118" s="306">
        <f t="shared" si="805"/>
        <v>334.547335</v>
      </c>
      <c r="AE118" s="306">
        <f t="shared" si="805"/>
        <v>85</v>
      </c>
      <c r="AF118" s="306">
        <f t="shared" si="805"/>
        <v>0</v>
      </c>
      <c r="AG118" s="306">
        <f t="shared" si="805"/>
        <v>85</v>
      </c>
      <c r="AH118" s="306">
        <f t="shared" si="805"/>
        <v>55.943175</v>
      </c>
      <c r="AI118" s="306">
        <f t="shared" si="805"/>
        <v>85</v>
      </c>
      <c r="AJ118" s="306">
        <f t="shared" si="805"/>
        <v>278.60416</v>
      </c>
      <c r="AK118" s="295"/>
      <c r="AL118" s="292">
        <f t="shared" si="736"/>
        <v>1024.443105</v>
      </c>
      <c r="AM118" s="290"/>
      <c r="AN118" s="288"/>
      <c r="AO118" s="288"/>
      <c r="AP118" s="288"/>
      <c r="AQ118" s="288"/>
      <c r="AR118" s="288"/>
      <c r="AS118" s="288"/>
      <c r="AT118" s="288"/>
      <c r="AU118" s="288"/>
      <c r="AV118" s="288"/>
      <c r="AW118" s="288"/>
      <c r="AX118" s="288"/>
      <c r="AY118" s="288"/>
    </row>
    <row r="119" customHeight="1" outlineLevel="2" spans="1:51">
      <c r="A119" s="269" t="s">
        <v>419</v>
      </c>
      <c r="B119" s="269" t="s">
        <v>420</v>
      </c>
      <c r="C119" s="250">
        <f>D119/$C$8</f>
        <v>0</v>
      </c>
      <c r="D119" s="250">
        <f t="shared" si="792"/>
        <v>0</v>
      </c>
      <c r="E119" s="250">
        <f>F119/$E$8</f>
        <v>0</v>
      </c>
      <c r="F119" s="250">
        <f t="shared" si="793"/>
        <v>0</v>
      </c>
      <c r="G119" s="260"/>
      <c r="H119" s="250">
        <f>G119*G$8</f>
        <v>0</v>
      </c>
      <c r="I119" s="260"/>
      <c r="J119" s="250">
        <f t="shared" ref="J119" si="807">I119*I$8</f>
        <v>0</v>
      </c>
      <c r="K119" s="260"/>
      <c r="L119" s="250">
        <f t="shared" ref="L119" si="808">K119*K$8</f>
        <v>0</v>
      </c>
      <c r="M119" s="260"/>
      <c r="N119" s="250">
        <f t="shared" ref="N119:N123" si="809">M119*M$8</f>
        <v>0</v>
      </c>
      <c r="O119" s="260"/>
      <c r="P119" s="250">
        <f t="shared" ref="P119:P123" si="810">O119*O$8</f>
        <v>0</v>
      </c>
      <c r="Q119" s="260"/>
      <c r="R119" s="250">
        <f t="shared" ref="R119:R123" si="811">Q119*Q$8</f>
        <v>0</v>
      </c>
      <c r="S119" s="260"/>
      <c r="T119" s="250">
        <f t="shared" ref="T119:T123" si="812">S119*S$8</f>
        <v>0</v>
      </c>
      <c r="U119" s="260"/>
      <c r="V119" s="250">
        <f t="shared" ref="V119" si="813">U119*U$8</f>
        <v>0</v>
      </c>
      <c r="W119" s="260"/>
      <c r="X119" s="250">
        <f t="shared" ref="X119" si="814">W119*W$8</f>
        <v>0</v>
      </c>
      <c r="Y119" s="260"/>
      <c r="Z119" s="250">
        <f t="shared" ref="Z119" si="815">Y119*Y$8</f>
        <v>0</v>
      </c>
      <c r="AA119" s="260"/>
      <c r="AB119" s="250">
        <f t="shared" ref="AB119" si="816">AA119*AA$8</f>
        <v>0</v>
      </c>
      <c r="AC119" s="250">
        <f>AD119/AC$8</f>
        <v>0</v>
      </c>
      <c r="AD119" s="250">
        <f>AF119+AH119+AJ119</f>
        <v>0</v>
      </c>
      <c r="AE119" s="260"/>
      <c r="AF119" s="250">
        <f t="shared" ref="AF119" si="817">AE119*AE$8</f>
        <v>0</v>
      </c>
      <c r="AG119" s="260"/>
      <c r="AH119" s="250">
        <f t="shared" ref="AH119" si="818">AG119*AG$8</f>
        <v>0</v>
      </c>
      <c r="AI119" s="260"/>
      <c r="AJ119" s="250">
        <f t="shared" ref="AJ119" si="819">AI119*AI$8</f>
        <v>0</v>
      </c>
      <c r="AK119" s="295" t="s">
        <v>421</v>
      </c>
      <c r="AL119" s="292">
        <f t="shared" si="736"/>
        <v>0</v>
      </c>
      <c r="AM119" s="290"/>
      <c r="AN119" s="288"/>
      <c r="AO119" s="288"/>
      <c r="AP119" s="288"/>
      <c r="AQ119" s="288"/>
      <c r="AR119" s="288"/>
      <c r="AS119" s="288"/>
      <c r="AT119" s="288"/>
      <c r="AU119" s="288"/>
      <c r="AV119" s="288"/>
      <c r="AW119" s="288"/>
      <c r="AX119" s="288"/>
      <c r="AY119" s="288"/>
    </row>
    <row r="120" customHeight="1" outlineLevel="2" spans="1:51">
      <c r="A120" s="269" t="s">
        <v>422</v>
      </c>
      <c r="B120" s="269" t="s">
        <v>423</v>
      </c>
      <c r="C120" s="250">
        <f>D120/$C$8</f>
        <v>76.4983784355336</v>
      </c>
      <c r="D120" s="250">
        <f t="shared" si="792"/>
        <v>1024.443105</v>
      </c>
      <c r="E120" s="250">
        <f>F120/$E$8</f>
        <v>72.9597087346812</v>
      </c>
      <c r="F120" s="250">
        <f t="shared" si="793"/>
        <v>689.89577</v>
      </c>
      <c r="G120" s="260">
        <v>85</v>
      </c>
      <c r="H120" s="250">
        <f>G120*G$8</f>
        <v>45.294035</v>
      </c>
      <c r="I120" s="260">
        <v>65</v>
      </c>
      <c r="J120" s="250">
        <f t="shared" ref="J120" si="820">I120*I$8</f>
        <v>366.19908</v>
      </c>
      <c r="K120" s="260">
        <v>85</v>
      </c>
      <c r="L120" s="250">
        <f t="shared" ref="L120" si="821">K120*K$8</f>
        <v>274.58553</v>
      </c>
      <c r="M120" s="260">
        <v>85</v>
      </c>
      <c r="N120" s="250">
        <f t="shared" si="809"/>
        <v>0</v>
      </c>
      <c r="O120" s="260">
        <v>85</v>
      </c>
      <c r="P120" s="250">
        <f t="shared" si="810"/>
        <v>0</v>
      </c>
      <c r="Q120" s="260">
        <v>85</v>
      </c>
      <c r="R120" s="250">
        <f t="shared" si="811"/>
        <v>0</v>
      </c>
      <c r="S120" s="260">
        <v>85</v>
      </c>
      <c r="T120" s="250">
        <f t="shared" si="812"/>
        <v>0</v>
      </c>
      <c r="U120" s="260">
        <v>85</v>
      </c>
      <c r="V120" s="250">
        <f t="shared" ref="V120" si="822">U120*U$8</f>
        <v>0</v>
      </c>
      <c r="W120" s="260">
        <v>65</v>
      </c>
      <c r="X120" s="250">
        <f t="shared" ref="X120" si="823">W120*W$8</f>
        <v>0</v>
      </c>
      <c r="Y120" s="260">
        <v>65</v>
      </c>
      <c r="Z120" s="250">
        <f t="shared" ref="Z120" si="824">Y120*Y$8</f>
        <v>3.817125</v>
      </c>
      <c r="AA120" s="260">
        <v>65</v>
      </c>
      <c r="AB120" s="250">
        <f t="shared" ref="AB120" si="825">AA120*AA$8</f>
        <v>0</v>
      </c>
      <c r="AC120" s="250">
        <f>AD120/AC$8</f>
        <v>85.0000000000001</v>
      </c>
      <c r="AD120" s="250">
        <f>AF120+AH120+AJ120</f>
        <v>334.547335</v>
      </c>
      <c r="AE120" s="260">
        <v>85</v>
      </c>
      <c r="AF120" s="250">
        <f t="shared" ref="AF120" si="826">AE120*AE$8</f>
        <v>0</v>
      </c>
      <c r="AG120" s="260">
        <v>85</v>
      </c>
      <c r="AH120" s="250">
        <f t="shared" ref="AH120" si="827">AG120*AG$8</f>
        <v>55.943175</v>
      </c>
      <c r="AI120" s="260">
        <v>85</v>
      </c>
      <c r="AJ120" s="250">
        <f t="shared" ref="AJ120" si="828">AI120*AI$8</f>
        <v>278.60416</v>
      </c>
      <c r="AK120" s="295" t="s">
        <v>424</v>
      </c>
      <c r="AL120" s="292">
        <f t="shared" si="736"/>
        <v>1024.443105</v>
      </c>
      <c r="AM120" s="290"/>
      <c r="AN120" s="288"/>
      <c r="AO120" s="288"/>
      <c r="AP120" s="288"/>
      <c r="AQ120" s="288"/>
      <c r="AR120" s="288"/>
      <c r="AS120" s="288"/>
      <c r="AT120" s="288"/>
      <c r="AU120" s="288"/>
      <c r="AV120" s="288"/>
      <c r="AW120" s="288"/>
      <c r="AX120" s="288"/>
      <c r="AY120" s="288"/>
    </row>
    <row r="121" customHeight="1" outlineLevel="2" spans="1:51">
      <c r="A121" s="259" t="s">
        <v>425</v>
      </c>
      <c r="B121" s="259" t="s">
        <v>426</v>
      </c>
      <c r="C121" s="250">
        <f>D121/$C$8</f>
        <v>0</v>
      </c>
      <c r="D121" s="250">
        <f t="shared" si="792"/>
        <v>0</v>
      </c>
      <c r="E121" s="250">
        <f>F121/$E$8</f>
        <v>0</v>
      </c>
      <c r="F121" s="250">
        <f t="shared" si="793"/>
        <v>0</v>
      </c>
      <c r="G121" s="260"/>
      <c r="H121" s="250">
        <f>G121*G$8</f>
        <v>0</v>
      </c>
      <c r="I121" s="260"/>
      <c r="J121" s="250">
        <f t="shared" ref="J121" si="829">I121*I$8</f>
        <v>0</v>
      </c>
      <c r="K121" s="260"/>
      <c r="L121" s="250">
        <f t="shared" ref="L121" si="830">K121*K$8</f>
        <v>0</v>
      </c>
      <c r="M121" s="260"/>
      <c r="N121" s="250">
        <f t="shared" si="809"/>
        <v>0</v>
      </c>
      <c r="O121" s="260"/>
      <c r="P121" s="250">
        <f t="shared" si="810"/>
        <v>0</v>
      </c>
      <c r="Q121" s="260"/>
      <c r="R121" s="250">
        <f t="shared" si="811"/>
        <v>0</v>
      </c>
      <c r="S121" s="260"/>
      <c r="T121" s="250">
        <f t="shared" si="812"/>
        <v>0</v>
      </c>
      <c r="U121" s="260"/>
      <c r="V121" s="250">
        <f t="shared" ref="V121" si="831">U121*U$8</f>
        <v>0</v>
      </c>
      <c r="W121" s="260"/>
      <c r="X121" s="250">
        <f t="shared" ref="X121" si="832">W121*W$8</f>
        <v>0</v>
      </c>
      <c r="Y121" s="260"/>
      <c r="Z121" s="250">
        <f t="shared" ref="Z121" si="833">Y121*Y$8</f>
        <v>0</v>
      </c>
      <c r="AA121" s="260"/>
      <c r="AB121" s="250">
        <f t="shared" ref="AB121" si="834">AA121*AA$8</f>
        <v>0</v>
      </c>
      <c r="AC121" s="250">
        <f>AD121/AC$8</f>
        <v>0</v>
      </c>
      <c r="AD121" s="250">
        <f>AF121+AH121+AJ121</f>
        <v>0</v>
      </c>
      <c r="AE121" s="260"/>
      <c r="AF121" s="250">
        <f t="shared" ref="AF121" si="835">AE121*AE$8</f>
        <v>0</v>
      </c>
      <c r="AG121" s="260"/>
      <c r="AH121" s="250">
        <f t="shared" ref="AH121" si="836">AG121*AG$8</f>
        <v>0</v>
      </c>
      <c r="AI121" s="260"/>
      <c r="AJ121" s="250">
        <f t="shared" ref="AJ121" si="837">AI121*AI$8</f>
        <v>0</v>
      </c>
      <c r="AK121" s="295"/>
      <c r="AL121" s="292">
        <f t="shared" si="736"/>
        <v>0</v>
      </c>
      <c r="AM121" s="290"/>
      <c r="AN121" s="288"/>
      <c r="AO121" s="288"/>
      <c r="AP121" s="288"/>
      <c r="AQ121" s="288"/>
      <c r="AR121" s="288"/>
      <c r="AS121" s="288"/>
      <c r="AT121" s="288"/>
      <c r="AU121" s="288"/>
      <c r="AV121" s="288"/>
      <c r="AW121" s="288"/>
      <c r="AX121" s="288"/>
      <c r="AY121" s="288"/>
    </row>
    <row r="122" customHeight="1" outlineLevel="2" spans="1:51">
      <c r="A122" s="259" t="s">
        <v>427</v>
      </c>
      <c r="B122" s="259" t="s">
        <v>428</v>
      </c>
      <c r="C122" s="250">
        <f>D122/$C$8</f>
        <v>0</v>
      </c>
      <c r="D122" s="250">
        <f t="shared" si="792"/>
        <v>0</v>
      </c>
      <c r="E122" s="250">
        <f>F122/$E$8</f>
        <v>0</v>
      </c>
      <c r="F122" s="250">
        <f t="shared" si="793"/>
        <v>0</v>
      </c>
      <c r="G122" s="260"/>
      <c r="H122" s="250">
        <f>G122*G$8</f>
        <v>0</v>
      </c>
      <c r="I122" s="260"/>
      <c r="J122" s="250">
        <f t="shared" ref="J122" si="838">I122*I$8</f>
        <v>0</v>
      </c>
      <c r="K122" s="260"/>
      <c r="L122" s="250">
        <f t="shared" ref="L122" si="839">K122*K$8</f>
        <v>0</v>
      </c>
      <c r="M122" s="260"/>
      <c r="N122" s="250">
        <f t="shared" si="809"/>
        <v>0</v>
      </c>
      <c r="O122" s="260"/>
      <c r="P122" s="250">
        <f t="shared" si="810"/>
        <v>0</v>
      </c>
      <c r="Q122" s="260"/>
      <c r="R122" s="250">
        <f t="shared" si="811"/>
        <v>0</v>
      </c>
      <c r="S122" s="260"/>
      <c r="T122" s="250">
        <f t="shared" si="812"/>
        <v>0</v>
      </c>
      <c r="U122" s="260"/>
      <c r="V122" s="250">
        <f t="shared" ref="V122" si="840">U122*U$8</f>
        <v>0</v>
      </c>
      <c r="W122" s="260"/>
      <c r="X122" s="250">
        <f t="shared" ref="X122" si="841">W122*W$8</f>
        <v>0</v>
      </c>
      <c r="Y122" s="260"/>
      <c r="Z122" s="250">
        <f t="shared" ref="Z122" si="842">Y122*Y$8</f>
        <v>0</v>
      </c>
      <c r="AA122" s="260"/>
      <c r="AB122" s="250">
        <f t="shared" ref="AB122" si="843">AA122*AA$8</f>
        <v>0</v>
      </c>
      <c r="AC122" s="250">
        <f>AD122/AC$8</f>
        <v>0</v>
      </c>
      <c r="AD122" s="250">
        <f>AF122+AH122+AJ122</f>
        <v>0</v>
      </c>
      <c r="AE122" s="260"/>
      <c r="AF122" s="250">
        <f t="shared" ref="AF122" si="844">AE122*AE$8</f>
        <v>0</v>
      </c>
      <c r="AG122" s="260"/>
      <c r="AH122" s="250">
        <f t="shared" ref="AH122" si="845">AG122*AG$8</f>
        <v>0</v>
      </c>
      <c r="AI122" s="260"/>
      <c r="AJ122" s="250">
        <f t="shared" ref="AJ122" si="846">AI122*AI$8</f>
        <v>0</v>
      </c>
      <c r="AK122" s="295"/>
      <c r="AL122" s="292">
        <f t="shared" si="736"/>
        <v>0</v>
      </c>
      <c r="AM122" s="290"/>
      <c r="AN122" s="288"/>
      <c r="AO122" s="288"/>
      <c r="AP122" s="288"/>
      <c r="AQ122" s="288"/>
      <c r="AR122" s="288"/>
      <c r="AS122" s="288"/>
      <c r="AT122" s="288"/>
      <c r="AU122" s="288"/>
      <c r="AV122" s="288"/>
      <c r="AW122" s="288"/>
      <c r="AX122" s="288"/>
      <c r="AY122" s="288"/>
    </row>
    <row r="123" customHeight="1" outlineLevel="2" spans="1:51">
      <c r="A123" s="259" t="s">
        <v>429</v>
      </c>
      <c r="B123" s="259" t="s">
        <v>430</v>
      </c>
      <c r="C123" s="250">
        <f>D123/$C$8</f>
        <v>0</v>
      </c>
      <c r="D123" s="250">
        <f t="shared" si="792"/>
        <v>0</v>
      </c>
      <c r="E123" s="250">
        <f>F123/$E$8</f>
        <v>0</v>
      </c>
      <c r="F123" s="250">
        <f t="shared" si="793"/>
        <v>0</v>
      </c>
      <c r="G123" s="260"/>
      <c r="H123" s="250">
        <f>G123*G$8</f>
        <v>0</v>
      </c>
      <c r="I123" s="260"/>
      <c r="J123" s="250">
        <f t="shared" ref="J123" si="847">I123*I$8</f>
        <v>0</v>
      </c>
      <c r="K123" s="260"/>
      <c r="L123" s="250">
        <f t="shared" ref="L123" si="848">K123*K$8</f>
        <v>0</v>
      </c>
      <c r="M123" s="260"/>
      <c r="N123" s="250">
        <f t="shared" si="809"/>
        <v>0</v>
      </c>
      <c r="O123" s="260"/>
      <c r="P123" s="250">
        <f t="shared" si="810"/>
        <v>0</v>
      </c>
      <c r="Q123" s="260"/>
      <c r="R123" s="250">
        <f t="shared" si="811"/>
        <v>0</v>
      </c>
      <c r="S123" s="260"/>
      <c r="T123" s="250">
        <f t="shared" si="812"/>
        <v>0</v>
      </c>
      <c r="U123" s="260"/>
      <c r="V123" s="250">
        <f t="shared" ref="V123" si="849">U123*U$8</f>
        <v>0</v>
      </c>
      <c r="W123" s="260"/>
      <c r="X123" s="250">
        <f t="shared" ref="X123" si="850">W123*W$8</f>
        <v>0</v>
      </c>
      <c r="Y123" s="260"/>
      <c r="Z123" s="250">
        <f t="shared" ref="Z123" si="851">Y123*Y$8</f>
        <v>0</v>
      </c>
      <c r="AA123" s="260"/>
      <c r="AB123" s="250">
        <f t="shared" ref="AB123" si="852">AA123*AA$8</f>
        <v>0</v>
      </c>
      <c r="AC123" s="250">
        <f>AD123/AC$8</f>
        <v>0</v>
      </c>
      <c r="AD123" s="250">
        <f>AF123+AH123+AJ123</f>
        <v>0</v>
      </c>
      <c r="AE123" s="260"/>
      <c r="AF123" s="250">
        <f t="shared" ref="AF123" si="853">AE123*AE$8</f>
        <v>0</v>
      </c>
      <c r="AG123" s="260"/>
      <c r="AH123" s="250">
        <f t="shared" ref="AH123" si="854">AG123*AG$8</f>
        <v>0</v>
      </c>
      <c r="AI123" s="260"/>
      <c r="AJ123" s="250">
        <f t="shared" ref="AJ123" si="855">AI123*AI$8</f>
        <v>0</v>
      </c>
      <c r="AK123" s="295"/>
      <c r="AL123" s="292">
        <f t="shared" si="736"/>
        <v>0</v>
      </c>
      <c r="AM123" s="290"/>
      <c r="AN123" s="288"/>
      <c r="AO123" s="288"/>
      <c r="AP123" s="288"/>
      <c r="AQ123" s="288"/>
      <c r="AR123" s="288"/>
      <c r="AS123" s="288"/>
      <c r="AT123" s="288"/>
      <c r="AU123" s="288"/>
      <c r="AV123" s="288"/>
      <c r="AW123" s="288"/>
      <c r="AX123" s="288"/>
      <c r="AY123" s="288"/>
    </row>
    <row r="124" customHeight="1" outlineLevel="1" spans="1:51">
      <c r="A124" s="255" t="s">
        <v>431</v>
      </c>
      <c r="B124" s="255" t="s">
        <v>432</v>
      </c>
      <c r="C124" s="306">
        <f>SUM(C125:C127)</f>
        <v>35.3048833168791</v>
      </c>
      <c r="D124" s="306">
        <f t="shared" ref="D124:AJ124" si="856">SUM(D125:D127)</f>
        <v>472.7923</v>
      </c>
      <c r="E124" s="306">
        <f t="shared" si="856"/>
        <v>50</v>
      </c>
      <c r="F124" s="306">
        <f t="shared" si="856"/>
        <v>472.7923</v>
      </c>
      <c r="G124" s="306">
        <f t="shared" si="856"/>
        <v>50</v>
      </c>
      <c r="H124" s="306">
        <f t="shared" si="856"/>
        <v>26.64355</v>
      </c>
      <c r="I124" s="306">
        <f t="shared" si="856"/>
        <v>50</v>
      </c>
      <c r="J124" s="306">
        <f t="shared" si="856"/>
        <v>281.6916</v>
      </c>
      <c r="K124" s="306">
        <f t="shared" si="856"/>
        <v>50</v>
      </c>
      <c r="L124" s="306">
        <f t="shared" si="856"/>
        <v>161.5209</v>
      </c>
      <c r="M124" s="306">
        <f t="shared" si="856"/>
        <v>50</v>
      </c>
      <c r="N124" s="306">
        <f t="shared" si="856"/>
        <v>0</v>
      </c>
      <c r="O124" s="306">
        <f t="shared" si="856"/>
        <v>50</v>
      </c>
      <c r="P124" s="306">
        <f t="shared" si="856"/>
        <v>0</v>
      </c>
      <c r="Q124" s="306">
        <f t="shared" si="856"/>
        <v>50</v>
      </c>
      <c r="R124" s="306">
        <f t="shared" si="856"/>
        <v>0</v>
      </c>
      <c r="S124" s="306">
        <f t="shared" si="856"/>
        <v>50</v>
      </c>
      <c r="T124" s="306">
        <f t="shared" si="856"/>
        <v>0</v>
      </c>
      <c r="U124" s="306">
        <f t="shared" si="856"/>
        <v>50</v>
      </c>
      <c r="V124" s="306">
        <f t="shared" si="856"/>
        <v>0</v>
      </c>
      <c r="W124" s="306">
        <f t="shared" si="856"/>
        <v>50</v>
      </c>
      <c r="X124" s="306">
        <f t="shared" si="856"/>
        <v>0</v>
      </c>
      <c r="Y124" s="306">
        <f t="shared" si="856"/>
        <v>50</v>
      </c>
      <c r="Z124" s="306">
        <f t="shared" si="856"/>
        <v>2.93625</v>
      </c>
      <c r="AA124" s="306">
        <f t="shared" si="856"/>
        <v>50</v>
      </c>
      <c r="AB124" s="306">
        <f t="shared" si="856"/>
        <v>0</v>
      </c>
      <c r="AC124" s="306">
        <f t="shared" si="856"/>
        <v>0</v>
      </c>
      <c r="AD124" s="306">
        <f t="shared" si="856"/>
        <v>0</v>
      </c>
      <c r="AE124" s="306">
        <f t="shared" si="856"/>
        <v>0</v>
      </c>
      <c r="AF124" s="306">
        <f t="shared" si="856"/>
        <v>0</v>
      </c>
      <c r="AG124" s="306">
        <f t="shared" si="856"/>
        <v>0</v>
      </c>
      <c r="AH124" s="306">
        <f t="shared" si="856"/>
        <v>0</v>
      </c>
      <c r="AI124" s="306">
        <f t="shared" si="856"/>
        <v>0</v>
      </c>
      <c r="AJ124" s="306">
        <f t="shared" si="856"/>
        <v>0</v>
      </c>
      <c r="AK124" s="295"/>
      <c r="AL124" s="292">
        <f t="shared" si="736"/>
        <v>472.7923</v>
      </c>
      <c r="AM124" s="290"/>
      <c r="AN124" s="288"/>
      <c r="AO124" s="288"/>
      <c r="AP124" s="288"/>
      <c r="AQ124" s="288"/>
      <c r="AR124" s="288"/>
      <c r="AS124" s="288"/>
      <c r="AT124" s="288"/>
      <c r="AU124" s="288"/>
      <c r="AV124" s="288"/>
      <c r="AW124" s="288"/>
      <c r="AX124" s="288"/>
      <c r="AY124" s="288"/>
    </row>
    <row r="125" customHeight="1" outlineLevel="2" spans="1:51">
      <c r="A125" s="269" t="s">
        <v>433</v>
      </c>
      <c r="B125" s="269" t="s">
        <v>434</v>
      </c>
      <c r="C125" s="250">
        <f>D125/$C$8</f>
        <v>0</v>
      </c>
      <c r="D125" s="250">
        <f t="shared" si="792"/>
        <v>0</v>
      </c>
      <c r="E125" s="250">
        <f>F125/$E$8</f>
        <v>0</v>
      </c>
      <c r="F125" s="250">
        <f t="shared" si="793"/>
        <v>0</v>
      </c>
      <c r="G125" s="260"/>
      <c r="H125" s="250">
        <f>G125*G$8</f>
        <v>0</v>
      </c>
      <c r="I125" s="260"/>
      <c r="J125" s="250">
        <f t="shared" ref="J125" si="857">I125*I$8</f>
        <v>0</v>
      </c>
      <c r="K125" s="260"/>
      <c r="L125" s="250">
        <f t="shared" ref="L125" si="858">K125*K$8</f>
        <v>0</v>
      </c>
      <c r="M125" s="260"/>
      <c r="N125" s="250">
        <f t="shared" ref="N125:N127" si="859">M125*M$8</f>
        <v>0</v>
      </c>
      <c r="O125" s="260"/>
      <c r="P125" s="250">
        <f t="shared" ref="P125:P127" si="860">O125*O$8</f>
        <v>0</v>
      </c>
      <c r="Q125" s="260"/>
      <c r="R125" s="250">
        <f t="shared" ref="R125:R127" si="861">Q125*Q$8</f>
        <v>0</v>
      </c>
      <c r="S125" s="260"/>
      <c r="T125" s="250">
        <f t="shared" ref="T125:T127" si="862">S125*S$8</f>
        <v>0</v>
      </c>
      <c r="U125" s="260"/>
      <c r="V125" s="250">
        <f t="shared" ref="V125" si="863">U125*U$8</f>
        <v>0</v>
      </c>
      <c r="W125" s="260"/>
      <c r="X125" s="250">
        <f t="shared" ref="X125" si="864">W125*W$8</f>
        <v>0</v>
      </c>
      <c r="Y125" s="260"/>
      <c r="Z125" s="250">
        <f t="shared" ref="Z125" si="865">Y125*Y$8</f>
        <v>0</v>
      </c>
      <c r="AA125" s="260"/>
      <c r="AB125" s="250">
        <f t="shared" ref="AB125" si="866">AA125*AA$8</f>
        <v>0</v>
      </c>
      <c r="AC125" s="250">
        <f>AD125/AC$8</f>
        <v>0</v>
      </c>
      <c r="AD125" s="250">
        <f>AF125+AH125+AJ125</f>
        <v>0</v>
      </c>
      <c r="AE125" s="260"/>
      <c r="AF125" s="250">
        <f t="shared" ref="AF125" si="867">AE125*AE$8</f>
        <v>0</v>
      </c>
      <c r="AG125" s="260"/>
      <c r="AH125" s="250">
        <f t="shared" ref="AH125" si="868">AG125*AG$8</f>
        <v>0</v>
      </c>
      <c r="AI125" s="260"/>
      <c r="AJ125" s="250">
        <f t="shared" ref="AJ125" si="869">AI125*AI$8</f>
        <v>0</v>
      </c>
      <c r="AK125" s="295"/>
      <c r="AL125" s="292">
        <f t="shared" si="736"/>
        <v>0</v>
      </c>
      <c r="AM125" s="290"/>
      <c r="AN125" s="288"/>
      <c r="AO125" s="288"/>
      <c r="AP125" s="288"/>
      <c r="AQ125" s="288"/>
      <c r="AR125" s="288"/>
      <c r="AS125" s="288"/>
      <c r="AT125" s="288"/>
      <c r="AU125" s="288"/>
      <c r="AV125" s="288"/>
      <c r="AW125" s="288"/>
      <c r="AX125" s="288"/>
      <c r="AY125" s="288"/>
    </row>
    <row r="126" customHeight="1" outlineLevel="2" spans="1:51">
      <c r="A126" s="269" t="s">
        <v>435</v>
      </c>
      <c r="B126" s="269" t="s">
        <v>436</v>
      </c>
      <c r="C126" s="250">
        <f>D126/$C$8</f>
        <v>35.3048833168791</v>
      </c>
      <c r="D126" s="250">
        <f t="shared" si="792"/>
        <v>472.7923</v>
      </c>
      <c r="E126" s="250">
        <f>F126/$E$8</f>
        <v>50</v>
      </c>
      <c r="F126" s="250">
        <f t="shared" si="793"/>
        <v>472.7923</v>
      </c>
      <c r="G126" s="260">
        <v>50</v>
      </c>
      <c r="H126" s="250">
        <f>G126*G$8</f>
        <v>26.64355</v>
      </c>
      <c r="I126" s="260">
        <v>50</v>
      </c>
      <c r="J126" s="250">
        <f t="shared" ref="J126" si="870">I126*I$8</f>
        <v>281.6916</v>
      </c>
      <c r="K126" s="260">
        <v>50</v>
      </c>
      <c r="L126" s="250">
        <f t="shared" ref="L126" si="871">K126*K$8</f>
        <v>161.5209</v>
      </c>
      <c r="M126" s="260">
        <v>50</v>
      </c>
      <c r="N126" s="250">
        <f t="shared" si="859"/>
        <v>0</v>
      </c>
      <c r="O126" s="260">
        <v>50</v>
      </c>
      <c r="P126" s="250">
        <f t="shared" si="860"/>
        <v>0</v>
      </c>
      <c r="Q126" s="260">
        <v>50</v>
      </c>
      <c r="R126" s="250">
        <f t="shared" si="861"/>
        <v>0</v>
      </c>
      <c r="S126" s="260">
        <v>50</v>
      </c>
      <c r="T126" s="250">
        <f t="shared" si="862"/>
        <v>0</v>
      </c>
      <c r="U126" s="260">
        <v>50</v>
      </c>
      <c r="V126" s="250">
        <f t="shared" ref="V126" si="872">U126*U$8</f>
        <v>0</v>
      </c>
      <c r="W126" s="260">
        <v>50</v>
      </c>
      <c r="X126" s="250">
        <f t="shared" ref="X126" si="873">W126*W$8</f>
        <v>0</v>
      </c>
      <c r="Y126" s="260">
        <v>50</v>
      </c>
      <c r="Z126" s="250">
        <f t="shared" ref="Z126" si="874">Y126*Y$8</f>
        <v>2.93625</v>
      </c>
      <c r="AA126" s="260">
        <v>50</v>
      </c>
      <c r="AB126" s="250">
        <f t="shared" ref="AB126" si="875">AA126*AA$8</f>
        <v>0</v>
      </c>
      <c r="AC126" s="250">
        <f>AD126/AC$8</f>
        <v>0</v>
      </c>
      <c r="AD126" s="250">
        <f>AF126+AH126+AJ126</f>
        <v>0</v>
      </c>
      <c r="AE126" s="260"/>
      <c r="AF126" s="250">
        <f t="shared" ref="AF126" si="876">AE126*AE$8</f>
        <v>0</v>
      </c>
      <c r="AG126" s="260"/>
      <c r="AH126" s="250">
        <f t="shared" ref="AH126" si="877">AG126*AG$8</f>
        <v>0</v>
      </c>
      <c r="AI126" s="260"/>
      <c r="AJ126" s="250">
        <f t="shared" ref="AJ126" si="878">AI126*AI$8</f>
        <v>0</v>
      </c>
      <c r="AK126" s="295" t="s">
        <v>437</v>
      </c>
      <c r="AL126" s="292">
        <f t="shared" si="736"/>
        <v>472.7923</v>
      </c>
      <c r="AM126" s="290"/>
      <c r="AN126" s="288"/>
      <c r="AO126" s="288"/>
      <c r="AP126" s="288"/>
      <c r="AQ126" s="288"/>
      <c r="AR126" s="288"/>
      <c r="AS126" s="288"/>
      <c r="AT126" s="288"/>
      <c r="AU126" s="288"/>
      <c r="AV126" s="288"/>
      <c r="AW126" s="288"/>
      <c r="AX126" s="288"/>
      <c r="AY126" s="288"/>
    </row>
    <row r="127" customHeight="1" outlineLevel="2" spans="1:51">
      <c r="A127" s="259" t="s">
        <v>438</v>
      </c>
      <c r="B127" s="259" t="s">
        <v>439</v>
      </c>
      <c r="C127" s="250">
        <f>D127/$C$8</f>
        <v>0</v>
      </c>
      <c r="D127" s="250">
        <f t="shared" si="792"/>
        <v>0</v>
      </c>
      <c r="E127" s="250">
        <f>F127/$E$8</f>
        <v>0</v>
      </c>
      <c r="F127" s="250">
        <f t="shared" si="793"/>
        <v>0</v>
      </c>
      <c r="G127" s="260"/>
      <c r="H127" s="250">
        <f>G127*G$8</f>
        <v>0</v>
      </c>
      <c r="I127" s="260"/>
      <c r="J127" s="250">
        <f t="shared" ref="J127" si="879">I127*I$8</f>
        <v>0</v>
      </c>
      <c r="K127" s="260"/>
      <c r="L127" s="250">
        <f t="shared" ref="L127" si="880">K127*K$8</f>
        <v>0</v>
      </c>
      <c r="M127" s="260"/>
      <c r="N127" s="250">
        <f t="shared" si="859"/>
        <v>0</v>
      </c>
      <c r="O127" s="260"/>
      <c r="P127" s="250">
        <f t="shared" si="860"/>
        <v>0</v>
      </c>
      <c r="Q127" s="260"/>
      <c r="R127" s="250">
        <f t="shared" si="861"/>
        <v>0</v>
      </c>
      <c r="S127" s="260"/>
      <c r="T127" s="250">
        <f t="shared" si="862"/>
        <v>0</v>
      </c>
      <c r="U127" s="260"/>
      <c r="V127" s="250">
        <f t="shared" ref="V127" si="881">U127*U$8</f>
        <v>0</v>
      </c>
      <c r="W127" s="260"/>
      <c r="X127" s="250">
        <f t="shared" ref="X127" si="882">W127*W$8</f>
        <v>0</v>
      </c>
      <c r="Y127" s="260"/>
      <c r="Z127" s="250">
        <f t="shared" ref="Z127" si="883">Y127*Y$8</f>
        <v>0</v>
      </c>
      <c r="AA127" s="260"/>
      <c r="AB127" s="250">
        <f t="shared" ref="AB127" si="884">AA127*AA$8</f>
        <v>0</v>
      </c>
      <c r="AC127" s="250">
        <f>AD127/AC$8</f>
        <v>0</v>
      </c>
      <c r="AD127" s="250">
        <f>AF127+AH127+AJ127</f>
        <v>0</v>
      </c>
      <c r="AE127" s="260"/>
      <c r="AF127" s="250">
        <f t="shared" ref="AF127" si="885">AE127*AE$8</f>
        <v>0</v>
      </c>
      <c r="AG127" s="260"/>
      <c r="AH127" s="250">
        <f t="shared" ref="AH127" si="886">AG127*AG$8</f>
        <v>0</v>
      </c>
      <c r="AI127" s="260"/>
      <c r="AJ127" s="250">
        <f t="shared" ref="AJ127" si="887">AI127*AI$8</f>
        <v>0</v>
      </c>
      <c r="AK127" s="295"/>
      <c r="AL127" s="292">
        <f t="shared" si="736"/>
        <v>0</v>
      </c>
      <c r="AM127" s="290"/>
      <c r="AN127" s="288"/>
      <c r="AO127" s="288"/>
      <c r="AP127" s="288"/>
      <c r="AQ127" s="288"/>
      <c r="AR127" s="288"/>
      <c r="AS127" s="288"/>
      <c r="AT127" s="288"/>
      <c r="AU127" s="288"/>
      <c r="AV127" s="288"/>
      <c r="AW127" s="288"/>
      <c r="AX127" s="288"/>
      <c r="AY127" s="288"/>
    </row>
    <row r="128" customHeight="1" outlineLevel="1" spans="1:51">
      <c r="A128" s="255" t="s">
        <v>440</v>
      </c>
      <c r="B128" s="255" t="s">
        <v>441</v>
      </c>
      <c r="C128" s="306">
        <f>SUM(C129:C131)</f>
        <v>0</v>
      </c>
      <c r="D128" s="306">
        <f t="shared" ref="D128:AJ128" si="888">SUM(D129:D131)</f>
        <v>0</v>
      </c>
      <c r="E128" s="306">
        <f t="shared" si="888"/>
        <v>0</v>
      </c>
      <c r="F128" s="306">
        <f t="shared" si="888"/>
        <v>0</v>
      </c>
      <c r="G128" s="306">
        <f t="shared" si="888"/>
        <v>0</v>
      </c>
      <c r="H128" s="306">
        <f t="shared" si="888"/>
        <v>0</v>
      </c>
      <c r="I128" s="306">
        <f t="shared" si="888"/>
        <v>0</v>
      </c>
      <c r="J128" s="306">
        <f t="shared" si="888"/>
        <v>0</v>
      </c>
      <c r="K128" s="306">
        <f t="shared" si="888"/>
        <v>0</v>
      </c>
      <c r="L128" s="306">
        <f t="shared" si="888"/>
        <v>0</v>
      </c>
      <c r="M128" s="306">
        <f t="shared" si="888"/>
        <v>0</v>
      </c>
      <c r="N128" s="306">
        <f t="shared" si="888"/>
        <v>0</v>
      </c>
      <c r="O128" s="306">
        <f t="shared" si="888"/>
        <v>0</v>
      </c>
      <c r="P128" s="306">
        <f t="shared" si="888"/>
        <v>0</v>
      </c>
      <c r="Q128" s="306">
        <f t="shared" si="888"/>
        <v>0</v>
      </c>
      <c r="R128" s="306">
        <f t="shared" si="888"/>
        <v>0</v>
      </c>
      <c r="S128" s="306">
        <f t="shared" si="888"/>
        <v>0</v>
      </c>
      <c r="T128" s="306">
        <f t="shared" si="888"/>
        <v>0</v>
      </c>
      <c r="U128" s="306">
        <f t="shared" si="888"/>
        <v>0</v>
      </c>
      <c r="V128" s="306">
        <f t="shared" si="888"/>
        <v>0</v>
      </c>
      <c r="W128" s="306">
        <f t="shared" si="888"/>
        <v>0</v>
      </c>
      <c r="X128" s="306">
        <f t="shared" si="888"/>
        <v>0</v>
      </c>
      <c r="Y128" s="306">
        <f t="shared" si="888"/>
        <v>0</v>
      </c>
      <c r="Z128" s="306">
        <f t="shared" si="888"/>
        <v>0</v>
      </c>
      <c r="AA128" s="306">
        <f t="shared" si="888"/>
        <v>0</v>
      </c>
      <c r="AB128" s="306">
        <f t="shared" si="888"/>
        <v>0</v>
      </c>
      <c r="AC128" s="306">
        <f t="shared" si="888"/>
        <v>0</v>
      </c>
      <c r="AD128" s="306">
        <f t="shared" si="888"/>
        <v>0</v>
      </c>
      <c r="AE128" s="306">
        <f t="shared" si="888"/>
        <v>0</v>
      </c>
      <c r="AF128" s="306">
        <f t="shared" si="888"/>
        <v>0</v>
      </c>
      <c r="AG128" s="306">
        <f t="shared" si="888"/>
        <v>0</v>
      </c>
      <c r="AH128" s="306">
        <f t="shared" si="888"/>
        <v>0</v>
      </c>
      <c r="AI128" s="306">
        <f t="shared" si="888"/>
        <v>0</v>
      </c>
      <c r="AJ128" s="306">
        <f t="shared" si="888"/>
        <v>0</v>
      </c>
      <c r="AK128" s="295"/>
      <c r="AL128" s="292">
        <f t="shared" si="736"/>
        <v>0</v>
      </c>
      <c r="AM128" s="290"/>
      <c r="AN128" s="288"/>
      <c r="AO128" s="288"/>
      <c r="AP128" s="288"/>
      <c r="AQ128" s="288"/>
      <c r="AR128" s="288"/>
      <c r="AS128" s="288"/>
      <c r="AT128" s="288"/>
      <c r="AU128" s="288"/>
      <c r="AV128" s="288"/>
      <c r="AW128" s="288"/>
      <c r="AX128" s="288"/>
      <c r="AY128" s="288"/>
    </row>
    <row r="129" customHeight="1" outlineLevel="2" spans="1:51">
      <c r="A129" s="269" t="s">
        <v>442</v>
      </c>
      <c r="B129" s="269" t="s">
        <v>443</v>
      </c>
      <c r="C129" s="250">
        <f>D129/$C$8</f>
        <v>0</v>
      </c>
      <c r="D129" s="250">
        <f t="shared" si="792"/>
        <v>0</v>
      </c>
      <c r="E129" s="250">
        <f>F129/$E$8</f>
        <v>0</v>
      </c>
      <c r="F129" s="250">
        <f t="shared" si="793"/>
        <v>0</v>
      </c>
      <c r="G129" s="260"/>
      <c r="H129" s="250">
        <f>G129*G$8</f>
        <v>0</v>
      </c>
      <c r="I129" s="260"/>
      <c r="J129" s="250">
        <f t="shared" ref="J129" si="889">I129*I$8</f>
        <v>0</v>
      </c>
      <c r="K129" s="260"/>
      <c r="L129" s="250">
        <f t="shared" ref="L129" si="890">K129*K$8</f>
        <v>0</v>
      </c>
      <c r="M129" s="260"/>
      <c r="N129" s="250">
        <f t="shared" ref="N129:N131" si="891">M129*M$8</f>
        <v>0</v>
      </c>
      <c r="O129" s="260"/>
      <c r="P129" s="250">
        <f t="shared" ref="P129:P131" si="892">O129*O$8</f>
        <v>0</v>
      </c>
      <c r="Q129" s="260"/>
      <c r="R129" s="250">
        <f t="shared" ref="R129:R131" si="893">Q129*Q$8</f>
        <v>0</v>
      </c>
      <c r="S129" s="260"/>
      <c r="T129" s="250">
        <f t="shared" ref="T129:T131" si="894">S129*S$8</f>
        <v>0</v>
      </c>
      <c r="U129" s="260"/>
      <c r="V129" s="250">
        <f t="shared" ref="V129" si="895">U129*U$8</f>
        <v>0</v>
      </c>
      <c r="W129" s="260"/>
      <c r="X129" s="250">
        <f t="shared" ref="X129" si="896">W129*W$8</f>
        <v>0</v>
      </c>
      <c r="Y129" s="260"/>
      <c r="Z129" s="250">
        <f t="shared" ref="Z129" si="897">Y129*Y$8</f>
        <v>0</v>
      </c>
      <c r="AA129" s="260"/>
      <c r="AB129" s="250">
        <f t="shared" ref="AB129" si="898">AA129*AA$8</f>
        <v>0</v>
      </c>
      <c r="AC129" s="250">
        <f>AD129/AC$8</f>
        <v>0</v>
      </c>
      <c r="AD129" s="250">
        <f>AF129+AH129+AJ129</f>
        <v>0</v>
      </c>
      <c r="AE129" s="260"/>
      <c r="AF129" s="250">
        <f t="shared" ref="AF129" si="899">AE129*AE$8</f>
        <v>0</v>
      </c>
      <c r="AG129" s="260"/>
      <c r="AH129" s="250">
        <f t="shared" ref="AH129" si="900">AG129*AG$8</f>
        <v>0</v>
      </c>
      <c r="AI129" s="260"/>
      <c r="AJ129" s="250">
        <f t="shared" ref="AJ129" si="901">AI129*AI$8</f>
        <v>0</v>
      </c>
      <c r="AK129" s="295"/>
      <c r="AL129" s="292">
        <f t="shared" si="736"/>
        <v>0</v>
      </c>
      <c r="AM129" s="290"/>
      <c r="AN129" s="288"/>
      <c r="AO129" s="288"/>
      <c r="AP129" s="288"/>
      <c r="AQ129" s="288"/>
      <c r="AR129" s="288"/>
      <c r="AS129" s="288"/>
      <c r="AT129" s="288"/>
      <c r="AU129" s="288"/>
      <c r="AV129" s="288"/>
      <c r="AW129" s="288"/>
      <c r="AX129" s="288"/>
      <c r="AY129" s="288"/>
    </row>
    <row r="130" customHeight="1" outlineLevel="2" spans="1:51">
      <c r="A130" s="269" t="s">
        <v>444</v>
      </c>
      <c r="B130" s="269" t="s">
        <v>445</v>
      </c>
      <c r="C130" s="250">
        <f>D130/$C$8</f>
        <v>0</v>
      </c>
      <c r="D130" s="250">
        <f t="shared" si="792"/>
        <v>0</v>
      </c>
      <c r="E130" s="250">
        <f>F130/$E$8</f>
        <v>0</v>
      </c>
      <c r="F130" s="250">
        <f t="shared" si="793"/>
        <v>0</v>
      </c>
      <c r="G130" s="260"/>
      <c r="H130" s="250">
        <f>G130*G$8</f>
        <v>0</v>
      </c>
      <c r="I130" s="260"/>
      <c r="J130" s="250">
        <f t="shared" ref="J130" si="902">I130*I$8</f>
        <v>0</v>
      </c>
      <c r="K130" s="260"/>
      <c r="L130" s="250">
        <f t="shared" ref="L130" si="903">K130*K$8</f>
        <v>0</v>
      </c>
      <c r="M130" s="260"/>
      <c r="N130" s="250">
        <f t="shared" si="891"/>
        <v>0</v>
      </c>
      <c r="O130" s="260"/>
      <c r="P130" s="250">
        <f t="shared" si="892"/>
        <v>0</v>
      </c>
      <c r="Q130" s="260"/>
      <c r="R130" s="250">
        <f t="shared" si="893"/>
        <v>0</v>
      </c>
      <c r="S130" s="260"/>
      <c r="T130" s="250">
        <f t="shared" si="894"/>
        <v>0</v>
      </c>
      <c r="U130" s="260"/>
      <c r="V130" s="250">
        <f t="shared" ref="V130" si="904">U130*U$8</f>
        <v>0</v>
      </c>
      <c r="W130" s="260"/>
      <c r="X130" s="250">
        <f t="shared" ref="X130" si="905">W130*W$8</f>
        <v>0</v>
      </c>
      <c r="Y130" s="260"/>
      <c r="Z130" s="250">
        <f t="shared" ref="Z130" si="906">Y130*Y$8</f>
        <v>0</v>
      </c>
      <c r="AA130" s="260"/>
      <c r="AB130" s="250">
        <f t="shared" ref="AB130" si="907">AA130*AA$8</f>
        <v>0</v>
      </c>
      <c r="AC130" s="250">
        <f>AD130/AC$8</f>
        <v>0</v>
      </c>
      <c r="AD130" s="250">
        <f>AF130+AH130+AJ130</f>
        <v>0</v>
      </c>
      <c r="AE130" s="260"/>
      <c r="AF130" s="250">
        <f t="shared" ref="AF130" si="908">AE130*AE$8</f>
        <v>0</v>
      </c>
      <c r="AG130" s="260"/>
      <c r="AH130" s="250">
        <f t="shared" ref="AH130" si="909">AG130*AG$8</f>
        <v>0</v>
      </c>
      <c r="AI130" s="260"/>
      <c r="AJ130" s="250">
        <f t="shared" ref="AJ130" si="910">AI130*AI$8</f>
        <v>0</v>
      </c>
      <c r="AK130" s="295"/>
      <c r="AL130" s="292">
        <f t="shared" si="736"/>
        <v>0</v>
      </c>
      <c r="AM130" s="290"/>
      <c r="AN130" s="288"/>
      <c r="AO130" s="288"/>
      <c r="AP130" s="288"/>
      <c r="AQ130" s="288"/>
      <c r="AR130" s="288"/>
      <c r="AS130" s="288"/>
      <c r="AT130" s="288"/>
      <c r="AU130" s="288"/>
      <c r="AV130" s="288"/>
      <c r="AW130" s="288"/>
      <c r="AX130" s="288"/>
      <c r="AY130" s="288"/>
    </row>
    <row r="131" customHeight="1" outlineLevel="2" spans="1:51">
      <c r="A131" s="303" t="s">
        <v>446</v>
      </c>
      <c r="B131" s="303" t="s">
        <v>447</v>
      </c>
      <c r="C131" s="250">
        <f>D131/$C$8</f>
        <v>0</v>
      </c>
      <c r="D131" s="250">
        <f t="shared" si="792"/>
        <v>0</v>
      </c>
      <c r="E131" s="250">
        <f>F131/$E$8</f>
        <v>0</v>
      </c>
      <c r="F131" s="250">
        <f t="shared" si="793"/>
        <v>0</v>
      </c>
      <c r="G131" s="260"/>
      <c r="H131" s="250">
        <f>G131*G$8</f>
        <v>0</v>
      </c>
      <c r="I131" s="260"/>
      <c r="J131" s="250">
        <f t="shared" ref="J131" si="911">I131*I$8</f>
        <v>0</v>
      </c>
      <c r="K131" s="260"/>
      <c r="L131" s="250">
        <f t="shared" ref="L131" si="912">K131*K$8</f>
        <v>0</v>
      </c>
      <c r="M131" s="260"/>
      <c r="N131" s="250">
        <f t="shared" si="891"/>
        <v>0</v>
      </c>
      <c r="O131" s="260"/>
      <c r="P131" s="250">
        <f t="shared" si="892"/>
        <v>0</v>
      </c>
      <c r="Q131" s="260"/>
      <c r="R131" s="250">
        <f t="shared" si="893"/>
        <v>0</v>
      </c>
      <c r="S131" s="260"/>
      <c r="T131" s="250">
        <f t="shared" si="894"/>
        <v>0</v>
      </c>
      <c r="U131" s="260"/>
      <c r="V131" s="250">
        <f t="shared" ref="V131" si="913">U131*U$8</f>
        <v>0</v>
      </c>
      <c r="W131" s="260"/>
      <c r="X131" s="250">
        <f t="shared" ref="X131" si="914">W131*W$8</f>
        <v>0</v>
      </c>
      <c r="Y131" s="260"/>
      <c r="Z131" s="250">
        <f t="shared" ref="Z131" si="915">Y131*Y$8</f>
        <v>0</v>
      </c>
      <c r="AA131" s="260"/>
      <c r="AB131" s="250">
        <f t="shared" ref="AB131" si="916">AA131*AA$8</f>
        <v>0</v>
      </c>
      <c r="AC131" s="250">
        <f>AD131/AC$8</f>
        <v>0</v>
      </c>
      <c r="AD131" s="250">
        <f>AF131+AH131+AJ131</f>
        <v>0</v>
      </c>
      <c r="AE131" s="260"/>
      <c r="AF131" s="250">
        <f t="shared" ref="AF131" si="917">AE131*AE$8</f>
        <v>0</v>
      </c>
      <c r="AG131" s="260"/>
      <c r="AH131" s="250">
        <f t="shared" ref="AH131" si="918">AG131*AG$8</f>
        <v>0</v>
      </c>
      <c r="AI131" s="260"/>
      <c r="AJ131" s="250">
        <f t="shared" ref="AJ131" si="919">AI131*AI$8</f>
        <v>0</v>
      </c>
      <c r="AK131" s="295"/>
      <c r="AL131" s="292">
        <f t="shared" si="736"/>
        <v>0</v>
      </c>
      <c r="AM131" s="290"/>
      <c r="AN131" s="288"/>
      <c r="AO131" s="288"/>
      <c r="AP131" s="288"/>
      <c r="AQ131" s="288"/>
      <c r="AR131" s="288"/>
      <c r="AS131" s="288"/>
      <c r="AT131" s="288"/>
      <c r="AU131" s="288"/>
      <c r="AV131" s="288"/>
      <c r="AW131" s="288"/>
      <c r="AX131" s="288"/>
      <c r="AY131" s="288"/>
    </row>
    <row r="132" customHeight="1" outlineLevel="1" spans="1:51">
      <c r="A132" s="255" t="s">
        <v>448</v>
      </c>
      <c r="B132" s="255" t="s">
        <v>449</v>
      </c>
      <c r="C132" s="306">
        <f>C133</f>
        <v>0</v>
      </c>
      <c r="D132" s="306">
        <f t="shared" ref="D132:AJ132" si="920">D133</f>
        <v>0</v>
      </c>
      <c r="E132" s="306">
        <f t="shared" si="920"/>
        <v>0</v>
      </c>
      <c r="F132" s="306">
        <f t="shared" si="920"/>
        <v>0</v>
      </c>
      <c r="G132" s="306">
        <f t="shared" si="920"/>
        <v>0</v>
      </c>
      <c r="H132" s="306">
        <f t="shared" si="920"/>
        <v>0</v>
      </c>
      <c r="I132" s="306">
        <f t="shared" si="920"/>
        <v>0</v>
      </c>
      <c r="J132" s="306">
        <f t="shared" si="920"/>
        <v>0</v>
      </c>
      <c r="K132" s="306">
        <f t="shared" si="920"/>
        <v>0</v>
      </c>
      <c r="L132" s="306">
        <f t="shared" si="920"/>
        <v>0</v>
      </c>
      <c r="M132" s="306">
        <f t="shared" si="920"/>
        <v>0</v>
      </c>
      <c r="N132" s="306">
        <f t="shared" si="920"/>
        <v>0</v>
      </c>
      <c r="O132" s="306">
        <f t="shared" si="920"/>
        <v>0</v>
      </c>
      <c r="P132" s="306">
        <f t="shared" si="920"/>
        <v>0</v>
      </c>
      <c r="Q132" s="306">
        <f t="shared" si="920"/>
        <v>0</v>
      </c>
      <c r="R132" s="306">
        <f t="shared" si="920"/>
        <v>0</v>
      </c>
      <c r="S132" s="306">
        <f t="shared" si="920"/>
        <v>0</v>
      </c>
      <c r="T132" s="306">
        <f t="shared" si="920"/>
        <v>0</v>
      </c>
      <c r="U132" s="306">
        <f t="shared" si="920"/>
        <v>0</v>
      </c>
      <c r="V132" s="306">
        <f t="shared" si="920"/>
        <v>0</v>
      </c>
      <c r="W132" s="306">
        <f t="shared" si="920"/>
        <v>0</v>
      </c>
      <c r="X132" s="306">
        <f t="shared" si="920"/>
        <v>0</v>
      </c>
      <c r="Y132" s="306">
        <f t="shared" si="920"/>
        <v>0</v>
      </c>
      <c r="Z132" s="306">
        <f t="shared" si="920"/>
        <v>0</v>
      </c>
      <c r="AA132" s="306">
        <f t="shared" si="920"/>
        <v>0</v>
      </c>
      <c r="AB132" s="306">
        <f t="shared" si="920"/>
        <v>0</v>
      </c>
      <c r="AC132" s="306">
        <f t="shared" si="920"/>
        <v>0</v>
      </c>
      <c r="AD132" s="306">
        <f t="shared" si="920"/>
        <v>0</v>
      </c>
      <c r="AE132" s="306">
        <f t="shared" si="920"/>
        <v>0</v>
      </c>
      <c r="AF132" s="306">
        <f t="shared" si="920"/>
        <v>0</v>
      </c>
      <c r="AG132" s="306">
        <f t="shared" si="920"/>
        <v>0</v>
      </c>
      <c r="AH132" s="306">
        <f t="shared" si="920"/>
        <v>0</v>
      </c>
      <c r="AI132" s="306">
        <f t="shared" si="920"/>
        <v>0</v>
      </c>
      <c r="AJ132" s="306">
        <f t="shared" si="920"/>
        <v>0</v>
      </c>
      <c r="AK132" s="295"/>
      <c r="AL132" s="292">
        <f t="shared" si="736"/>
        <v>0</v>
      </c>
      <c r="AM132" s="290"/>
      <c r="AN132" s="288"/>
      <c r="AO132" s="288"/>
      <c r="AP132" s="288"/>
      <c r="AQ132" s="288"/>
      <c r="AR132" s="288"/>
      <c r="AS132" s="288"/>
      <c r="AT132" s="288"/>
      <c r="AU132" s="288"/>
      <c r="AV132" s="288"/>
      <c r="AW132" s="288"/>
      <c r="AX132" s="288"/>
      <c r="AY132" s="288"/>
    </row>
    <row r="133" customHeight="1" outlineLevel="2" spans="1:51">
      <c r="A133" s="259" t="s">
        <v>450</v>
      </c>
      <c r="B133" s="259" t="s">
        <v>451</v>
      </c>
      <c r="C133" s="250">
        <f>D133/$C$8</f>
        <v>0</v>
      </c>
      <c r="D133" s="250">
        <f t="shared" si="792"/>
        <v>0</v>
      </c>
      <c r="E133" s="250">
        <f>F133/$E$8</f>
        <v>0</v>
      </c>
      <c r="F133" s="250">
        <f t="shared" si="793"/>
        <v>0</v>
      </c>
      <c r="G133" s="260"/>
      <c r="H133" s="250">
        <f>G133*G$8</f>
        <v>0</v>
      </c>
      <c r="I133" s="260"/>
      <c r="J133" s="250">
        <f t="shared" ref="J133" si="921">I133*I$8</f>
        <v>0</v>
      </c>
      <c r="K133" s="260"/>
      <c r="L133" s="250">
        <f t="shared" ref="L133" si="922">K133*K$8</f>
        <v>0</v>
      </c>
      <c r="M133" s="260"/>
      <c r="N133" s="250">
        <f t="shared" ref="N133" si="923">M133*M$8</f>
        <v>0</v>
      </c>
      <c r="O133" s="260"/>
      <c r="P133" s="250">
        <f t="shared" ref="P133" si="924">O133*O$8</f>
        <v>0</v>
      </c>
      <c r="Q133" s="260"/>
      <c r="R133" s="250">
        <f t="shared" ref="R133" si="925">Q133*Q$8</f>
        <v>0</v>
      </c>
      <c r="S133" s="260"/>
      <c r="T133" s="250">
        <f t="shared" ref="T133" si="926">S133*S$8</f>
        <v>0</v>
      </c>
      <c r="U133" s="260"/>
      <c r="V133" s="250">
        <f t="shared" ref="V133" si="927">U133*U$8</f>
        <v>0</v>
      </c>
      <c r="W133" s="260"/>
      <c r="X133" s="250">
        <f t="shared" ref="X133" si="928">W133*W$8</f>
        <v>0</v>
      </c>
      <c r="Y133" s="260"/>
      <c r="Z133" s="250">
        <f t="shared" ref="Z133" si="929">Y133*Y$8</f>
        <v>0</v>
      </c>
      <c r="AA133" s="260"/>
      <c r="AB133" s="250">
        <f t="shared" ref="AB133" si="930">AA133*AA$8</f>
        <v>0</v>
      </c>
      <c r="AC133" s="250">
        <f>AD133/AC$8</f>
        <v>0</v>
      </c>
      <c r="AD133" s="250">
        <f>AF133+AH133+AJ133</f>
        <v>0</v>
      </c>
      <c r="AE133" s="260"/>
      <c r="AF133" s="250">
        <f t="shared" ref="AF133" si="931">AE133*AE$8</f>
        <v>0</v>
      </c>
      <c r="AG133" s="260"/>
      <c r="AH133" s="250">
        <f t="shared" ref="AH133" si="932">AG133*AG$8</f>
        <v>0</v>
      </c>
      <c r="AI133" s="260"/>
      <c r="AJ133" s="250">
        <f t="shared" ref="AJ133" si="933">AI133*AI$8</f>
        <v>0</v>
      </c>
      <c r="AK133" s="295"/>
      <c r="AL133" s="292">
        <f t="shared" si="736"/>
        <v>0</v>
      </c>
      <c r="AM133" s="290"/>
      <c r="AN133" s="288"/>
      <c r="AO133" s="288"/>
      <c r="AP133" s="288"/>
      <c r="AQ133" s="288"/>
      <c r="AR133" s="288"/>
      <c r="AS133" s="288"/>
      <c r="AT133" s="288"/>
      <c r="AU133" s="288"/>
      <c r="AV133" s="288"/>
      <c r="AW133" s="288"/>
      <c r="AX133" s="288"/>
      <c r="AY133" s="288"/>
    </row>
    <row r="134" customHeight="1" outlineLevel="1" spans="1:51">
      <c r="A134" s="255" t="s">
        <v>452</v>
      </c>
      <c r="B134" s="255" t="s">
        <v>453</v>
      </c>
      <c r="C134" s="306">
        <f>C135+C136</f>
        <v>0</v>
      </c>
      <c r="D134" s="306">
        <f t="shared" ref="D134:AJ134" si="934">D135+D136</f>
        <v>0</v>
      </c>
      <c r="E134" s="306">
        <f t="shared" si="934"/>
        <v>0</v>
      </c>
      <c r="F134" s="306">
        <f t="shared" si="934"/>
        <v>0</v>
      </c>
      <c r="G134" s="306">
        <f t="shared" si="934"/>
        <v>0</v>
      </c>
      <c r="H134" s="306">
        <f t="shared" si="934"/>
        <v>0</v>
      </c>
      <c r="I134" s="306">
        <f t="shared" si="934"/>
        <v>0</v>
      </c>
      <c r="J134" s="306">
        <f t="shared" si="934"/>
        <v>0</v>
      </c>
      <c r="K134" s="306">
        <f t="shared" si="934"/>
        <v>0</v>
      </c>
      <c r="L134" s="306">
        <f t="shared" si="934"/>
        <v>0</v>
      </c>
      <c r="M134" s="306">
        <f t="shared" si="934"/>
        <v>0</v>
      </c>
      <c r="N134" s="306">
        <f t="shared" si="934"/>
        <v>0</v>
      </c>
      <c r="O134" s="306">
        <f t="shared" si="934"/>
        <v>0</v>
      </c>
      <c r="P134" s="306">
        <f t="shared" si="934"/>
        <v>0</v>
      </c>
      <c r="Q134" s="306">
        <f t="shared" si="934"/>
        <v>0</v>
      </c>
      <c r="R134" s="306">
        <f t="shared" si="934"/>
        <v>0</v>
      </c>
      <c r="S134" s="306">
        <f t="shared" si="934"/>
        <v>0</v>
      </c>
      <c r="T134" s="306">
        <f t="shared" si="934"/>
        <v>0</v>
      </c>
      <c r="U134" s="306">
        <f t="shared" si="934"/>
        <v>0</v>
      </c>
      <c r="V134" s="306">
        <f t="shared" si="934"/>
        <v>0</v>
      </c>
      <c r="W134" s="306">
        <f t="shared" si="934"/>
        <v>0</v>
      </c>
      <c r="X134" s="306">
        <f t="shared" si="934"/>
        <v>0</v>
      </c>
      <c r="Y134" s="306">
        <f t="shared" si="934"/>
        <v>0</v>
      </c>
      <c r="Z134" s="306">
        <f t="shared" si="934"/>
        <v>0</v>
      </c>
      <c r="AA134" s="306">
        <f t="shared" si="934"/>
        <v>0</v>
      </c>
      <c r="AB134" s="306">
        <f t="shared" si="934"/>
        <v>0</v>
      </c>
      <c r="AC134" s="306">
        <f t="shared" si="934"/>
        <v>0</v>
      </c>
      <c r="AD134" s="306">
        <f t="shared" si="934"/>
        <v>0</v>
      </c>
      <c r="AE134" s="306">
        <f t="shared" si="934"/>
        <v>0</v>
      </c>
      <c r="AF134" s="306">
        <f t="shared" si="934"/>
        <v>0</v>
      </c>
      <c r="AG134" s="306">
        <f t="shared" si="934"/>
        <v>0</v>
      </c>
      <c r="AH134" s="306">
        <f t="shared" si="934"/>
        <v>0</v>
      </c>
      <c r="AI134" s="306">
        <f t="shared" si="934"/>
        <v>0</v>
      </c>
      <c r="AJ134" s="306">
        <f t="shared" si="934"/>
        <v>0</v>
      </c>
      <c r="AK134" s="295"/>
      <c r="AL134" s="292">
        <f t="shared" si="736"/>
        <v>0</v>
      </c>
      <c r="AM134" s="290"/>
      <c r="AN134" s="288"/>
      <c r="AO134" s="288"/>
      <c r="AP134" s="288"/>
      <c r="AQ134" s="288"/>
      <c r="AR134" s="288"/>
      <c r="AS134" s="288"/>
      <c r="AT134" s="288"/>
      <c r="AU134" s="288"/>
      <c r="AV134" s="288"/>
      <c r="AW134" s="288"/>
      <c r="AX134" s="288"/>
      <c r="AY134" s="288"/>
    </row>
    <row r="135" customHeight="1" outlineLevel="2" spans="1:51">
      <c r="A135" s="259" t="s">
        <v>454</v>
      </c>
      <c r="B135" s="259" t="s">
        <v>455</v>
      </c>
      <c r="C135" s="250">
        <f>D135/$C$8</f>
        <v>0</v>
      </c>
      <c r="D135" s="250">
        <f t="shared" si="792"/>
        <v>0</v>
      </c>
      <c r="E135" s="250">
        <f>F135/$E$8</f>
        <v>0</v>
      </c>
      <c r="F135" s="250">
        <f t="shared" si="793"/>
        <v>0</v>
      </c>
      <c r="G135" s="260"/>
      <c r="H135" s="250">
        <f>G135*G$8</f>
        <v>0</v>
      </c>
      <c r="I135" s="260"/>
      <c r="J135" s="250">
        <f t="shared" ref="J135" si="935">I135*I$8</f>
        <v>0</v>
      </c>
      <c r="K135" s="260"/>
      <c r="L135" s="250">
        <f t="shared" ref="L135" si="936">K135*K$8</f>
        <v>0</v>
      </c>
      <c r="M135" s="260"/>
      <c r="N135" s="250">
        <f t="shared" ref="N135:N137" si="937">M135*M$8</f>
        <v>0</v>
      </c>
      <c r="O135" s="260"/>
      <c r="P135" s="250">
        <f t="shared" ref="P135:P137" si="938">O135*O$8</f>
        <v>0</v>
      </c>
      <c r="Q135" s="260"/>
      <c r="R135" s="250">
        <f t="shared" ref="R135:R137" si="939">Q135*Q$8</f>
        <v>0</v>
      </c>
      <c r="S135" s="260"/>
      <c r="T135" s="250">
        <f t="shared" ref="T135:T137" si="940">S135*S$8</f>
        <v>0</v>
      </c>
      <c r="U135" s="260"/>
      <c r="V135" s="250">
        <f t="shared" ref="V135" si="941">U135*U$8</f>
        <v>0</v>
      </c>
      <c r="W135" s="260"/>
      <c r="X135" s="250">
        <f t="shared" ref="X135" si="942">W135*W$8</f>
        <v>0</v>
      </c>
      <c r="Y135" s="260"/>
      <c r="Z135" s="250">
        <f t="shared" ref="Z135" si="943">Y135*Y$8</f>
        <v>0</v>
      </c>
      <c r="AA135" s="260"/>
      <c r="AB135" s="250">
        <f t="shared" ref="AB135" si="944">AA135*AA$8</f>
        <v>0</v>
      </c>
      <c r="AC135" s="250">
        <f>AD135/AC$8</f>
        <v>0</v>
      </c>
      <c r="AD135" s="250">
        <f>AF135+AH135+AJ135</f>
        <v>0</v>
      </c>
      <c r="AE135" s="260"/>
      <c r="AF135" s="250">
        <f t="shared" ref="AF135" si="945">AE135*AE$8</f>
        <v>0</v>
      </c>
      <c r="AG135" s="260"/>
      <c r="AH135" s="250">
        <f t="shared" ref="AH135" si="946">AG135*AG$8</f>
        <v>0</v>
      </c>
      <c r="AI135" s="260"/>
      <c r="AJ135" s="250">
        <f t="shared" ref="AJ135" si="947">AI135*AI$8</f>
        <v>0</v>
      </c>
      <c r="AK135" s="295"/>
      <c r="AL135" s="292">
        <f t="shared" si="736"/>
        <v>0</v>
      </c>
      <c r="AM135" s="290"/>
      <c r="AN135" s="288"/>
      <c r="AO135" s="288"/>
      <c r="AP135" s="288"/>
      <c r="AQ135" s="288"/>
      <c r="AR135" s="288"/>
      <c r="AS135" s="288"/>
      <c r="AT135" s="288"/>
      <c r="AU135" s="288"/>
      <c r="AV135" s="288"/>
      <c r="AW135" s="288"/>
      <c r="AX135" s="288"/>
      <c r="AY135" s="288"/>
    </row>
    <row r="136" customHeight="1" outlineLevel="2" spans="1:51">
      <c r="A136" s="259" t="s">
        <v>456</v>
      </c>
      <c r="B136" s="259" t="s">
        <v>457</v>
      </c>
      <c r="C136" s="250">
        <f>D136/$C$8</f>
        <v>0</v>
      </c>
      <c r="D136" s="250">
        <f t="shared" si="792"/>
        <v>0</v>
      </c>
      <c r="E136" s="250">
        <f>F136/$E$8</f>
        <v>0</v>
      </c>
      <c r="F136" s="250">
        <f t="shared" si="793"/>
        <v>0</v>
      </c>
      <c r="G136" s="260"/>
      <c r="H136" s="250">
        <f>G136*G$8</f>
        <v>0</v>
      </c>
      <c r="I136" s="260"/>
      <c r="J136" s="250">
        <f t="shared" ref="J136" si="948">I136*I$8</f>
        <v>0</v>
      </c>
      <c r="K136" s="260"/>
      <c r="L136" s="250">
        <f t="shared" ref="L136" si="949">K136*K$8</f>
        <v>0</v>
      </c>
      <c r="M136" s="260"/>
      <c r="N136" s="250">
        <f t="shared" si="937"/>
        <v>0</v>
      </c>
      <c r="O136" s="260"/>
      <c r="P136" s="250">
        <f t="shared" si="938"/>
        <v>0</v>
      </c>
      <c r="Q136" s="260"/>
      <c r="R136" s="250">
        <f t="shared" si="939"/>
        <v>0</v>
      </c>
      <c r="S136" s="260"/>
      <c r="T136" s="250">
        <f t="shared" si="940"/>
        <v>0</v>
      </c>
      <c r="U136" s="260"/>
      <c r="V136" s="250">
        <f t="shared" ref="V136" si="950">U136*U$8</f>
        <v>0</v>
      </c>
      <c r="W136" s="260"/>
      <c r="X136" s="250">
        <f t="shared" ref="X136" si="951">W136*W$8</f>
        <v>0</v>
      </c>
      <c r="Y136" s="260"/>
      <c r="Z136" s="250">
        <f t="shared" ref="Z136" si="952">Y136*Y$8</f>
        <v>0</v>
      </c>
      <c r="AA136" s="260"/>
      <c r="AB136" s="250">
        <f t="shared" ref="AB136" si="953">AA136*AA$8</f>
        <v>0</v>
      </c>
      <c r="AC136" s="250">
        <f>AD136/AC$8</f>
        <v>0</v>
      </c>
      <c r="AD136" s="250">
        <f>AF136+AH136+AJ136</f>
        <v>0</v>
      </c>
      <c r="AE136" s="260"/>
      <c r="AF136" s="250">
        <f t="shared" ref="AF136" si="954">AE136*AE$8</f>
        <v>0</v>
      </c>
      <c r="AG136" s="260"/>
      <c r="AH136" s="250">
        <f t="shared" ref="AH136" si="955">AG136*AG$8</f>
        <v>0</v>
      </c>
      <c r="AI136" s="260"/>
      <c r="AJ136" s="250">
        <f t="shared" ref="AJ136" si="956">AI136*AI$8</f>
        <v>0</v>
      </c>
      <c r="AK136" s="295"/>
      <c r="AL136" s="292">
        <f t="shared" si="736"/>
        <v>0</v>
      </c>
      <c r="AM136" s="290"/>
      <c r="AN136" s="288"/>
      <c r="AO136" s="288"/>
      <c r="AP136" s="288"/>
      <c r="AQ136" s="288"/>
      <c r="AR136" s="288"/>
      <c r="AS136" s="288"/>
      <c r="AT136" s="288"/>
      <c r="AU136" s="288"/>
      <c r="AV136" s="288"/>
      <c r="AW136" s="288"/>
      <c r="AX136" s="288"/>
      <c r="AY136" s="288"/>
    </row>
    <row r="137" customHeight="1" outlineLevel="1" spans="1:51">
      <c r="A137" s="255" t="s">
        <v>458</v>
      </c>
      <c r="B137" s="255" t="s">
        <v>459</v>
      </c>
      <c r="C137" s="250">
        <f>D137/$C$8</f>
        <v>0</v>
      </c>
      <c r="D137" s="250">
        <f t="shared" si="792"/>
        <v>0</v>
      </c>
      <c r="E137" s="250">
        <f>F137/$E$8</f>
        <v>0</v>
      </c>
      <c r="F137" s="250">
        <f t="shared" si="793"/>
        <v>0</v>
      </c>
      <c r="G137" s="260"/>
      <c r="H137" s="250">
        <f>G137*G$8</f>
        <v>0</v>
      </c>
      <c r="I137" s="260"/>
      <c r="J137" s="250">
        <f t="shared" ref="J137" si="957">I137*I$8</f>
        <v>0</v>
      </c>
      <c r="K137" s="260"/>
      <c r="L137" s="250">
        <f t="shared" ref="L137" si="958">K137*K$8</f>
        <v>0</v>
      </c>
      <c r="M137" s="260"/>
      <c r="N137" s="250">
        <f t="shared" si="937"/>
        <v>0</v>
      </c>
      <c r="O137" s="260"/>
      <c r="P137" s="250">
        <f t="shared" si="938"/>
        <v>0</v>
      </c>
      <c r="Q137" s="260"/>
      <c r="R137" s="250">
        <f t="shared" si="939"/>
        <v>0</v>
      </c>
      <c r="S137" s="260"/>
      <c r="T137" s="250">
        <f t="shared" si="940"/>
        <v>0</v>
      </c>
      <c r="U137" s="260"/>
      <c r="V137" s="250">
        <f t="shared" ref="V137" si="959">U137*U$8</f>
        <v>0</v>
      </c>
      <c r="W137" s="260"/>
      <c r="X137" s="250">
        <f t="shared" ref="X137" si="960">W137*W$8</f>
        <v>0</v>
      </c>
      <c r="Y137" s="260"/>
      <c r="Z137" s="250">
        <f t="shared" ref="Z137" si="961">Y137*Y$8</f>
        <v>0</v>
      </c>
      <c r="AA137" s="260"/>
      <c r="AB137" s="250">
        <f t="shared" ref="AB137" si="962">AA137*AA$8</f>
        <v>0</v>
      </c>
      <c r="AC137" s="250">
        <f>AD137/AC$8</f>
        <v>0</v>
      </c>
      <c r="AD137" s="250">
        <f>AF137+AH137+AJ137</f>
        <v>0</v>
      </c>
      <c r="AE137" s="260"/>
      <c r="AF137" s="250">
        <f t="shared" ref="AF137" si="963">AE137*AE$8</f>
        <v>0</v>
      </c>
      <c r="AG137" s="260"/>
      <c r="AH137" s="250">
        <f t="shared" ref="AH137" si="964">AG137*AG$8</f>
        <v>0</v>
      </c>
      <c r="AI137" s="260"/>
      <c r="AJ137" s="250">
        <f t="shared" ref="AJ137" si="965">AI137*AI$8</f>
        <v>0</v>
      </c>
      <c r="AK137" s="295"/>
      <c r="AL137" s="292">
        <f t="shared" si="736"/>
        <v>0</v>
      </c>
      <c r="AM137" s="290"/>
      <c r="AN137" s="288"/>
      <c r="AO137" s="288"/>
      <c r="AP137" s="288"/>
      <c r="AQ137" s="288"/>
      <c r="AR137" s="288"/>
      <c r="AS137" s="288"/>
      <c r="AT137" s="288"/>
      <c r="AU137" s="288"/>
      <c r="AV137" s="288"/>
      <c r="AW137" s="288"/>
      <c r="AX137" s="288"/>
      <c r="AY137" s="288"/>
    </row>
    <row r="138" customHeight="1" outlineLevel="1" spans="1:51">
      <c r="A138" s="255" t="s">
        <v>460</v>
      </c>
      <c r="B138" s="255" t="s">
        <v>461</v>
      </c>
      <c r="C138" s="306">
        <f>C139+C140</f>
        <v>10</v>
      </c>
      <c r="D138" s="306">
        <f t="shared" ref="D138:AJ138" si="966">D139+D140</f>
        <v>133.91697</v>
      </c>
      <c r="E138" s="306">
        <f t="shared" si="966"/>
        <v>10</v>
      </c>
      <c r="F138" s="306">
        <f t="shared" si="966"/>
        <v>94.55846</v>
      </c>
      <c r="G138" s="306">
        <f t="shared" si="966"/>
        <v>10</v>
      </c>
      <c r="H138" s="306">
        <f t="shared" si="966"/>
        <v>5.32871</v>
      </c>
      <c r="I138" s="306">
        <f t="shared" si="966"/>
        <v>10</v>
      </c>
      <c r="J138" s="306">
        <f t="shared" si="966"/>
        <v>56.33832</v>
      </c>
      <c r="K138" s="306">
        <f t="shared" si="966"/>
        <v>10</v>
      </c>
      <c r="L138" s="306">
        <f t="shared" si="966"/>
        <v>32.30418</v>
      </c>
      <c r="M138" s="306">
        <f t="shared" si="966"/>
        <v>10</v>
      </c>
      <c r="N138" s="306">
        <f t="shared" si="966"/>
        <v>0</v>
      </c>
      <c r="O138" s="306">
        <f t="shared" si="966"/>
        <v>10</v>
      </c>
      <c r="P138" s="306">
        <f t="shared" si="966"/>
        <v>0</v>
      </c>
      <c r="Q138" s="306">
        <f t="shared" si="966"/>
        <v>10</v>
      </c>
      <c r="R138" s="306">
        <f t="shared" si="966"/>
        <v>0</v>
      </c>
      <c r="S138" s="306">
        <f t="shared" si="966"/>
        <v>10</v>
      </c>
      <c r="T138" s="306">
        <f t="shared" si="966"/>
        <v>0</v>
      </c>
      <c r="U138" s="306">
        <f t="shared" si="966"/>
        <v>10</v>
      </c>
      <c r="V138" s="306">
        <f t="shared" si="966"/>
        <v>0</v>
      </c>
      <c r="W138" s="306">
        <f t="shared" si="966"/>
        <v>10</v>
      </c>
      <c r="X138" s="306">
        <f t="shared" si="966"/>
        <v>0</v>
      </c>
      <c r="Y138" s="306">
        <f t="shared" si="966"/>
        <v>10</v>
      </c>
      <c r="Z138" s="306">
        <f t="shared" si="966"/>
        <v>0.58725</v>
      </c>
      <c r="AA138" s="306">
        <f t="shared" si="966"/>
        <v>10</v>
      </c>
      <c r="AB138" s="306">
        <f t="shared" si="966"/>
        <v>0</v>
      </c>
      <c r="AC138" s="306">
        <f t="shared" si="966"/>
        <v>10</v>
      </c>
      <c r="AD138" s="306">
        <f t="shared" si="966"/>
        <v>39.35851</v>
      </c>
      <c r="AE138" s="306">
        <f t="shared" si="966"/>
        <v>10</v>
      </c>
      <c r="AF138" s="306">
        <f t="shared" si="966"/>
        <v>0</v>
      </c>
      <c r="AG138" s="306">
        <f t="shared" si="966"/>
        <v>10</v>
      </c>
      <c r="AH138" s="306">
        <f t="shared" si="966"/>
        <v>6.58155</v>
      </c>
      <c r="AI138" s="306">
        <f t="shared" si="966"/>
        <v>10</v>
      </c>
      <c r="AJ138" s="306">
        <f t="shared" si="966"/>
        <v>32.77696</v>
      </c>
      <c r="AK138" s="295"/>
      <c r="AL138" s="292">
        <f t="shared" si="736"/>
        <v>133.91697</v>
      </c>
      <c r="AM138" s="290"/>
      <c r="AN138" s="288"/>
      <c r="AO138" s="288"/>
      <c r="AP138" s="288"/>
      <c r="AQ138" s="288"/>
      <c r="AR138" s="288"/>
      <c r="AS138" s="288"/>
      <c r="AT138" s="288"/>
      <c r="AU138" s="288"/>
      <c r="AV138" s="288"/>
      <c r="AW138" s="288"/>
      <c r="AX138" s="288"/>
      <c r="AY138" s="288"/>
    </row>
    <row r="139" customHeight="1" outlineLevel="2" spans="1:51">
      <c r="A139" s="259" t="s">
        <v>462</v>
      </c>
      <c r="B139" s="259" t="s">
        <v>463</v>
      </c>
      <c r="C139" s="250">
        <f>D139/$C$8</f>
        <v>10</v>
      </c>
      <c r="D139" s="250">
        <f t="shared" si="792"/>
        <v>133.91697</v>
      </c>
      <c r="E139" s="250">
        <f>F139/$E$8</f>
        <v>10</v>
      </c>
      <c r="F139" s="250">
        <f t="shared" si="793"/>
        <v>94.55846</v>
      </c>
      <c r="G139" s="260">
        <v>10</v>
      </c>
      <c r="H139" s="250">
        <f>G139*G$8</f>
        <v>5.32871</v>
      </c>
      <c r="I139" s="260">
        <v>10</v>
      </c>
      <c r="J139" s="250">
        <f t="shared" ref="J139" si="967">I139*I$8</f>
        <v>56.33832</v>
      </c>
      <c r="K139" s="260">
        <v>10</v>
      </c>
      <c r="L139" s="250">
        <f t="shared" ref="L139" si="968">K139*K$8</f>
        <v>32.30418</v>
      </c>
      <c r="M139" s="260">
        <v>10</v>
      </c>
      <c r="N139" s="250">
        <f t="shared" ref="N139:N140" si="969">M139*M$8</f>
        <v>0</v>
      </c>
      <c r="O139" s="260">
        <v>10</v>
      </c>
      <c r="P139" s="250">
        <f t="shared" ref="P139:P140" si="970">O139*O$8</f>
        <v>0</v>
      </c>
      <c r="Q139" s="260">
        <v>10</v>
      </c>
      <c r="R139" s="250">
        <f t="shared" ref="R139:R140" si="971">Q139*Q$8</f>
        <v>0</v>
      </c>
      <c r="S139" s="260">
        <v>10</v>
      </c>
      <c r="T139" s="250">
        <f t="shared" ref="T139:T140" si="972">S139*S$8</f>
        <v>0</v>
      </c>
      <c r="U139" s="260">
        <v>10</v>
      </c>
      <c r="V139" s="250">
        <f t="shared" ref="V139" si="973">U139*U$8</f>
        <v>0</v>
      </c>
      <c r="W139" s="260">
        <v>10</v>
      </c>
      <c r="X139" s="250">
        <f t="shared" ref="X139" si="974">W139*W$8</f>
        <v>0</v>
      </c>
      <c r="Y139" s="260">
        <v>10</v>
      </c>
      <c r="Z139" s="250">
        <f t="shared" ref="Z139" si="975">Y139*Y$8</f>
        <v>0.58725</v>
      </c>
      <c r="AA139" s="260">
        <v>10</v>
      </c>
      <c r="AB139" s="250">
        <f t="shared" ref="AB139" si="976">AA139*AA$8</f>
        <v>0</v>
      </c>
      <c r="AC139" s="250">
        <f>AD139/AC$8</f>
        <v>10</v>
      </c>
      <c r="AD139" s="250">
        <f>AF139+AH139+AJ139</f>
        <v>39.35851</v>
      </c>
      <c r="AE139" s="260">
        <v>10</v>
      </c>
      <c r="AF139" s="250">
        <f t="shared" ref="AF139" si="977">AE139*AE$8</f>
        <v>0</v>
      </c>
      <c r="AG139" s="260">
        <v>10</v>
      </c>
      <c r="AH139" s="250">
        <f t="shared" ref="AH139" si="978">AG139*AG$8</f>
        <v>6.58155</v>
      </c>
      <c r="AI139" s="260">
        <v>10</v>
      </c>
      <c r="AJ139" s="250">
        <f t="shared" ref="AJ139" si="979">AI139*AI$8</f>
        <v>32.77696</v>
      </c>
      <c r="AK139" s="295" t="s">
        <v>464</v>
      </c>
      <c r="AL139" s="292">
        <f t="shared" ref="AL139:AL170" si="980">H139+J139+L139+Z139+AH139+AJ139</f>
        <v>133.91697</v>
      </c>
      <c r="AM139" s="290"/>
      <c r="AN139" s="288"/>
      <c r="AO139" s="288"/>
      <c r="AP139" s="288"/>
      <c r="AQ139" s="288"/>
      <c r="AR139" s="288"/>
      <c r="AS139" s="288"/>
      <c r="AT139" s="288"/>
      <c r="AU139" s="288"/>
      <c r="AV139" s="288"/>
      <c r="AW139" s="288"/>
      <c r="AX139" s="288"/>
      <c r="AY139" s="288"/>
    </row>
    <row r="140" customHeight="1" outlineLevel="2" spans="1:51">
      <c r="A140" s="303" t="s">
        <v>465</v>
      </c>
      <c r="B140" s="303" t="s">
        <v>466</v>
      </c>
      <c r="C140" s="250">
        <f>D140/$C$8</f>
        <v>0</v>
      </c>
      <c r="D140" s="250">
        <f t="shared" ref="D140:D191" si="981">F140+AD140</f>
        <v>0</v>
      </c>
      <c r="E140" s="250">
        <f>F140/$E$8</f>
        <v>0</v>
      </c>
      <c r="F140" s="250">
        <f t="shared" si="793"/>
        <v>0</v>
      </c>
      <c r="G140" s="260"/>
      <c r="H140" s="250">
        <f>G140*G$8</f>
        <v>0</v>
      </c>
      <c r="I140" s="260"/>
      <c r="J140" s="250">
        <f t="shared" ref="J140" si="982">I140*I$8</f>
        <v>0</v>
      </c>
      <c r="K140" s="260"/>
      <c r="L140" s="250">
        <f t="shared" ref="L140" si="983">K140*K$8</f>
        <v>0</v>
      </c>
      <c r="M140" s="260"/>
      <c r="N140" s="250">
        <f t="shared" si="969"/>
        <v>0</v>
      </c>
      <c r="O140" s="260"/>
      <c r="P140" s="250">
        <f t="shared" si="970"/>
        <v>0</v>
      </c>
      <c r="Q140" s="260"/>
      <c r="R140" s="250">
        <f t="shared" si="971"/>
        <v>0</v>
      </c>
      <c r="S140" s="260"/>
      <c r="T140" s="250">
        <f t="shared" si="972"/>
        <v>0</v>
      </c>
      <c r="U140" s="260"/>
      <c r="V140" s="250">
        <f t="shared" ref="V140" si="984">U140*U$8</f>
        <v>0</v>
      </c>
      <c r="W140" s="260"/>
      <c r="X140" s="250">
        <f t="shared" ref="X140" si="985">W140*W$8</f>
        <v>0</v>
      </c>
      <c r="Y140" s="260"/>
      <c r="Z140" s="250">
        <f t="shared" ref="Z140" si="986">Y140*Y$8</f>
        <v>0</v>
      </c>
      <c r="AA140" s="260"/>
      <c r="AB140" s="250">
        <f t="shared" ref="AB140" si="987">AA140*AA$8</f>
        <v>0</v>
      </c>
      <c r="AC140" s="250">
        <f>AD140/AC$8</f>
        <v>0</v>
      </c>
      <c r="AD140" s="250">
        <f>AF140+AH140+AJ140</f>
        <v>0</v>
      </c>
      <c r="AE140" s="260"/>
      <c r="AF140" s="250">
        <f t="shared" ref="AF140" si="988">AE140*AE$8</f>
        <v>0</v>
      </c>
      <c r="AG140" s="260"/>
      <c r="AH140" s="250">
        <f t="shared" ref="AH140" si="989">AG140*AG$8</f>
        <v>0</v>
      </c>
      <c r="AI140" s="260"/>
      <c r="AJ140" s="250">
        <f t="shared" ref="AJ140" si="990">AI140*AI$8</f>
        <v>0</v>
      </c>
      <c r="AK140" s="295"/>
      <c r="AL140" s="292">
        <f t="shared" si="980"/>
        <v>0</v>
      </c>
      <c r="AM140" s="290"/>
      <c r="AN140" s="288"/>
      <c r="AO140" s="288"/>
      <c r="AP140" s="288"/>
      <c r="AQ140" s="288"/>
      <c r="AR140" s="288"/>
      <c r="AS140" s="288"/>
      <c r="AT140" s="288"/>
      <c r="AU140" s="288"/>
      <c r="AV140" s="288"/>
      <c r="AW140" s="288"/>
      <c r="AX140" s="288"/>
      <c r="AY140" s="288"/>
    </row>
    <row r="141" customHeight="1" outlineLevel="1" spans="1:51">
      <c r="A141" s="255" t="s">
        <v>467</v>
      </c>
      <c r="B141" s="255" t="s">
        <v>468</v>
      </c>
      <c r="C141" s="306">
        <f>SUM(C142:C146)</f>
        <v>20.158759565722</v>
      </c>
      <c r="D141" s="306">
        <f t="shared" ref="D141:AJ141" si="991">SUM(D142:D146)</f>
        <v>269.96</v>
      </c>
      <c r="E141" s="306">
        <f t="shared" si="991"/>
        <v>28.5495343304026</v>
      </c>
      <c r="F141" s="306">
        <f t="shared" si="991"/>
        <v>269.96</v>
      </c>
      <c r="G141" s="306">
        <f t="shared" si="991"/>
        <v>29.9884962777107</v>
      </c>
      <c r="H141" s="306">
        <f t="shared" si="991"/>
        <v>15.98</v>
      </c>
      <c r="I141" s="306">
        <f t="shared" si="991"/>
        <v>26.312463701438</v>
      </c>
      <c r="J141" s="306">
        <f t="shared" si="991"/>
        <v>148.24</v>
      </c>
      <c r="K141" s="306">
        <f t="shared" si="991"/>
        <v>32.7326061209416</v>
      </c>
      <c r="L141" s="306">
        <f t="shared" si="991"/>
        <v>105.74</v>
      </c>
      <c r="M141" s="306">
        <f t="shared" si="991"/>
        <v>0</v>
      </c>
      <c r="N141" s="306">
        <f t="shared" si="991"/>
        <v>0</v>
      </c>
      <c r="O141" s="306">
        <f t="shared" si="991"/>
        <v>0</v>
      </c>
      <c r="P141" s="306">
        <f t="shared" si="991"/>
        <v>0</v>
      </c>
      <c r="Q141" s="306">
        <f t="shared" si="991"/>
        <v>0</v>
      </c>
      <c r="R141" s="306">
        <f t="shared" si="991"/>
        <v>0</v>
      </c>
      <c r="S141" s="306">
        <f t="shared" si="991"/>
        <v>0</v>
      </c>
      <c r="T141" s="306">
        <f t="shared" si="991"/>
        <v>0</v>
      </c>
      <c r="U141" s="306">
        <f t="shared" si="991"/>
        <v>0</v>
      </c>
      <c r="V141" s="306">
        <f t="shared" si="991"/>
        <v>0</v>
      </c>
      <c r="W141" s="306">
        <f t="shared" si="991"/>
        <v>0</v>
      </c>
      <c r="X141" s="306">
        <f t="shared" si="991"/>
        <v>0</v>
      </c>
      <c r="Y141" s="306">
        <f t="shared" si="991"/>
        <v>0</v>
      </c>
      <c r="Z141" s="306">
        <f t="shared" si="991"/>
        <v>0</v>
      </c>
      <c r="AA141" s="306">
        <f t="shared" si="991"/>
        <v>0</v>
      </c>
      <c r="AB141" s="306">
        <f t="shared" si="991"/>
        <v>0</v>
      </c>
      <c r="AC141" s="306">
        <f t="shared" si="991"/>
        <v>0</v>
      </c>
      <c r="AD141" s="306">
        <f t="shared" si="991"/>
        <v>0</v>
      </c>
      <c r="AE141" s="306">
        <f t="shared" si="991"/>
        <v>0</v>
      </c>
      <c r="AF141" s="306">
        <f t="shared" si="991"/>
        <v>0</v>
      </c>
      <c r="AG141" s="306">
        <f t="shared" si="991"/>
        <v>0</v>
      </c>
      <c r="AH141" s="306">
        <f t="shared" si="991"/>
        <v>0</v>
      </c>
      <c r="AI141" s="306">
        <f t="shared" si="991"/>
        <v>0</v>
      </c>
      <c r="AJ141" s="306">
        <f t="shared" si="991"/>
        <v>0</v>
      </c>
      <c r="AK141" s="295"/>
      <c r="AL141" s="292">
        <f t="shared" si="980"/>
        <v>269.96</v>
      </c>
      <c r="AM141" s="290"/>
      <c r="AN141" s="288"/>
      <c r="AO141" s="288"/>
      <c r="AP141" s="288"/>
      <c r="AQ141" s="288"/>
      <c r="AR141" s="288"/>
      <c r="AS141" s="288"/>
      <c r="AT141" s="288"/>
      <c r="AU141" s="288"/>
      <c r="AV141" s="288"/>
      <c r="AW141" s="288"/>
      <c r="AX141" s="288"/>
      <c r="AY141" s="288"/>
    </row>
    <row r="142" customHeight="1" outlineLevel="2" spans="1:51">
      <c r="A142" s="269" t="s">
        <v>469</v>
      </c>
      <c r="B142" s="269" t="s">
        <v>470</v>
      </c>
      <c r="C142" s="250">
        <f>D142/$C$8</f>
        <v>0</v>
      </c>
      <c r="D142" s="250">
        <f t="shared" si="981"/>
        <v>0</v>
      </c>
      <c r="E142" s="250">
        <f>F142/$E$8</f>
        <v>0</v>
      </c>
      <c r="F142" s="250">
        <f t="shared" si="793"/>
        <v>0</v>
      </c>
      <c r="G142" s="260"/>
      <c r="H142" s="250">
        <f>G142*G$8</f>
        <v>0</v>
      </c>
      <c r="I142" s="260"/>
      <c r="J142" s="250">
        <f t="shared" ref="J142" si="992">I142*I$8</f>
        <v>0</v>
      </c>
      <c r="K142" s="260"/>
      <c r="L142" s="250">
        <f t="shared" ref="L142" si="993">K142*K$8</f>
        <v>0</v>
      </c>
      <c r="M142" s="260"/>
      <c r="N142" s="250">
        <f t="shared" ref="N142:N146" si="994">M142*M$8</f>
        <v>0</v>
      </c>
      <c r="O142" s="260"/>
      <c r="P142" s="250">
        <f t="shared" ref="P142:P146" si="995">O142*O$8</f>
        <v>0</v>
      </c>
      <c r="Q142" s="260"/>
      <c r="R142" s="250">
        <f t="shared" ref="R142:R146" si="996">Q142*Q$8</f>
        <v>0</v>
      </c>
      <c r="S142" s="260"/>
      <c r="T142" s="250">
        <f t="shared" ref="T142:T146" si="997">S142*S$8</f>
        <v>0</v>
      </c>
      <c r="U142" s="260"/>
      <c r="V142" s="250">
        <f t="shared" ref="V142" si="998">U142*U$8</f>
        <v>0</v>
      </c>
      <c r="W142" s="260"/>
      <c r="X142" s="250">
        <f t="shared" ref="X142" si="999">W142*W$8</f>
        <v>0</v>
      </c>
      <c r="Y142" s="260"/>
      <c r="Z142" s="250">
        <f t="shared" ref="Z142" si="1000">Y142*Y$8</f>
        <v>0</v>
      </c>
      <c r="AA142" s="260"/>
      <c r="AB142" s="250">
        <f t="shared" ref="AB142" si="1001">AA142*AA$8</f>
        <v>0</v>
      </c>
      <c r="AC142" s="250">
        <f>AD142/AC$8</f>
        <v>0</v>
      </c>
      <c r="AD142" s="250">
        <f>AF142+AH142+AJ142</f>
        <v>0</v>
      </c>
      <c r="AE142" s="260"/>
      <c r="AF142" s="250">
        <f t="shared" ref="AF142" si="1002">AE142*AE$8</f>
        <v>0</v>
      </c>
      <c r="AG142" s="260"/>
      <c r="AH142" s="250">
        <f t="shared" ref="AH142" si="1003">AG142*AG$8</f>
        <v>0</v>
      </c>
      <c r="AI142" s="260"/>
      <c r="AJ142" s="250">
        <f t="shared" ref="AJ142" si="1004">AI142*AI$8</f>
        <v>0</v>
      </c>
      <c r="AK142" s="295"/>
      <c r="AL142" s="292">
        <f t="shared" si="980"/>
        <v>0</v>
      </c>
      <c r="AM142" s="290"/>
      <c r="AN142" s="288"/>
      <c r="AO142" s="288"/>
      <c r="AP142" s="288"/>
      <c r="AQ142" s="288"/>
      <c r="AR142" s="288"/>
      <c r="AS142" s="288"/>
      <c r="AT142" s="288"/>
      <c r="AU142" s="288"/>
      <c r="AV142" s="288"/>
      <c r="AW142" s="288"/>
      <c r="AX142" s="288"/>
      <c r="AY142" s="288"/>
    </row>
    <row r="143" customHeight="1" outlineLevel="2" spans="1:51">
      <c r="A143" s="269" t="s">
        <v>471</v>
      </c>
      <c r="B143" s="269" t="s">
        <v>472</v>
      </c>
      <c r="C143" s="250">
        <f>D143/$C$8</f>
        <v>20.158759565722</v>
      </c>
      <c r="D143" s="250">
        <f t="shared" si="981"/>
        <v>269.96</v>
      </c>
      <c r="E143" s="250">
        <f>F143/$E$8</f>
        <v>28.5495343304026</v>
      </c>
      <c r="F143" s="250">
        <f t="shared" si="793"/>
        <v>269.96</v>
      </c>
      <c r="G143" s="260">
        <f>经济指标!G9*3400/G8/10000</f>
        <v>29.9884962777107</v>
      </c>
      <c r="H143" s="250">
        <f>G143*G$8</f>
        <v>15.98</v>
      </c>
      <c r="I143" s="260">
        <f>经济指标!G10*3400/I8/10000</f>
        <v>26.312463701438</v>
      </c>
      <c r="J143" s="250">
        <f t="shared" ref="J143" si="1005">I143*I$8</f>
        <v>148.24</v>
      </c>
      <c r="K143" s="260">
        <f>经济指标!G11*3400/K8/10000</f>
        <v>32.7326061209416</v>
      </c>
      <c r="L143" s="250">
        <f t="shared" ref="L143" si="1006">K143*K$8</f>
        <v>105.74</v>
      </c>
      <c r="M143" s="260"/>
      <c r="N143" s="250">
        <f t="shared" si="994"/>
        <v>0</v>
      </c>
      <c r="O143" s="260"/>
      <c r="P143" s="250">
        <f t="shared" si="995"/>
        <v>0</v>
      </c>
      <c r="Q143" s="260"/>
      <c r="R143" s="250">
        <f t="shared" si="996"/>
        <v>0</v>
      </c>
      <c r="S143" s="260"/>
      <c r="T143" s="250">
        <f t="shared" si="997"/>
        <v>0</v>
      </c>
      <c r="U143" s="260"/>
      <c r="V143" s="250">
        <f t="shared" ref="V143" si="1007">U143*U$8</f>
        <v>0</v>
      </c>
      <c r="W143" s="260"/>
      <c r="X143" s="250">
        <f t="shared" ref="X143" si="1008">W143*W$8</f>
        <v>0</v>
      </c>
      <c r="Y143" s="260"/>
      <c r="Z143" s="250">
        <f t="shared" ref="Z143" si="1009">Y143*Y$8</f>
        <v>0</v>
      </c>
      <c r="AA143" s="260"/>
      <c r="AB143" s="250">
        <f t="shared" ref="AB143" si="1010">AA143*AA$8</f>
        <v>0</v>
      </c>
      <c r="AC143" s="250">
        <f>AD143/AC$8</f>
        <v>0</v>
      </c>
      <c r="AD143" s="250">
        <f>AF143+AH143+AJ143</f>
        <v>0</v>
      </c>
      <c r="AE143" s="260"/>
      <c r="AF143" s="250">
        <f t="shared" ref="AF143" si="1011">AE143*AE$8</f>
        <v>0</v>
      </c>
      <c r="AG143" s="260"/>
      <c r="AH143" s="250">
        <f t="shared" ref="AH143" si="1012">AG143*AG$8</f>
        <v>0</v>
      </c>
      <c r="AI143" s="260"/>
      <c r="AJ143" s="250">
        <f t="shared" ref="AJ143" si="1013">AI143*AI$8</f>
        <v>0</v>
      </c>
      <c r="AK143" s="295" t="s">
        <v>473</v>
      </c>
      <c r="AL143" s="292">
        <f t="shared" si="980"/>
        <v>269.96</v>
      </c>
      <c r="AM143" s="290"/>
      <c r="AN143" s="288"/>
      <c r="AO143" s="288"/>
      <c r="AP143" s="288"/>
      <c r="AQ143" s="288"/>
      <c r="AR143" s="288"/>
      <c r="AS143" s="288"/>
      <c r="AT143" s="288"/>
      <c r="AU143" s="288"/>
      <c r="AV143" s="288"/>
      <c r="AW143" s="288"/>
      <c r="AX143" s="288"/>
      <c r="AY143" s="288"/>
    </row>
    <row r="144" customHeight="1" outlineLevel="2" spans="1:51">
      <c r="A144" s="259" t="s">
        <v>474</v>
      </c>
      <c r="B144" s="259" t="s">
        <v>475</v>
      </c>
      <c r="C144" s="250">
        <f>D144/$C$8</f>
        <v>0</v>
      </c>
      <c r="D144" s="250">
        <f t="shared" si="981"/>
        <v>0</v>
      </c>
      <c r="E144" s="250">
        <f>F144/$E$8</f>
        <v>0</v>
      </c>
      <c r="F144" s="250">
        <f t="shared" si="793"/>
        <v>0</v>
      </c>
      <c r="G144" s="260"/>
      <c r="H144" s="250">
        <f>G144*G$8</f>
        <v>0</v>
      </c>
      <c r="I144" s="260"/>
      <c r="J144" s="250">
        <f t="shared" ref="J144" si="1014">I144*I$8</f>
        <v>0</v>
      </c>
      <c r="K144" s="260"/>
      <c r="L144" s="250">
        <f t="shared" ref="L144" si="1015">K144*K$8</f>
        <v>0</v>
      </c>
      <c r="M144" s="260"/>
      <c r="N144" s="250">
        <f t="shared" si="994"/>
        <v>0</v>
      </c>
      <c r="O144" s="260"/>
      <c r="P144" s="250">
        <f t="shared" si="995"/>
        <v>0</v>
      </c>
      <c r="Q144" s="260"/>
      <c r="R144" s="250">
        <f t="shared" si="996"/>
        <v>0</v>
      </c>
      <c r="S144" s="260"/>
      <c r="T144" s="250">
        <f t="shared" si="997"/>
        <v>0</v>
      </c>
      <c r="U144" s="260"/>
      <c r="V144" s="250">
        <f t="shared" ref="V144" si="1016">U144*U$8</f>
        <v>0</v>
      </c>
      <c r="W144" s="260"/>
      <c r="X144" s="250">
        <f t="shared" ref="X144" si="1017">W144*W$8</f>
        <v>0</v>
      </c>
      <c r="Y144" s="260"/>
      <c r="Z144" s="250">
        <f t="shared" ref="Z144" si="1018">Y144*Y$8</f>
        <v>0</v>
      </c>
      <c r="AA144" s="260"/>
      <c r="AB144" s="250">
        <f t="shared" ref="AB144" si="1019">AA144*AA$8</f>
        <v>0</v>
      </c>
      <c r="AC144" s="250">
        <f>AD144/AC$8</f>
        <v>0</v>
      </c>
      <c r="AD144" s="250">
        <f>AF144+AH144+AJ144</f>
        <v>0</v>
      </c>
      <c r="AE144" s="260"/>
      <c r="AF144" s="250">
        <f t="shared" ref="AF144" si="1020">AE144*AE$8</f>
        <v>0</v>
      </c>
      <c r="AG144" s="260"/>
      <c r="AH144" s="250">
        <f t="shared" ref="AH144" si="1021">AG144*AG$8</f>
        <v>0</v>
      </c>
      <c r="AI144" s="260"/>
      <c r="AJ144" s="250">
        <f t="shared" ref="AJ144" si="1022">AI144*AI$8</f>
        <v>0</v>
      </c>
      <c r="AK144" s="295"/>
      <c r="AL144" s="292">
        <f t="shared" si="980"/>
        <v>0</v>
      </c>
      <c r="AM144" s="290"/>
      <c r="AN144" s="288"/>
      <c r="AO144" s="288"/>
      <c r="AP144" s="288"/>
      <c r="AQ144" s="288"/>
      <c r="AR144" s="288"/>
      <c r="AS144" s="288"/>
      <c r="AT144" s="288"/>
      <c r="AU144" s="288"/>
      <c r="AV144" s="288"/>
      <c r="AW144" s="288"/>
      <c r="AX144" s="288"/>
      <c r="AY144" s="288"/>
    </row>
    <row r="145" customHeight="1" outlineLevel="2" spans="1:51">
      <c r="A145" s="259" t="s">
        <v>476</v>
      </c>
      <c r="B145" s="259" t="s">
        <v>477</v>
      </c>
      <c r="C145" s="250">
        <f>D145/$C$8</f>
        <v>0</v>
      </c>
      <c r="D145" s="250">
        <f t="shared" si="981"/>
        <v>0</v>
      </c>
      <c r="E145" s="250">
        <f>F145/$E$8</f>
        <v>0</v>
      </c>
      <c r="F145" s="250">
        <f t="shared" si="793"/>
        <v>0</v>
      </c>
      <c r="G145" s="260"/>
      <c r="H145" s="250">
        <f>G145*G$8</f>
        <v>0</v>
      </c>
      <c r="I145" s="260"/>
      <c r="J145" s="250">
        <f t="shared" ref="J145" si="1023">I145*I$8</f>
        <v>0</v>
      </c>
      <c r="K145" s="260"/>
      <c r="L145" s="250">
        <f t="shared" ref="L145" si="1024">K145*K$8</f>
        <v>0</v>
      </c>
      <c r="M145" s="260"/>
      <c r="N145" s="250">
        <f t="shared" si="994"/>
        <v>0</v>
      </c>
      <c r="O145" s="260"/>
      <c r="P145" s="250">
        <f t="shared" si="995"/>
        <v>0</v>
      </c>
      <c r="Q145" s="260"/>
      <c r="R145" s="250">
        <f t="shared" si="996"/>
        <v>0</v>
      </c>
      <c r="S145" s="260"/>
      <c r="T145" s="250">
        <f t="shared" si="997"/>
        <v>0</v>
      </c>
      <c r="U145" s="260"/>
      <c r="V145" s="250">
        <f t="shared" ref="V145" si="1025">U145*U$8</f>
        <v>0</v>
      </c>
      <c r="W145" s="260"/>
      <c r="X145" s="250">
        <f t="shared" ref="X145" si="1026">W145*W$8</f>
        <v>0</v>
      </c>
      <c r="Y145" s="260"/>
      <c r="Z145" s="250">
        <f t="shared" ref="Z145" si="1027">Y145*Y$8</f>
        <v>0</v>
      </c>
      <c r="AA145" s="260"/>
      <c r="AB145" s="250">
        <f t="shared" ref="AB145" si="1028">AA145*AA$8</f>
        <v>0</v>
      </c>
      <c r="AC145" s="250">
        <f>AD145/AC$8</f>
        <v>0</v>
      </c>
      <c r="AD145" s="250">
        <f>AF145+AH145+AJ145</f>
        <v>0</v>
      </c>
      <c r="AE145" s="260"/>
      <c r="AF145" s="250">
        <f t="shared" ref="AF145" si="1029">AE145*AE$8</f>
        <v>0</v>
      </c>
      <c r="AG145" s="260"/>
      <c r="AH145" s="250">
        <f t="shared" ref="AH145" si="1030">AG145*AG$8</f>
        <v>0</v>
      </c>
      <c r="AI145" s="260"/>
      <c r="AJ145" s="250">
        <f t="shared" ref="AJ145" si="1031">AI145*AI$8</f>
        <v>0</v>
      </c>
      <c r="AK145" s="295"/>
      <c r="AL145" s="292">
        <f t="shared" si="980"/>
        <v>0</v>
      </c>
      <c r="AM145" s="290"/>
      <c r="AN145" s="288"/>
      <c r="AO145" s="288"/>
      <c r="AP145" s="288"/>
      <c r="AQ145" s="288"/>
      <c r="AR145" s="288"/>
      <c r="AS145" s="288"/>
      <c r="AT145" s="288"/>
      <c r="AU145" s="288"/>
      <c r="AV145" s="288"/>
      <c r="AW145" s="288"/>
      <c r="AX145" s="288"/>
      <c r="AY145" s="288"/>
    </row>
    <row r="146" customHeight="1" outlineLevel="2" spans="1:51">
      <c r="A146" s="259" t="s">
        <v>478</v>
      </c>
      <c r="B146" s="259" t="s">
        <v>479</v>
      </c>
      <c r="C146" s="250">
        <f>D146/$C$8</f>
        <v>0</v>
      </c>
      <c r="D146" s="250">
        <f t="shared" si="981"/>
        <v>0</v>
      </c>
      <c r="E146" s="250">
        <f>F146/$E$8</f>
        <v>0</v>
      </c>
      <c r="F146" s="250">
        <f t="shared" si="793"/>
        <v>0</v>
      </c>
      <c r="G146" s="260"/>
      <c r="H146" s="250">
        <f>G146*G$8</f>
        <v>0</v>
      </c>
      <c r="I146" s="260"/>
      <c r="J146" s="250">
        <f t="shared" ref="J146" si="1032">I146*I$8</f>
        <v>0</v>
      </c>
      <c r="K146" s="260"/>
      <c r="L146" s="250">
        <f t="shared" ref="L146" si="1033">K146*K$8</f>
        <v>0</v>
      </c>
      <c r="M146" s="260"/>
      <c r="N146" s="250">
        <f t="shared" si="994"/>
        <v>0</v>
      </c>
      <c r="O146" s="260"/>
      <c r="P146" s="250">
        <f t="shared" si="995"/>
        <v>0</v>
      </c>
      <c r="Q146" s="260"/>
      <c r="R146" s="250">
        <f t="shared" si="996"/>
        <v>0</v>
      </c>
      <c r="S146" s="260"/>
      <c r="T146" s="250">
        <f t="shared" si="997"/>
        <v>0</v>
      </c>
      <c r="U146" s="260"/>
      <c r="V146" s="250">
        <f t="shared" ref="V146" si="1034">U146*U$8</f>
        <v>0</v>
      </c>
      <c r="W146" s="260"/>
      <c r="X146" s="250">
        <f t="shared" ref="X146" si="1035">W146*W$8</f>
        <v>0</v>
      </c>
      <c r="Y146" s="260"/>
      <c r="Z146" s="250">
        <f t="shared" ref="Z146" si="1036">Y146*Y$8</f>
        <v>0</v>
      </c>
      <c r="AA146" s="260"/>
      <c r="AB146" s="250">
        <f t="shared" ref="AB146" si="1037">AA146*AA$8</f>
        <v>0</v>
      </c>
      <c r="AC146" s="250">
        <f>AD146/AC$8</f>
        <v>0</v>
      </c>
      <c r="AD146" s="250">
        <f>AF146+AH146+AJ146</f>
        <v>0</v>
      </c>
      <c r="AE146" s="260"/>
      <c r="AF146" s="250">
        <f t="shared" ref="AF146" si="1038">AE146*AE$8</f>
        <v>0</v>
      </c>
      <c r="AG146" s="260"/>
      <c r="AH146" s="250">
        <f t="shared" ref="AH146" si="1039">AG146*AG$8</f>
        <v>0</v>
      </c>
      <c r="AI146" s="260"/>
      <c r="AJ146" s="250">
        <f t="shared" ref="AJ146" si="1040">AI146*AI$8</f>
        <v>0</v>
      </c>
      <c r="AK146" s="295"/>
      <c r="AL146" s="292">
        <f t="shared" si="980"/>
        <v>0</v>
      </c>
      <c r="AM146" s="290"/>
      <c r="AN146" s="288"/>
      <c r="AO146" s="288"/>
      <c r="AP146" s="288"/>
      <c r="AQ146" s="288"/>
      <c r="AR146" s="288"/>
      <c r="AS146" s="288"/>
      <c r="AT146" s="288"/>
      <c r="AU146" s="288"/>
      <c r="AV146" s="288"/>
      <c r="AW146" s="288"/>
      <c r="AX146" s="288"/>
      <c r="AY146" s="288"/>
    </row>
    <row r="147" customHeight="1" outlineLevel="1" spans="1:51">
      <c r="A147" s="255" t="s">
        <v>480</v>
      </c>
      <c r="B147" s="255" t="s">
        <v>481</v>
      </c>
      <c r="C147" s="306">
        <f>SUM(C148:C150)</f>
        <v>1.42297126346273</v>
      </c>
      <c r="D147" s="306">
        <f t="shared" ref="D147:AJ147" si="1041">SUM(D148:D150)</f>
        <v>19.056</v>
      </c>
      <c r="E147" s="306">
        <f t="shared" si="1041"/>
        <v>2.01526124685195</v>
      </c>
      <c r="F147" s="306">
        <f t="shared" si="1041"/>
        <v>19.056</v>
      </c>
      <c r="G147" s="306">
        <f t="shared" si="1041"/>
        <v>2.11683503136782</v>
      </c>
      <c r="H147" s="306">
        <f t="shared" si="1041"/>
        <v>1.128</v>
      </c>
      <c r="I147" s="306">
        <f t="shared" si="1041"/>
        <v>1.85735037892504</v>
      </c>
      <c r="J147" s="306">
        <f t="shared" si="1041"/>
        <v>10.464</v>
      </c>
      <c r="K147" s="306">
        <f t="shared" si="1041"/>
        <v>2.3105369026547</v>
      </c>
      <c r="L147" s="306">
        <f t="shared" si="1041"/>
        <v>7.464</v>
      </c>
      <c r="M147" s="306">
        <f t="shared" si="1041"/>
        <v>0</v>
      </c>
      <c r="N147" s="306">
        <f t="shared" si="1041"/>
        <v>0</v>
      </c>
      <c r="O147" s="306">
        <f t="shared" si="1041"/>
        <v>0</v>
      </c>
      <c r="P147" s="306">
        <f t="shared" si="1041"/>
        <v>0</v>
      </c>
      <c r="Q147" s="306">
        <f t="shared" si="1041"/>
        <v>0</v>
      </c>
      <c r="R147" s="306">
        <f t="shared" si="1041"/>
        <v>0</v>
      </c>
      <c r="S147" s="306">
        <f t="shared" si="1041"/>
        <v>0</v>
      </c>
      <c r="T147" s="306">
        <f t="shared" si="1041"/>
        <v>0</v>
      </c>
      <c r="U147" s="306">
        <f t="shared" si="1041"/>
        <v>0</v>
      </c>
      <c r="V147" s="306">
        <f t="shared" si="1041"/>
        <v>0</v>
      </c>
      <c r="W147" s="306">
        <f t="shared" si="1041"/>
        <v>0</v>
      </c>
      <c r="X147" s="306">
        <f t="shared" si="1041"/>
        <v>0</v>
      </c>
      <c r="Y147" s="306">
        <f t="shared" si="1041"/>
        <v>0</v>
      </c>
      <c r="Z147" s="306">
        <f t="shared" si="1041"/>
        <v>0</v>
      </c>
      <c r="AA147" s="306">
        <f t="shared" si="1041"/>
        <v>0</v>
      </c>
      <c r="AB147" s="306">
        <f t="shared" si="1041"/>
        <v>0</v>
      </c>
      <c r="AC147" s="306">
        <f t="shared" si="1041"/>
        <v>0</v>
      </c>
      <c r="AD147" s="306">
        <f t="shared" si="1041"/>
        <v>0</v>
      </c>
      <c r="AE147" s="306">
        <f t="shared" si="1041"/>
        <v>0</v>
      </c>
      <c r="AF147" s="306">
        <f t="shared" si="1041"/>
        <v>0</v>
      </c>
      <c r="AG147" s="306">
        <f t="shared" si="1041"/>
        <v>0</v>
      </c>
      <c r="AH147" s="306">
        <f t="shared" si="1041"/>
        <v>0</v>
      </c>
      <c r="AI147" s="306">
        <f t="shared" si="1041"/>
        <v>0</v>
      </c>
      <c r="AJ147" s="306">
        <f t="shared" si="1041"/>
        <v>0</v>
      </c>
      <c r="AK147" s="295"/>
      <c r="AL147" s="292">
        <f t="shared" si="980"/>
        <v>19.056</v>
      </c>
      <c r="AM147" s="290"/>
      <c r="AN147" s="288"/>
      <c r="AO147" s="288"/>
      <c r="AP147" s="288"/>
      <c r="AQ147" s="288"/>
      <c r="AR147" s="288"/>
      <c r="AS147" s="288"/>
      <c r="AT147" s="288"/>
      <c r="AU147" s="288"/>
      <c r="AV147" s="288"/>
      <c r="AW147" s="288"/>
      <c r="AX147" s="288"/>
      <c r="AY147" s="288"/>
    </row>
    <row r="148" customHeight="1" outlineLevel="2" spans="1:51">
      <c r="A148" s="259" t="s">
        <v>482</v>
      </c>
      <c r="B148" s="259" t="s">
        <v>483</v>
      </c>
      <c r="C148" s="250">
        <f>D148/$C$8</f>
        <v>1.42297126346273</v>
      </c>
      <c r="D148" s="250">
        <f t="shared" si="981"/>
        <v>19.056</v>
      </c>
      <c r="E148" s="250">
        <f>F148/$E$8</f>
        <v>2.01526124685195</v>
      </c>
      <c r="F148" s="250">
        <f t="shared" si="793"/>
        <v>19.056</v>
      </c>
      <c r="G148" s="260">
        <f>经济指标!G9*240/10000/G8</f>
        <v>2.11683503136782</v>
      </c>
      <c r="H148" s="250">
        <f>G148*G$8</f>
        <v>1.128</v>
      </c>
      <c r="I148" s="260">
        <f>经济指标!G10*240/10000/I8</f>
        <v>1.85735037892504</v>
      </c>
      <c r="J148" s="250">
        <f>I148*I$8</f>
        <v>10.464</v>
      </c>
      <c r="K148" s="260">
        <f>经济指标!G11*240/10000/K8</f>
        <v>2.3105369026547</v>
      </c>
      <c r="L148" s="250">
        <f t="shared" ref="L148" si="1042">K148*K$8</f>
        <v>7.464</v>
      </c>
      <c r="M148" s="260"/>
      <c r="N148" s="250">
        <f t="shared" ref="N148:N152" si="1043">M148*M$8</f>
        <v>0</v>
      </c>
      <c r="O148" s="260"/>
      <c r="P148" s="250">
        <f t="shared" ref="P148:P152" si="1044">O148*O$8</f>
        <v>0</v>
      </c>
      <c r="Q148" s="260"/>
      <c r="R148" s="250">
        <f t="shared" ref="R148:R152" si="1045">Q148*Q$8</f>
        <v>0</v>
      </c>
      <c r="S148" s="260"/>
      <c r="T148" s="250">
        <f t="shared" ref="T148:T152" si="1046">S148*S$8</f>
        <v>0</v>
      </c>
      <c r="U148" s="260"/>
      <c r="V148" s="250">
        <f t="shared" ref="V148" si="1047">U148*U$8</f>
        <v>0</v>
      </c>
      <c r="W148" s="260"/>
      <c r="X148" s="250">
        <f t="shared" ref="X148" si="1048">W148*W$8</f>
        <v>0</v>
      </c>
      <c r="Y148" s="260"/>
      <c r="Z148" s="250">
        <f t="shared" ref="Z148" si="1049">Y148*Y$8</f>
        <v>0</v>
      </c>
      <c r="AA148" s="260"/>
      <c r="AB148" s="250">
        <f t="shared" ref="AB148" si="1050">AA148*AA$8</f>
        <v>0</v>
      </c>
      <c r="AC148" s="250">
        <f>AD148/AC$8</f>
        <v>0</v>
      </c>
      <c r="AD148" s="250">
        <f>AF148+AH148+AJ148</f>
        <v>0</v>
      </c>
      <c r="AE148" s="260"/>
      <c r="AF148" s="250">
        <f t="shared" ref="AF148" si="1051">AE148*AE$8</f>
        <v>0</v>
      </c>
      <c r="AG148" s="260"/>
      <c r="AH148" s="250">
        <f t="shared" ref="AH148" si="1052">AG148*AG$8</f>
        <v>0</v>
      </c>
      <c r="AI148" s="260"/>
      <c r="AJ148" s="250">
        <f t="shared" ref="AJ148" si="1053">AI148*AI$8</f>
        <v>0</v>
      </c>
      <c r="AK148" s="295" t="s">
        <v>484</v>
      </c>
      <c r="AL148" s="292">
        <f t="shared" si="980"/>
        <v>19.056</v>
      </c>
      <c r="AM148" s="290"/>
      <c r="AN148" s="288"/>
      <c r="AO148" s="288"/>
      <c r="AP148" s="288"/>
      <c r="AQ148" s="288"/>
      <c r="AR148" s="288"/>
      <c r="AS148" s="288"/>
      <c r="AT148" s="288"/>
      <c r="AU148" s="288"/>
      <c r="AV148" s="288"/>
      <c r="AW148" s="288"/>
      <c r="AX148" s="288"/>
      <c r="AY148" s="288"/>
    </row>
    <row r="149" customHeight="1" outlineLevel="2" spans="1:51">
      <c r="A149" s="259" t="s">
        <v>485</v>
      </c>
      <c r="B149" s="259" t="s">
        <v>486</v>
      </c>
      <c r="C149" s="250">
        <f>D149/$C$8</f>
        <v>0</v>
      </c>
      <c r="D149" s="250">
        <f t="shared" si="981"/>
        <v>0</v>
      </c>
      <c r="E149" s="250">
        <f>F149/$E$8</f>
        <v>0</v>
      </c>
      <c r="F149" s="250">
        <f t="shared" si="793"/>
        <v>0</v>
      </c>
      <c r="G149" s="260"/>
      <c r="H149" s="250">
        <f>G149*G$8</f>
        <v>0</v>
      </c>
      <c r="I149" s="260"/>
      <c r="J149" s="250">
        <f t="shared" ref="J149" si="1054">I149*I$8</f>
        <v>0</v>
      </c>
      <c r="K149" s="260"/>
      <c r="L149" s="250">
        <f t="shared" ref="L149" si="1055">K149*K$8</f>
        <v>0</v>
      </c>
      <c r="M149" s="260"/>
      <c r="N149" s="250">
        <f t="shared" si="1043"/>
        <v>0</v>
      </c>
      <c r="O149" s="260"/>
      <c r="P149" s="250">
        <f t="shared" si="1044"/>
        <v>0</v>
      </c>
      <c r="Q149" s="260"/>
      <c r="R149" s="250">
        <f t="shared" si="1045"/>
        <v>0</v>
      </c>
      <c r="S149" s="260"/>
      <c r="T149" s="250">
        <f t="shared" si="1046"/>
        <v>0</v>
      </c>
      <c r="U149" s="260"/>
      <c r="V149" s="250">
        <f t="shared" ref="V149" si="1056">U149*U$8</f>
        <v>0</v>
      </c>
      <c r="W149" s="260"/>
      <c r="X149" s="250">
        <f t="shared" ref="X149" si="1057">W149*W$8</f>
        <v>0</v>
      </c>
      <c r="Y149" s="260"/>
      <c r="Z149" s="250">
        <f t="shared" ref="Z149" si="1058">Y149*Y$8</f>
        <v>0</v>
      </c>
      <c r="AA149" s="260"/>
      <c r="AB149" s="250">
        <f t="shared" ref="AB149" si="1059">AA149*AA$8</f>
        <v>0</v>
      </c>
      <c r="AC149" s="250">
        <f>AD149/AC$8</f>
        <v>0</v>
      </c>
      <c r="AD149" s="250">
        <f>AF149+AH149+AJ149</f>
        <v>0</v>
      </c>
      <c r="AE149" s="260"/>
      <c r="AF149" s="250">
        <f t="shared" ref="AF149" si="1060">AE149*AE$8</f>
        <v>0</v>
      </c>
      <c r="AG149" s="260"/>
      <c r="AH149" s="250">
        <f t="shared" ref="AH149" si="1061">AG149*AG$8</f>
        <v>0</v>
      </c>
      <c r="AI149" s="260"/>
      <c r="AJ149" s="250">
        <f t="shared" ref="AJ149" si="1062">AI149*AI$8</f>
        <v>0</v>
      </c>
      <c r="AK149" s="295"/>
      <c r="AL149" s="292">
        <f t="shared" si="980"/>
        <v>0</v>
      </c>
      <c r="AM149" s="290"/>
      <c r="AN149" s="288"/>
      <c r="AO149" s="288"/>
      <c r="AP149" s="288"/>
      <c r="AQ149" s="288"/>
      <c r="AR149" s="288"/>
      <c r="AS149" s="288"/>
      <c r="AT149" s="288"/>
      <c r="AU149" s="288"/>
      <c r="AV149" s="288"/>
      <c r="AW149" s="288"/>
      <c r="AX149" s="288"/>
      <c r="AY149" s="288"/>
    </row>
    <row r="150" customHeight="1" outlineLevel="2" spans="1:51">
      <c r="A150" s="259" t="s">
        <v>487</v>
      </c>
      <c r="B150" s="259" t="s">
        <v>488</v>
      </c>
      <c r="C150" s="250">
        <f>D150/$C$8</f>
        <v>0</v>
      </c>
      <c r="D150" s="250">
        <f t="shared" si="981"/>
        <v>0</v>
      </c>
      <c r="E150" s="250">
        <f>F150/$E$8</f>
        <v>0</v>
      </c>
      <c r="F150" s="250">
        <f t="shared" si="793"/>
        <v>0</v>
      </c>
      <c r="G150" s="260"/>
      <c r="H150" s="250">
        <f>G150*G$8</f>
        <v>0</v>
      </c>
      <c r="I150" s="260"/>
      <c r="J150" s="250">
        <f t="shared" ref="J150" si="1063">I150*I$8</f>
        <v>0</v>
      </c>
      <c r="K150" s="260"/>
      <c r="L150" s="250">
        <f t="shared" ref="L150" si="1064">K150*K$8</f>
        <v>0</v>
      </c>
      <c r="M150" s="260"/>
      <c r="N150" s="250">
        <f t="shared" si="1043"/>
        <v>0</v>
      </c>
      <c r="O150" s="260"/>
      <c r="P150" s="250">
        <f t="shared" si="1044"/>
        <v>0</v>
      </c>
      <c r="Q150" s="260"/>
      <c r="R150" s="250">
        <f t="shared" si="1045"/>
        <v>0</v>
      </c>
      <c r="S150" s="260"/>
      <c r="T150" s="250">
        <f t="shared" si="1046"/>
        <v>0</v>
      </c>
      <c r="U150" s="260"/>
      <c r="V150" s="250">
        <f t="shared" ref="V150" si="1065">U150*U$8</f>
        <v>0</v>
      </c>
      <c r="W150" s="260"/>
      <c r="X150" s="250">
        <f t="shared" ref="X150" si="1066">W150*W$8</f>
        <v>0</v>
      </c>
      <c r="Y150" s="260"/>
      <c r="Z150" s="250">
        <f t="shared" ref="Z150" si="1067">Y150*Y$8</f>
        <v>0</v>
      </c>
      <c r="AA150" s="260"/>
      <c r="AB150" s="250">
        <f t="shared" ref="AB150" si="1068">AA150*AA$8</f>
        <v>0</v>
      </c>
      <c r="AC150" s="250">
        <f>AD150/AC$8</f>
        <v>0</v>
      </c>
      <c r="AD150" s="250">
        <f>AF150+AH150+AJ150</f>
        <v>0</v>
      </c>
      <c r="AE150" s="260"/>
      <c r="AF150" s="250">
        <f t="shared" ref="AF150" si="1069">AE150*AE$8</f>
        <v>0</v>
      </c>
      <c r="AG150" s="260"/>
      <c r="AH150" s="250">
        <f t="shared" ref="AH150" si="1070">AG150*AG$8</f>
        <v>0</v>
      </c>
      <c r="AI150" s="260"/>
      <c r="AJ150" s="250">
        <f t="shared" ref="AJ150" si="1071">AI150*AI$8</f>
        <v>0</v>
      </c>
      <c r="AK150" s="295"/>
      <c r="AL150" s="292">
        <f t="shared" si="980"/>
        <v>0</v>
      </c>
      <c r="AM150" s="290"/>
      <c r="AN150" s="288"/>
      <c r="AO150" s="288"/>
      <c r="AP150" s="288"/>
      <c r="AQ150" s="288"/>
      <c r="AR150" s="288"/>
      <c r="AS150" s="288"/>
      <c r="AT150" s="288"/>
      <c r="AU150" s="288"/>
      <c r="AV150" s="288"/>
      <c r="AW150" s="288"/>
      <c r="AX150" s="288"/>
      <c r="AY150" s="288"/>
    </row>
    <row r="151" customHeight="1" outlineLevel="1" spans="1:51">
      <c r="A151" s="255" t="s">
        <v>489</v>
      </c>
      <c r="B151" s="255" t="s">
        <v>490</v>
      </c>
      <c r="C151" s="250">
        <f>D151/$C$8</f>
        <v>0</v>
      </c>
      <c r="D151" s="250">
        <f t="shared" si="981"/>
        <v>0</v>
      </c>
      <c r="E151" s="250">
        <f>F151/$E$8</f>
        <v>0</v>
      </c>
      <c r="F151" s="250">
        <f t="shared" si="793"/>
        <v>0</v>
      </c>
      <c r="G151" s="260"/>
      <c r="H151" s="250">
        <f>G151*G$8</f>
        <v>0</v>
      </c>
      <c r="I151" s="260"/>
      <c r="J151" s="250">
        <f t="shared" ref="J151" si="1072">I151*I$8</f>
        <v>0</v>
      </c>
      <c r="K151" s="260"/>
      <c r="L151" s="250">
        <f t="shared" ref="L151" si="1073">K151*K$8</f>
        <v>0</v>
      </c>
      <c r="M151" s="260"/>
      <c r="N151" s="250">
        <f t="shared" si="1043"/>
        <v>0</v>
      </c>
      <c r="O151" s="260"/>
      <c r="P151" s="250">
        <f t="shared" si="1044"/>
        <v>0</v>
      </c>
      <c r="Q151" s="260"/>
      <c r="R151" s="250">
        <f t="shared" si="1045"/>
        <v>0</v>
      </c>
      <c r="S151" s="260"/>
      <c r="T151" s="250">
        <f t="shared" si="1046"/>
        <v>0</v>
      </c>
      <c r="U151" s="260"/>
      <c r="V151" s="250">
        <f t="shared" ref="V151" si="1074">U151*U$8</f>
        <v>0</v>
      </c>
      <c r="W151" s="260"/>
      <c r="X151" s="250">
        <f t="shared" ref="X151" si="1075">W151*W$8</f>
        <v>0</v>
      </c>
      <c r="Y151" s="260"/>
      <c r="Z151" s="250">
        <f t="shared" ref="Z151" si="1076">Y151*Y$8</f>
        <v>0</v>
      </c>
      <c r="AA151" s="260"/>
      <c r="AB151" s="250">
        <f t="shared" ref="AB151" si="1077">AA151*AA$8</f>
        <v>0</v>
      </c>
      <c r="AC151" s="250">
        <f>AD151/AC$8</f>
        <v>0</v>
      </c>
      <c r="AD151" s="250">
        <f>AF151+AH151+AJ151</f>
        <v>0</v>
      </c>
      <c r="AE151" s="260"/>
      <c r="AF151" s="250">
        <f t="shared" ref="AF151" si="1078">AE151*AE$8</f>
        <v>0</v>
      </c>
      <c r="AG151" s="260"/>
      <c r="AH151" s="250">
        <f t="shared" ref="AH151" si="1079">AG151*AG$8</f>
        <v>0</v>
      </c>
      <c r="AI151" s="260"/>
      <c r="AJ151" s="250">
        <f t="shared" ref="AJ151" si="1080">AI151*AI$8</f>
        <v>0</v>
      </c>
      <c r="AK151" s="295"/>
      <c r="AL151" s="292">
        <f t="shared" si="980"/>
        <v>0</v>
      </c>
      <c r="AM151" s="290"/>
      <c r="AN151" s="288"/>
      <c r="AO151" s="288"/>
      <c r="AP151" s="288"/>
      <c r="AQ151" s="288"/>
      <c r="AR151" s="288"/>
      <c r="AS151" s="288"/>
      <c r="AT151" s="288"/>
      <c r="AU151" s="288"/>
      <c r="AV151" s="288"/>
      <c r="AW151" s="288"/>
      <c r="AX151" s="288"/>
      <c r="AY151" s="288"/>
    </row>
    <row r="152" customHeight="1" outlineLevel="1" spans="1:51">
      <c r="A152" s="255" t="s">
        <v>491</v>
      </c>
      <c r="B152" s="255" t="s">
        <v>492</v>
      </c>
      <c r="C152" s="250">
        <f>D152/$C$8</f>
        <v>10</v>
      </c>
      <c r="D152" s="250">
        <f t="shared" si="981"/>
        <v>133.91697</v>
      </c>
      <c r="E152" s="250">
        <f>F152/$E$8</f>
        <v>10</v>
      </c>
      <c r="F152" s="250">
        <f t="shared" si="793"/>
        <v>94.55846</v>
      </c>
      <c r="G152" s="260">
        <v>10</v>
      </c>
      <c r="H152" s="250">
        <f>G152*G$8</f>
        <v>5.32871</v>
      </c>
      <c r="I152" s="260">
        <v>10</v>
      </c>
      <c r="J152" s="250">
        <f t="shared" ref="J152" si="1081">I152*I$8</f>
        <v>56.33832</v>
      </c>
      <c r="K152" s="260">
        <v>10</v>
      </c>
      <c r="L152" s="250">
        <f t="shared" ref="L152" si="1082">K152*K$8</f>
        <v>32.30418</v>
      </c>
      <c r="M152" s="260">
        <v>10</v>
      </c>
      <c r="N152" s="250">
        <f t="shared" si="1043"/>
        <v>0</v>
      </c>
      <c r="O152" s="260">
        <v>10</v>
      </c>
      <c r="P152" s="250">
        <f t="shared" si="1044"/>
        <v>0</v>
      </c>
      <c r="Q152" s="260">
        <v>10</v>
      </c>
      <c r="R152" s="250">
        <f t="shared" si="1045"/>
        <v>0</v>
      </c>
      <c r="S152" s="260">
        <v>10</v>
      </c>
      <c r="T152" s="250">
        <f t="shared" si="1046"/>
        <v>0</v>
      </c>
      <c r="U152" s="260">
        <v>10</v>
      </c>
      <c r="V152" s="250">
        <f t="shared" ref="V152" si="1083">U152*U$8</f>
        <v>0</v>
      </c>
      <c r="W152" s="260">
        <v>10</v>
      </c>
      <c r="X152" s="250">
        <f t="shared" ref="X152" si="1084">W152*W$8</f>
        <v>0</v>
      </c>
      <c r="Y152" s="260">
        <v>10</v>
      </c>
      <c r="Z152" s="250">
        <f t="shared" ref="Z152" si="1085">Y152*Y$8</f>
        <v>0.58725</v>
      </c>
      <c r="AA152" s="260">
        <v>10</v>
      </c>
      <c r="AB152" s="250">
        <f t="shared" ref="AB152" si="1086">AA152*AA$8</f>
        <v>0</v>
      </c>
      <c r="AC152" s="250">
        <f>AD152/AC$8</f>
        <v>10</v>
      </c>
      <c r="AD152" s="250">
        <f>AF152+AH152+AJ152</f>
        <v>39.35851</v>
      </c>
      <c r="AE152" s="260">
        <v>10</v>
      </c>
      <c r="AF152" s="250">
        <f t="shared" ref="AF152" si="1087">AE152*AE$8</f>
        <v>0</v>
      </c>
      <c r="AG152" s="260">
        <v>10</v>
      </c>
      <c r="AH152" s="250">
        <f t="shared" ref="AH152" si="1088">AG152*AG$8</f>
        <v>6.58155</v>
      </c>
      <c r="AI152" s="260">
        <v>10</v>
      </c>
      <c r="AJ152" s="250">
        <f t="shared" ref="AJ152" si="1089">AI152*AI$8</f>
        <v>32.77696</v>
      </c>
      <c r="AK152" s="295" t="s">
        <v>493</v>
      </c>
      <c r="AL152" s="292">
        <f t="shared" si="980"/>
        <v>133.91697</v>
      </c>
      <c r="AM152" s="290"/>
      <c r="AN152" s="288"/>
      <c r="AO152" s="288"/>
      <c r="AP152" s="288"/>
      <c r="AQ152" s="288"/>
      <c r="AR152" s="288"/>
      <c r="AS152" s="288"/>
      <c r="AT152" s="288"/>
      <c r="AU152" s="288"/>
      <c r="AV152" s="288"/>
      <c r="AW152" s="288"/>
      <c r="AX152" s="288"/>
      <c r="AY152" s="288"/>
    </row>
    <row r="153" customHeight="1" outlineLevel="1" spans="1:51">
      <c r="A153" s="255" t="s">
        <v>494</v>
      </c>
      <c r="B153" s="255" t="s">
        <v>495</v>
      </c>
      <c r="C153" s="306">
        <f>SUM(C154:C157)</f>
        <v>91.7926966238857</v>
      </c>
      <c r="D153" s="306">
        <f t="shared" ref="D153:AJ153" si="1090">SUM(D154:D157)</f>
        <v>1229.25998</v>
      </c>
      <c r="E153" s="306">
        <f t="shared" si="1090"/>
        <v>130</v>
      </c>
      <c r="F153" s="306">
        <f t="shared" si="1090"/>
        <v>1229.25998</v>
      </c>
      <c r="G153" s="306">
        <f t="shared" si="1090"/>
        <v>130</v>
      </c>
      <c r="H153" s="306">
        <f t="shared" si="1090"/>
        <v>69.27323</v>
      </c>
      <c r="I153" s="306">
        <f t="shared" si="1090"/>
        <v>130</v>
      </c>
      <c r="J153" s="306">
        <f t="shared" si="1090"/>
        <v>732.39816</v>
      </c>
      <c r="K153" s="306">
        <f t="shared" si="1090"/>
        <v>130</v>
      </c>
      <c r="L153" s="306">
        <f t="shared" si="1090"/>
        <v>419.95434</v>
      </c>
      <c r="M153" s="306">
        <f t="shared" si="1090"/>
        <v>0</v>
      </c>
      <c r="N153" s="306">
        <f t="shared" si="1090"/>
        <v>0</v>
      </c>
      <c r="O153" s="306">
        <f t="shared" si="1090"/>
        <v>0</v>
      </c>
      <c r="P153" s="306">
        <f t="shared" si="1090"/>
        <v>0</v>
      </c>
      <c r="Q153" s="306">
        <f t="shared" si="1090"/>
        <v>0</v>
      </c>
      <c r="R153" s="306">
        <f t="shared" si="1090"/>
        <v>0</v>
      </c>
      <c r="S153" s="306">
        <f t="shared" si="1090"/>
        <v>130</v>
      </c>
      <c r="T153" s="306">
        <f t="shared" si="1090"/>
        <v>0</v>
      </c>
      <c r="U153" s="306">
        <f t="shared" si="1090"/>
        <v>130</v>
      </c>
      <c r="V153" s="306">
        <f t="shared" si="1090"/>
        <v>0</v>
      </c>
      <c r="W153" s="306">
        <f t="shared" si="1090"/>
        <v>130</v>
      </c>
      <c r="X153" s="306">
        <f t="shared" si="1090"/>
        <v>0</v>
      </c>
      <c r="Y153" s="306">
        <f t="shared" si="1090"/>
        <v>130</v>
      </c>
      <c r="Z153" s="306">
        <f t="shared" si="1090"/>
        <v>7.63425</v>
      </c>
      <c r="AA153" s="306">
        <f t="shared" si="1090"/>
        <v>130</v>
      </c>
      <c r="AB153" s="306">
        <f t="shared" si="1090"/>
        <v>0</v>
      </c>
      <c r="AC153" s="306">
        <f t="shared" si="1090"/>
        <v>0</v>
      </c>
      <c r="AD153" s="306">
        <f t="shared" si="1090"/>
        <v>0</v>
      </c>
      <c r="AE153" s="306">
        <f t="shared" si="1090"/>
        <v>0</v>
      </c>
      <c r="AF153" s="306">
        <f t="shared" si="1090"/>
        <v>0</v>
      </c>
      <c r="AG153" s="306">
        <f t="shared" si="1090"/>
        <v>0</v>
      </c>
      <c r="AH153" s="306">
        <f t="shared" si="1090"/>
        <v>0</v>
      </c>
      <c r="AI153" s="306">
        <f t="shared" si="1090"/>
        <v>0</v>
      </c>
      <c r="AJ153" s="306">
        <f t="shared" si="1090"/>
        <v>0</v>
      </c>
      <c r="AK153" s="295" t="s">
        <v>496</v>
      </c>
      <c r="AL153" s="292">
        <f t="shared" si="980"/>
        <v>1229.25998</v>
      </c>
      <c r="AM153" s="290"/>
      <c r="AN153" s="288"/>
      <c r="AO153" s="288"/>
      <c r="AP153" s="288"/>
      <c r="AQ153" s="288"/>
      <c r="AR153" s="288"/>
      <c r="AS153" s="288"/>
      <c r="AT153" s="288"/>
      <c r="AU153" s="288"/>
      <c r="AV153" s="288"/>
      <c r="AW153" s="288"/>
      <c r="AX153" s="288"/>
      <c r="AY153" s="288"/>
    </row>
    <row r="154" customHeight="1" outlineLevel="2" spans="1:51">
      <c r="A154" s="259" t="s">
        <v>497</v>
      </c>
      <c r="B154" s="259" t="s">
        <v>498</v>
      </c>
      <c r="C154" s="250">
        <f>D154/$C$8</f>
        <v>0</v>
      </c>
      <c r="D154" s="250">
        <f t="shared" si="981"/>
        <v>0</v>
      </c>
      <c r="E154" s="250">
        <f>F154/$E$8</f>
        <v>0</v>
      </c>
      <c r="F154" s="250">
        <f t="shared" si="793"/>
        <v>0</v>
      </c>
      <c r="G154" s="260"/>
      <c r="H154" s="250">
        <f>G154*G$8</f>
        <v>0</v>
      </c>
      <c r="I154" s="260"/>
      <c r="J154" s="250">
        <f t="shared" ref="J154" si="1091">I154*I$8</f>
        <v>0</v>
      </c>
      <c r="K154" s="260"/>
      <c r="L154" s="250">
        <f t="shared" ref="L154" si="1092">K154*K$8</f>
        <v>0</v>
      </c>
      <c r="M154" s="260"/>
      <c r="N154" s="250">
        <f t="shared" ref="N154:N157" si="1093">M154*M$8</f>
        <v>0</v>
      </c>
      <c r="O154" s="260"/>
      <c r="P154" s="250">
        <f t="shared" ref="P154:P157" si="1094">O154*O$8</f>
        <v>0</v>
      </c>
      <c r="Q154" s="260"/>
      <c r="R154" s="250">
        <f t="shared" ref="R154:R157" si="1095">Q154*Q$8</f>
        <v>0</v>
      </c>
      <c r="S154" s="260"/>
      <c r="T154" s="250">
        <f t="shared" ref="T154:T157" si="1096">S154*S$8</f>
        <v>0</v>
      </c>
      <c r="U154" s="260"/>
      <c r="V154" s="250">
        <f t="shared" ref="V154" si="1097">U154*U$8</f>
        <v>0</v>
      </c>
      <c r="W154" s="260"/>
      <c r="X154" s="250">
        <f t="shared" ref="X154" si="1098">W154*W$8</f>
        <v>0</v>
      </c>
      <c r="Y154" s="260"/>
      <c r="Z154" s="250">
        <f t="shared" ref="Z154" si="1099">Y154*Y$8</f>
        <v>0</v>
      </c>
      <c r="AA154" s="260"/>
      <c r="AB154" s="250">
        <f t="shared" ref="AB154" si="1100">AA154*AA$8</f>
        <v>0</v>
      </c>
      <c r="AC154" s="250">
        <f>AD154/AC$8</f>
        <v>0</v>
      </c>
      <c r="AD154" s="250">
        <f>AF154+AH154+AJ154</f>
        <v>0</v>
      </c>
      <c r="AE154" s="260"/>
      <c r="AF154" s="250">
        <f t="shared" ref="AF154" si="1101">AE154*AE$8</f>
        <v>0</v>
      </c>
      <c r="AG154" s="260"/>
      <c r="AH154" s="250">
        <f>AG154*AG$8</f>
        <v>0</v>
      </c>
      <c r="AI154" s="260"/>
      <c r="AJ154" s="250">
        <f t="shared" ref="AJ154" si="1102">AI154*AI$8</f>
        <v>0</v>
      </c>
      <c r="AK154" s="295"/>
      <c r="AL154" s="292">
        <f t="shared" si="980"/>
        <v>0</v>
      </c>
      <c r="AM154" s="290"/>
      <c r="AN154" s="288"/>
      <c r="AO154" s="288"/>
      <c r="AP154" s="288"/>
      <c r="AQ154" s="288"/>
      <c r="AR154" s="288"/>
      <c r="AS154" s="288"/>
      <c r="AT154" s="288"/>
      <c r="AU154" s="288"/>
      <c r="AV154" s="288"/>
      <c r="AW154" s="288"/>
      <c r="AX154" s="288"/>
      <c r="AY154" s="288"/>
    </row>
    <row r="155" customHeight="1" outlineLevel="2" spans="1:51">
      <c r="A155" s="259" t="s">
        <v>499</v>
      </c>
      <c r="B155" s="259" t="s">
        <v>500</v>
      </c>
      <c r="C155" s="250">
        <f>D155/$C$8</f>
        <v>91.7926966238857</v>
      </c>
      <c r="D155" s="250">
        <f t="shared" si="981"/>
        <v>1229.25998</v>
      </c>
      <c r="E155" s="250">
        <f>F155/$E$8</f>
        <v>130</v>
      </c>
      <c r="F155" s="250">
        <f t="shared" si="793"/>
        <v>1229.25998</v>
      </c>
      <c r="G155" s="260">
        <v>130</v>
      </c>
      <c r="H155" s="250">
        <f>G155*G$8</f>
        <v>69.27323</v>
      </c>
      <c r="I155" s="260">
        <v>130</v>
      </c>
      <c r="J155" s="250">
        <f t="shared" ref="J155" si="1103">I155*I$8</f>
        <v>732.39816</v>
      </c>
      <c r="K155" s="260">
        <v>130</v>
      </c>
      <c r="L155" s="250">
        <f t="shared" ref="L155" si="1104">K155*K$8</f>
        <v>419.95434</v>
      </c>
      <c r="M155" s="260"/>
      <c r="N155" s="250">
        <f t="shared" si="1093"/>
        <v>0</v>
      </c>
      <c r="O155" s="260"/>
      <c r="P155" s="250">
        <f t="shared" si="1094"/>
        <v>0</v>
      </c>
      <c r="Q155" s="260"/>
      <c r="R155" s="250">
        <f t="shared" si="1095"/>
        <v>0</v>
      </c>
      <c r="S155" s="260">
        <v>130</v>
      </c>
      <c r="T155" s="250">
        <f t="shared" si="1096"/>
        <v>0</v>
      </c>
      <c r="U155" s="260">
        <v>130</v>
      </c>
      <c r="V155" s="250">
        <f t="shared" ref="V155" si="1105">U155*U$8</f>
        <v>0</v>
      </c>
      <c r="W155" s="260">
        <v>130</v>
      </c>
      <c r="X155" s="250">
        <f t="shared" ref="X155" si="1106">W155*W$8</f>
        <v>0</v>
      </c>
      <c r="Y155" s="260">
        <v>130</v>
      </c>
      <c r="Z155" s="250">
        <f t="shared" ref="Z155" si="1107">Y155*Y$8</f>
        <v>7.63425</v>
      </c>
      <c r="AA155" s="260">
        <v>130</v>
      </c>
      <c r="AB155" s="250">
        <f t="shared" ref="AB155" si="1108">AA155*AA$8</f>
        <v>0</v>
      </c>
      <c r="AC155" s="250">
        <f>AD155/AC$8</f>
        <v>0</v>
      </c>
      <c r="AD155" s="250">
        <f>AF155+AH155+AJ155</f>
        <v>0</v>
      </c>
      <c r="AE155" s="260"/>
      <c r="AF155" s="250">
        <f t="shared" ref="AF155" si="1109">AE155*AE$8</f>
        <v>0</v>
      </c>
      <c r="AG155" s="260"/>
      <c r="AH155" s="250">
        <f t="shared" ref="AH155" si="1110">AG155*AG$8</f>
        <v>0</v>
      </c>
      <c r="AI155" s="260"/>
      <c r="AJ155" s="250">
        <f t="shared" ref="AJ155" si="1111">AI155*AI$8</f>
        <v>0</v>
      </c>
      <c r="AK155" s="295" t="s">
        <v>501</v>
      </c>
      <c r="AL155" s="292">
        <f t="shared" si="980"/>
        <v>1229.25998</v>
      </c>
      <c r="AM155" s="290"/>
      <c r="AN155" s="288"/>
      <c r="AO155" s="288"/>
      <c r="AP155" s="288"/>
      <c r="AQ155" s="288"/>
      <c r="AR155" s="288"/>
      <c r="AS155" s="288"/>
      <c r="AT155" s="288"/>
      <c r="AU155" s="288"/>
      <c r="AV155" s="288"/>
      <c r="AW155" s="288"/>
      <c r="AX155" s="288"/>
      <c r="AY155" s="288"/>
    </row>
    <row r="156" customHeight="1" outlineLevel="2" spans="1:51">
      <c r="A156" s="259" t="s">
        <v>502</v>
      </c>
      <c r="B156" s="259" t="s">
        <v>503</v>
      </c>
      <c r="C156" s="250">
        <f>D156/$C$8</f>
        <v>0</v>
      </c>
      <c r="D156" s="250">
        <f t="shared" si="981"/>
        <v>0</v>
      </c>
      <c r="E156" s="250">
        <f>F156/$E$8</f>
        <v>0</v>
      </c>
      <c r="F156" s="250">
        <f t="shared" si="793"/>
        <v>0</v>
      </c>
      <c r="G156" s="260"/>
      <c r="H156" s="250">
        <f>G156*G$8</f>
        <v>0</v>
      </c>
      <c r="I156" s="260"/>
      <c r="J156" s="250">
        <f t="shared" ref="J156" si="1112">I156*I$8</f>
        <v>0</v>
      </c>
      <c r="K156" s="260"/>
      <c r="L156" s="250">
        <f t="shared" ref="L156" si="1113">K156*K$8</f>
        <v>0</v>
      </c>
      <c r="M156" s="260"/>
      <c r="N156" s="250">
        <f t="shared" si="1093"/>
        <v>0</v>
      </c>
      <c r="O156" s="260"/>
      <c r="P156" s="250">
        <f t="shared" si="1094"/>
        <v>0</v>
      </c>
      <c r="Q156" s="260"/>
      <c r="R156" s="250">
        <f t="shared" si="1095"/>
        <v>0</v>
      </c>
      <c r="S156" s="260"/>
      <c r="T156" s="250">
        <f t="shared" si="1096"/>
        <v>0</v>
      </c>
      <c r="U156" s="260"/>
      <c r="V156" s="250">
        <f t="shared" ref="V156" si="1114">U156*U$8</f>
        <v>0</v>
      </c>
      <c r="W156" s="260"/>
      <c r="X156" s="250">
        <f t="shared" ref="X156" si="1115">W156*W$8</f>
        <v>0</v>
      </c>
      <c r="Y156" s="260"/>
      <c r="Z156" s="250">
        <f t="shared" ref="Z156" si="1116">Y156*Y$8</f>
        <v>0</v>
      </c>
      <c r="AA156" s="260"/>
      <c r="AB156" s="250">
        <f t="shared" ref="AB156" si="1117">AA156*AA$8</f>
        <v>0</v>
      </c>
      <c r="AC156" s="250">
        <f>AD156/AC$8</f>
        <v>0</v>
      </c>
      <c r="AD156" s="250">
        <f>AF156+AH156+AJ156</f>
        <v>0</v>
      </c>
      <c r="AE156" s="260"/>
      <c r="AF156" s="250">
        <f t="shared" ref="AF156" si="1118">AE156*AE$8</f>
        <v>0</v>
      </c>
      <c r="AG156" s="260"/>
      <c r="AH156" s="250">
        <f t="shared" ref="AH156" si="1119">AG156*AG$8</f>
        <v>0</v>
      </c>
      <c r="AI156" s="260"/>
      <c r="AJ156" s="250">
        <f t="shared" ref="AJ156" si="1120">AI156*AI$8</f>
        <v>0</v>
      </c>
      <c r="AK156" s="295"/>
      <c r="AL156" s="292">
        <f t="shared" si="980"/>
        <v>0</v>
      </c>
      <c r="AM156" s="290"/>
      <c r="AN156" s="288"/>
      <c r="AO156" s="288"/>
      <c r="AP156" s="288"/>
      <c r="AQ156" s="288"/>
      <c r="AR156" s="288"/>
      <c r="AS156" s="288"/>
      <c r="AT156" s="288"/>
      <c r="AU156" s="288"/>
      <c r="AV156" s="288"/>
      <c r="AW156" s="288"/>
      <c r="AX156" s="288"/>
      <c r="AY156" s="288"/>
    </row>
    <row r="157" customHeight="1" outlineLevel="2" spans="1:51">
      <c r="A157" s="259" t="s">
        <v>504</v>
      </c>
      <c r="B157" s="259" t="s">
        <v>505</v>
      </c>
      <c r="C157" s="250">
        <f>D157/$C$8</f>
        <v>0</v>
      </c>
      <c r="D157" s="250">
        <f t="shared" si="981"/>
        <v>0</v>
      </c>
      <c r="E157" s="250">
        <f>F157/$E$8</f>
        <v>0</v>
      </c>
      <c r="F157" s="250">
        <f t="shared" si="793"/>
        <v>0</v>
      </c>
      <c r="G157" s="260"/>
      <c r="H157" s="250">
        <f>G157*G$8</f>
        <v>0</v>
      </c>
      <c r="I157" s="260"/>
      <c r="J157" s="250">
        <f t="shared" ref="J157" si="1121">I157*I$8</f>
        <v>0</v>
      </c>
      <c r="K157" s="260"/>
      <c r="L157" s="250">
        <f t="shared" ref="L157" si="1122">K157*K$8</f>
        <v>0</v>
      </c>
      <c r="M157" s="260"/>
      <c r="N157" s="250">
        <f t="shared" si="1093"/>
        <v>0</v>
      </c>
      <c r="O157" s="260"/>
      <c r="P157" s="250">
        <f t="shared" si="1094"/>
        <v>0</v>
      </c>
      <c r="Q157" s="260"/>
      <c r="R157" s="250">
        <f t="shared" si="1095"/>
        <v>0</v>
      </c>
      <c r="S157" s="260"/>
      <c r="T157" s="250">
        <f t="shared" si="1096"/>
        <v>0</v>
      </c>
      <c r="U157" s="260"/>
      <c r="V157" s="250">
        <f t="shared" ref="V157" si="1123">U157*U$8</f>
        <v>0</v>
      </c>
      <c r="W157" s="260"/>
      <c r="X157" s="250">
        <f t="shared" ref="X157" si="1124">W157*W$8</f>
        <v>0</v>
      </c>
      <c r="Y157" s="260"/>
      <c r="Z157" s="250">
        <f t="shared" ref="Z157" si="1125">Y157*Y$8</f>
        <v>0</v>
      </c>
      <c r="AA157" s="260"/>
      <c r="AB157" s="250">
        <f t="shared" ref="AB157" si="1126">AA157*AA$8</f>
        <v>0</v>
      </c>
      <c r="AC157" s="250">
        <f>AD157/AC$8</f>
        <v>0</v>
      </c>
      <c r="AD157" s="250">
        <f>AF157+AH157+AJ157</f>
        <v>0</v>
      </c>
      <c r="AE157" s="260"/>
      <c r="AF157" s="250">
        <f t="shared" ref="AF157" si="1127">AE157*AE$8</f>
        <v>0</v>
      </c>
      <c r="AG157" s="260"/>
      <c r="AH157" s="250">
        <f t="shared" ref="AH157" si="1128">AG157*AG$8</f>
        <v>0</v>
      </c>
      <c r="AI157" s="260"/>
      <c r="AJ157" s="250">
        <f t="shared" ref="AJ157" si="1129">AI157*AI$8</f>
        <v>0</v>
      </c>
      <c r="AK157" s="295"/>
      <c r="AL157" s="292">
        <f t="shared" si="980"/>
        <v>0</v>
      </c>
      <c r="AM157" s="290"/>
      <c r="AN157" s="288"/>
      <c r="AO157" s="288"/>
      <c r="AP157" s="288"/>
      <c r="AQ157" s="288"/>
      <c r="AR157" s="288"/>
      <c r="AS157" s="288"/>
      <c r="AT157" s="288"/>
      <c r="AU157" s="288"/>
      <c r="AV157" s="288"/>
      <c r="AW157" s="288"/>
      <c r="AX157" s="288"/>
      <c r="AY157" s="288"/>
    </row>
    <row r="158" customHeight="1" outlineLevel="1" spans="1:51">
      <c r="A158" s="255" t="s">
        <v>506</v>
      </c>
      <c r="B158" s="255" t="s">
        <v>507</v>
      </c>
      <c r="C158" s="306">
        <f>SUM(C159:C166)</f>
        <v>117.834221084901</v>
      </c>
      <c r="D158" s="306">
        <f t="shared" ref="D158:AJ158" si="1130">SUM(D159:D166)</f>
        <v>1578.000185</v>
      </c>
      <c r="E158" s="306">
        <f t="shared" si="1130"/>
        <v>166.880909968288</v>
      </c>
      <c r="F158" s="306">
        <f t="shared" si="1130"/>
        <v>1578.000185</v>
      </c>
      <c r="G158" s="306">
        <f t="shared" si="1130"/>
        <v>167.923791233507</v>
      </c>
      <c r="H158" s="306">
        <f t="shared" si="1130"/>
        <v>89.4817185583898</v>
      </c>
      <c r="I158" s="306">
        <f t="shared" si="1130"/>
        <v>167.923791233507</v>
      </c>
      <c r="J158" s="306">
        <f t="shared" si="1130"/>
        <v>946.054428612648</v>
      </c>
      <c r="K158" s="306">
        <f t="shared" si="1130"/>
        <v>167.923791233507</v>
      </c>
      <c r="L158" s="306">
        <f t="shared" si="1130"/>
        <v>542.464037828962</v>
      </c>
      <c r="M158" s="306">
        <f t="shared" si="1130"/>
        <v>198.505265602092</v>
      </c>
      <c r="N158" s="306">
        <f t="shared" si="1130"/>
        <v>0</v>
      </c>
      <c r="O158" s="306">
        <f t="shared" si="1130"/>
        <v>198.505265602092</v>
      </c>
      <c r="P158" s="306">
        <f t="shared" si="1130"/>
        <v>0</v>
      </c>
      <c r="Q158" s="306">
        <f t="shared" si="1130"/>
        <v>198.505265602092</v>
      </c>
      <c r="R158" s="306">
        <f t="shared" si="1130"/>
        <v>0</v>
      </c>
      <c r="S158" s="306">
        <f t="shared" si="1130"/>
        <v>162.923791233507</v>
      </c>
      <c r="T158" s="306">
        <f t="shared" si="1130"/>
        <v>0</v>
      </c>
      <c r="U158" s="306">
        <f t="shared" si="1130"/>
        <v>0</v>
      </c>
      <c r="V158" s="306">
        <f t="shared" si="1130"/>
        <v>0</v>
      </c>
      <c r="W158" s="306">
        <f t="shared" si="1130"/>
        <v>0</v>
      </c>
      <c r="X158" s="306">
        <f t="shared" si="1130"/>
        <v>0</v>
      </c>
      <c r="Y158" s="306">
        <f t="shared" si="1130"/>
        <v>0</v>
      </c>
      <c r="Z158" s="306">
        <f t="shared" si="1130"/>
        <v>0</v>
      </c>
      <c r="AA158" s="306">
        <f t="shared" si="1130"/>
        <v>0</v>
      </c>
      <c r="AB158" s="306">
        <f t="shared" si="1130"/>
        <v>0</v>
      </c>
      <c r="AC158" s="306">
        <f t="shared" si="1130"/>
        <v>0</v>
      </c>
      <c r="AD158" s="306">
        <f t="shared" si="1130"/>
        <v>0</v>
      </c>
      <c r="AE158" s="306">
        <f t="shared" si="1130"/>
        <v>0</v>
      </c>
      <c r="AF158" s="306">
        <f t="shared" si="1130"/>
        <v>0</v>
      </c>
      <c r="AG158" s="306">
        <f t="shared" si="1130"/>
        <v>0</v>
      </c>
      <c r="AH158" s="306">
        <f t="shared" si="1130"/>
        <v>0</v>
      </c>
      <c r="AI158" s="306">
        <f t="shared" si="1130"/>
        <v>0</v>
      </c>
      <c r="AJ158" s="306">
        <f t="shared" si="1130"/>
        <v>0</v>
      </c>
      <c r="AK158" s="295" t="s">
        <v>508</v>
      </c>
      <c r="AL158" s="292">
        <f t="shared" si="980"/>
        <v>1578.000185</v>
      </c>
      <c r="AM158" s="290"/>
      <c r="AN158" s="288"/>
      <c r="AO158" s="288"/>
      <c r="AP158" s="288"/>
      <c r="AQ158" s="288"/>
      <c r="AR158" s="288"/>
      <c r="AS158" s="288"/>
      <c r="AT158" s="288"/>
      <c r="AU158" s="288"/>
      <c r="AV158" s="288"/>
      <c r="AW158" s="288"/>
      <c r="AX158" s="288"/>
      <c r="AY158" s="288"/>
    </row>
    <row r="159" ht="27" customHeight="1" outlineLevel="2" spans="1:51">
      <c r="A159" s="327" t="s">
        <v>509</v>
      </c>
      <c r="B159" s="327" t="s">
        <v>510</v>
      </c>
      <c r="C159" s="250">
        <f t="shared" ref="C159:C169" si="1131">D159/$C$8</f>
        <v>117.834221084901</v>
      </c>
      <c r="D159" s="250">
        <f t="shared" si="981"/>
        <v>1578.000185</v>
      </c>
      <c r="E159" s="250">
        <f t="shared" ref="E159:E169" si="1132">F159/$E$8</f>
        <v>166.880909968288</v>
      </c>
      <c r="F159" s="250">
        <f t="shared" si="793"/>
        <v>1578.000185</v>
      </c>
      <c r="G159" s="260">
        <f>360*(经济指标!$E$6-经济指标!$H$25)/10000/($G$8+$I$8+$K$8+$M$8+$O$8+$Q$8+$S$8)+25</f>
        <v>167.923791233507</v>
      </c>
      <c r="H159" s="250">
        <f>G159*G$8</f>
        <v>89.4817185583898</v>
      </c>
      <c r="I159" s="260">
        <f>360*(经济指标!$E$6-经济指标!$H$25)/10000/($G$8+$I$8+$K$8+$M$8+$O$8+$Q$8+$S$8+$U$8)+25</f>
        <v>167.923791233507</v>
      </c>
      <c r="J159" s="250">
        <f t="shared" ref="J159" si="1133">I159*I$8</f>
        <v>946.054428612648</v>
      </c>
      <c r="K159" s="260">
        <f>360*(经济指标!$E$6-经济指标!$H$25)/10000/($G$8+$I$8+$K$8+$M$8+$O$8+$Q$8+$S$8)+25</f>
        <v>167.923791233507</v>
      </c>
      <c r="L159" s="250">
        <f t="shared" ref="L159" si="1134">K159*K$8</f>
        <v>542.464037828962</v>
      </c>
      <c r="M159" s="260">
        <f>500*(经济指标!$E$6-经济指标!$H$25)/10000/($G$8+$I$8+$K$8+$M$8+$O$8+$Q$8+$S$8)</f>
        <v>198.505265602092</v>
      </c>
      <c r="N159" s="250">
        <f t="shared" ref="N159:N169" si="1135">M159*M$8</f>
        <v>0</v>
      </c>
      <c r="O159" s="260">
        <f>500*(经济指标!$E$6-经济指标!$H$25)/10000/($G$8+$I$8+$K$8+$M$8+$O$8+$Q$8+$S$8+$U$8)</f>
        <v>198.505265602092</v>
      </c>
      <c r="P159" s="250">
        <f t="shared" ref="P159:P169" si="1136">O159*O$8</f>
        <v>0</v>
      </c>
      <c r="Q159" s="260">
        <f>500*(经济指标!$E$6-经济指标!$H$25)/10000/($G$8+$I$8+$K$8+$M$8+$O$8+$Q$8+$S$8)</f>
        <v>198.505265602092</v>
      </c>
      <c r="R159" s="250">
        <f t="shared" ref="R159:R169" si="1137">Q159*Q$8</f>
        <v>0</v>
      </c>
      <c r="S159" s="260">
        <f>360*(经济指标!$E$6-经济指标!$H$25)/10000/($G$8+$I$8+$K$8+$M$8+$O$8+$Q$8+$S$8)+20</f>
        <v>162.923791233507</v>
      </c>
      <c r="T159" s="250">
        <f t="shared" ref="T159:T169" si="1138">S159*S$8</f>
        <v>0</v>
      </c>
      <c r="U159" s="260"/>
      <c r="V159" s="250">
        <f t="shared" ref="V159" si="1139">U159*U$8</f>
        <v>0</v>
      </c>
      <c r="W159" s="260"/>
      <c r="X159" s="250">
        <f t="shared" ref="X159" si="1140">W159*W$8</f>
        <v>0</v>
      </c>
      <c r="Y159" s="260"/>
      <c r="Z159" s="250">
        <f t="shared" ref="Z159" si="1141">Y159*Y$8</f>
        <v>0</v>
      </c>
      <c r="AA159" s="260"/>
      <c r="AB159" s="250">
        <f t="shared" ref="AB159" si="1142">AA159*AA$8</f>
        <v>0</v>
      </c>
      <c r="AC159" s="250">
        <f t="shared" ref="AC159:AC169" si="1143">AD159/AC$8</f>
        <v>0</v>
      </c>
      <c r="AD159" s="250">
        <f t="shared" ref="AD159:AD169" si="1144">AF159+AH159+AJ159</f>
        <v>0</v>
      </c>
      <c r="AE159" s="260"/>
      <c r="AF159" s="250">
        <f t="shared" ref="AF159" si="1145">AE159*AE$8</f>
        <v>0</v>
      </c>
      <c r="AG159" s="260"/>
      <c r="AH159" s="250">
        <f t="shared" ref="AH159" si="1146">AG159*AG$8</f>
        <v>0</v>
      </c>
      <c r="AI159" s="260"/>
      <c r="AJ159" s="250">
        <f t="shared" ref="AJ159" si="1147">AI159*AI$8</f>
        <v>0</v>
      </c>
      <c r="AK159" s="291" t="s">
        <v>511</v>
      </c>
      <c r="AL159" s="292">
        <f t="shared" si="980"/>
        <v>1578.000185</v>
      </c>
      <c r="AM159" s="290"/>
      <c r="AN159" s="288"/>
      <c r="AO159" s="288"/>
      <c r="AP159" s="288"/>
      <c r="AQ159" s="288"/>
      <c r="AR159" s="288"/>
      <c r="AS159" s="288"/>
      <c r="AT159" s="288"/>
      <c r="AU159" s="288"/>
      <c r="AV159" s="288"/>
      <c r="AW159" s="288"/>
      <c r="AX159" s="288"/>
      <c r="AY159" s="288"/>
    </row>
    <row r="160" customHeight="1" outlineLevel="3" spans="1:51">
      <c r="A160" s="327" t="s">
        <v>512</v>
      </c>
      <c r="B160" s="327" t="s">
        <v>513</v>
      </c>
      <c r="C160" s="250">
        <f t="shared" si="1131"/>
        <v>0</v>
      </c>
      <c r="D160" s="250">
        <f t="shared" si="981"/>
        <v>0</v>
      </c>
      <c r="E160" s="250">
        <f t="shared" si="1132"/>
        <v>0</v>
      </c>
      <c r="F160" s="250">
        <f t="shared" si="793"/>
        <v>0</v>
      </c>
      <c r="G160" s="260"/>
      <c r="H160" s="250">
        <f t="shared" ref="H160:H169" si="1148">G160*G$8</f>
        <v>0</v>
      </c>
      <c r="I160" s="260"/>
      <c r="J160" s="250">
        <f t="shared" ref="J160" si="1149">I160*I$8</f>
        <v>0</v>
      </c>
      <c r="K160" s="260"/>
      <c r="L160" s="250">
        <f t="shared" ref="L160" si="1150">K160*K$8</f>
        <v>0</v>
      </c>
      <c r="M160" s="260"/>
      <c r="N160" s="250">
        <f t="shared" si="1135"/>
        <v>0</v>
      </c>
      <c r="O160" s="260"/>
      <c r="P160" s="250">
        <f t="shared" si="1136"/>
        <v>0</v>
      </c>
      <c r="Q160" s="260"/>
      <c r="R160" s="250">
        <f t="shared" si="1137"/>
        <v>0</v>
      </c>
      <c r="S160" s="260"/>
      <c r="T160" s="250">
        <f t="shared" si="1138"/>
        <v>0</v>
      </c>
      <c r="U160" s="260"/>
      <c r="V160" s="250">
        <f t="shared" ref="V160" si="1151">U160*U$8</f>
        <v>0</v>
      </c>
      <c r="W160" s="260"/>
      <c r="X160" s="250">
        <f t="shared" ref="X160" si="1152">W160*W$8</f>
        <v>0</v>
      </c>
      <c r="Y160" s="260"/>
      <c r="Z160" s="250">
        <f t="shared" ref="Z160" si="1153">Y160*Y$8</f>
        <v>0</v>
      </c>
      <c r="AA160" s="260"/>
      <c r="AB160" s="250">
        <f t="shared" ref="AB160" si="1154">AA160*AA$8</f>
        <v>0</v>
      </c>
      <c r="AC160" s="250">
        <f t="shared" si="1143"/>
        <v>0</v>
      </c>
      <c r="AD160" s="250">
        <f t="shared" si="1144"/>
        <v>0</v>
      </c>
      <c r="AE160" s="260"/>
      <c r="AF160" s="250">
        <f t="shared" ref="AF160" si="1155">AE160*AE$8</f>
        <v>0</v>
      </c>
      <c r="AG160" s="260"/>
      <c r="AH160" s="250">
        <f t="shared" ref="AH160" si="1156">AG160*AG$8</f>
        <v>0</v>
      </c>
      <c r="AI160" s="260"/>
      <c r="AJ160" s="250">
        <f t="shared" ref="AJ160" si="1157">AI160*AI$8</f>
        <v>0</v>
      </c>
      <c r="AK160" s="295"/>
      <c r="AL160" s="292">
        <f t="shared" si="980"/>
        <v>0</v>
      </c>
      <c r="AM160" s="290"/>
      <c r="AN160" s="288"/>
      <c r="AO160" s="288"/>
      <c r="AP160" s="288"/>
      <c r="AQ160" s="288"/>
      <c r="AR160" s="288"/>
      <c r="AS160" s="288"/>
      <c r="AT160" s="288"/>
      <c r="AU160" s="288"/>
      <c r="AV160" s="288"/>
      <c r="AW160" s="288"/>
      <c r="AX160" s="288"/>
      <c r="AY160" s="288"/>
    </row>
    <row r="161" customHeight="1" outlineLevel="3" spans="1:51">
      <c r="A161" s="303" t="s">
        <v>514</v>
      </c>
      <c r="B161" s="328" t="s">
        <v>515</v>
      </c>
      <c r="C161" s="250">
        <f t="shared" si="1131"/>
        <v>0</v>
      </c>
      <c r="D161" s="250">
        <f t="shared" si="981"/>
        <v>0</v>
      </c>
      <c r="E161" s="250">
        <f t="shared" si="1132"/>
        <v>0</v>
      </c>
      <c r="F161" s="250">
        <f t="shared" si="793"/>
        <v>0</v>
      </c>
      <c r="G161" s="260"/>
      <c r="H161" s="250">
        <f t="shared" si="1148"/>
        <v>0</v>
      </c>
      <c r="I161" s="260"/>
      <c r="J161" s="250">
        <f t="shared" ref="J161" si="1158">I161*I$8</f>
        <v>0</v>
      </c>
      <c r="K161" s="260"/>
      <c r="L161" s="250">
        <f t="shared" ref="L161" si="1159">K161*K$8</f>
        <v>0</v>
      </c>
      <c r="M161" s="260"/>
      <c r="N161" s="250">
        <f t="shared" si="1135"/>
        <v>0</v>
      </c>
      <c r="O161" s="260"/>
      <c r="P161" s="250">
        <f t="shared" si="1136"/>
        <v>0</v>
      </c>
      <c r="Q161" s="260"/>
      <c r="R161" s="250">
        <f t="shared" si="1137"/>
        <v>0</v>
      </c>
      <c r="S161" s="260"/>
      <c r="T161" s="250">
        <f t="shared" si="1138"/>
        <v>0</v>
      </c>
      <c r="U161" s="260"/>
      <c r="V161" s="250">
        <f t="shared" ref="V161" si="1160">U161*U$8</f>
        <v>0</v>
      </c>
      <c r="W161" s="260"/>
      <c r="X161" s="250">
        <f t="shared" ref="X161" si="1161">W161*W$8</f>
        <v>0</v>
      </c>
      <c r="Y161" s="260"/>
      <c r="Z161" s="250">
        <f t="shared" ref="Z161" si="1162">Y161*Y$8</f>
        <v>0</v>
      </c>
      <c r="AA161" s="260"/>
      <c r="AB161" s="250">
        <f t="shared" ref="AB161" si="1163">AA161*AA$8</f>
        <v>0</v>
      </c>
      <c r="AC161" s="250">
        <f t="shared" si="1143"/>
        <v>0</v>
      </c>
      <c r="AD161" s="250">
        <f t="shared" si="1144"/>
        <v>0</v>
      </c>
      <c r="AE161" s="260"/>
      <c r="AF161" s="250">
        <f t="shared" ref="AF161" si="1164">AE161*AE$8</f>
        <v>0</v>
      </c>
      <c r="AG161" s="260"/>
      <c r="AH161" s="250">
        <f t="shared" ref="AH161" si="1165">AG161*AG$8</f>
        <v>0</v>
      </c>
      <c r="AI161" s="260"/>
      <c r="AJ161" s="250">
        <f t="shared" ref="AJ161" si="1166">AI161*AI$8</f>
        <v>0</v>
      </c>
      <c r="AK161" s="295"/>
      <c r="AL161" s="292">
        <f t="shared" si="980"/>
        <v>0</v>
      </c>
      <c r="AM161" s="290"/>
      <c r="AN161" s="288"/>
      <c r="AO161" s="288"/>
      <c r="AP161" s="288"/>
      <c r="AQ161" s="288"/>
      <c r="AR161" s="288"/>
      <c r="AS161" s="288"/>
      <c r="AT161" s="288"/>
      <c r="AU161" s="288"/>
      <c r="AV161" s="288"/>
      <c r="AW161" s="288"/>
      <c r="AX161" s="288"/>
      <c r="AY161" s="288"/>
    </row>
    <row r="162" customHeight="1" outlineLevel="3" spans="1:51">
      <c r="A162" s="327" t="s">
        <v>516</v>
      </c>
      <c r="B162" s="327" t="s">
        <v>517</v>
      </c>
      <c r="C162" s="250">
        <f t="shared" si="1131"/>
        <v>0</v>
      </c>
      <c r="D162" s="250">
        <f t="shared" si="981"/>
        <v>0</v>
      </c>
      <c r="E162" s="250">
        <f t="shared" si="1132"/>
        <v>0</v>
      </c>
      <c r="F162" s="250">
        <f t="shared" si="793"/>
        <v>0</v>
      </c>
      <c r="G162" s="260"/>
      <c r="H162" s="250">
        <f t="shared" si="1148"/>
        <v>0</v>
      </c>
      <c r="I162" s="260"/>
      <c r="J162" s="250">
        <f t="shared" ref="J162" si="1167">I162*I$8</f>
        <v>0</v>
      </c>
      <c r="K162" s="260"/>
      <c r="L162" s="250">
        <f t="shared" ref="L162" si="1168">K162*K$8</f>
        <v>0</v>
      </c>
      <c r="M162" s="260"/>
      <c r="N162" s="250">
        <f t="shared" si="1135"/>
        <v>0</v>
      </c>
      <c r="O162" s="260"/>
      <c r="P162" s="250">
        <f t="shared" si="1136"/>
        <v>0</v>
      </c>
      <c r="Q162" s="260"/>
      <c r="R162" s="250">
        <f t="shared" si="1137"/>
        <v>0</v>
      </c>
      <c r="S162" s="260"/>
      <c r="T162" s="250">
        <f t="shared" si="1138"/>
        <v>0</v>
      </c>
      <c r="U162" s="260"/>
      <c r="V162" s="250">
        <f t="shared" ref="V162" si="1169">U162*U$8</f>
        <v>0</v>
      </c>
      <c r="W162" s="260"/>
      <c r="X162" s="250">
        <f t="shared" ref="X162" si="1170">W162*W$8</f>
        <v>0</v>
      </c>
      <c r="Y162" s="260"/>
      <c r="Z162" s="250">
        <f t="shared" ref="Z162" si="1171">Y162*Y$8</f>
        <v>0</v>
      </c>
      <c r="AA162" s="260"/>
      <c r="AB162" s="250">
        <f t="shared" ref="AB162" si="1172">AA162*AA$8</f>
        <v>0</v>
      </c>
      <c r="AC162" s="250">
        <f t="shared" si="1143"/>
        <v>0</v>
      </c>
      <c r="AD162" s="250">
        <f t="shared" si="1144"/>
        <v>0</v>
      </c>
      <c r="AE162" s="260"/>
      <c r="AF162" s="250">
        <f t="shared" ref="AF162" si="1173">AE162*AE$8</f>
        <v>0</v>
      </c>
      <c r="AG162" s="260"/>
      <c r="AH162" s="250">
        <f t="shared" ref="AH162" si="1174">AG162*AG$8</f>
        <v>0</v>
      </c>
      <c r="AI162" s="260"/>
      <c r="AJ162" s="250">
        <f t="shared" ref="AJ162" si="1175">AI162*AI$8</f>
        <v>0</v>
      </c>
      <c r="AK162" s="295"/>
      <c r="AL162" s="292">
        <f t="shared" si="980"/>
        <v>0</v>
      </c>
      <c r="AM162" s="290"/>
      <c r="AN162" s="288"/>
      <c r="AO162" s="288"/>
      <c r="AP162" s="288"/>
      <c r="AQ162" s="288"/>
      <c r="AR162" s="288"/>
      <c r="AS162" s="288"/>
      <c r="AT162" s="288"/>
      <c r="AU162" s="288"/>
      <c r="AV162" s="288"/>
      <c r="AW162" s="288"/>
      <c r="AX162" s="288"/>
      <c r="AY162" s="288"/>
    </row>
    <row r="163" customHeight="1" outlineLevel="2" spans="1:51">
      <c r="A163" s="327" t="s">
        <v>518</v>
      </c>
      <c r="B163" s="327" t="s">
        <v>519</v>
      </c>
      <c r="C163" s="250">
        <f t="shared" si="1131"/>
        <v>0</v>
      </c>
      <c r="D163" s="250">
        <f t="shared" si="981"/>
        <v>0</v>
      </c>
      <c r="E163" s="250">
        <f t="shared" si="1132"/>
        <v>0</v>
      </c>
      <c r="F163" s="250">
        <f t="shared" ref="F163:F191" si="1176">H163+J163+L163+N163+P163+R163+T163+V163+X163+Z163+AB163</f>
        <v>0</v>
      </c>
      <c r="G163" s="260"/>
      <c r="H163" s="250">
        <f t="shared" si="1148"/>
        <v>0</v>
      </c>
      <c r="I163" s="260"/>
      <c r="J163" s="250">
        <f t="shared" ref="J163" si="1177">I163*I$8</f>
        <v>0</v>
      </c>
      <c r="K163" s="260"/>
      <c r="L163" s="250">
        <f t="shared" ref="L163" si="1178">K163*K$8</f>
        <v>0</v>
      </c>
      <c r="M163" s="260"/>
      <c r="N163" s="250">
        <f t="shared" si="1135"/>
        <v>0</v>
      </c>
      <c r="O163" s="260"/>
      <c r="P163" s="250">
        <f t="shared" si="1136"/>
        <v>0</v>
      </c>
      <c r="Q163" s="260"/>
      <c r="R163" s="250">
        <f t="shared" si="1137"/>
        <v>0</v>
      </c>
      <c r="S163" s="260"/>
      <c r="T163" s="250">
        <f t="shared" si="1138"/>
        <v>0</v>
      </c>
      <c r="U163" s="260"/>
      <c r="V163" s="250">
        <f t="shared" ref="V163" si="1179">U163*U$8</f>
        <v>0</v>
      </c>
      <c r="W163" s="260"/>
      <c r="X163" s="250">
        <f t="shared" ref="X163" si="1180">W163*W$8</f>
        <v>0</v>
      </c>
      <c r="Y163" s="260"/>
      <c r="Z163" s="250">
        <f t="shared" ref="Z163" si="1181">Y163*Y$8</f>
        <v>0</v>
      </c>
      <c r="AA163" s="260"/>
      <c r="AB163" s="250">
        <f t="shared" ref="AB163" si="1182">AA163*AA$8</f>
        <v>0</v>
      </c>
      <c r="AC163" s="250">
        <f t="shared" si="1143"/>
        <v>0</v>
      </c>
      <c r="AD163" s="250">
        <f t="shared" si="1144"/>
        <v>0</v>
      </c>
      <c r="AE163" s="260"/>
      <c r="AF163" s="250">
        <f t="shared" ref="AF163" si="1183">AE163*AE$8</f>
        <v>0</v>
      </c>
      <c r="AG163" s="260"/>
      <c r="AH163" s="250">
        <f t="shared" ref="AH163" si="1184">AG163*AG$8</f>
        <v>0</v>
      </c>
      <c r="AI163" s="260"/>
      <c r="AJ163" s="250">
        <f t="shared" ref="AJ163" si="1185">AI163*AI$8</f>
        <v>0</v>
      </c>
      <c r="AK163" s="295"/>
      <c r="AL163" s="292">
        <f t="shared" si="980"/>
        <v>0</v>
      </c>
      <c r="AM163" s="290"/>
      <c r="AN163" s="288"/>
      <c r="AO163" s="288"/>
      <c r="AP163" s="288"/>
      <c r="AQ163" s="288"/>
      <c r="AR163" s="288"/>
      <c r="AS163" s="288"/>
      <c r="AT163" s="288"/>
      <c r="AU163" s="288"/>
      <c r="AV163" s="288"/>
      <c r="AW163" s="288"/>
      <c r="AX163" s="288"/>
      <c r="AY163" s="288"/>
    </row>
    <row r="164" customHeight="1" outlineLevel="2" spans="1:51">
      <c r="A164" s="327" t="s">
        <v>520</v>
      </c>
      <c r="B164" s="327" t="s">
        <v>521</v>
      </c>
      <c r="C164" s="250">
        <f t="shared" si="1131"/>
        <v>0</v>
      </c>
      <c r="D164" s="250">
        <f t="shared" si="981"/>
        <v>0</v>
      </c>
      <c r="E164" s="250">
        <f t="shared" si="1132"/>
        <v>0</v>
      </c>
      <c r="F164" s="250">
        <f t="shared" si="1176"/>
        <v>0</v>
      </c>
      <c r="G164" s="260"/>
      <c r="H164" s="250">
        <f t="shared" si="1148"/>
        <v>0</v>
      </c>
      <c r="I164" s="260"/>
      <c r="J164" s="250">
        <f t="shared" ref="J164" si="1186">I164*I$8</f>
        <v>0</v>
      </c>
      <c r="K164" s="260"/>
      <c r="L164" s="250">
        <f t="shared" ref="L164" si="1187">K164*K$8</f>
        <v>0</v>
      </c>
      <c r="M164" s="260"/>
      <c r="N164" s="250">
        <f t="shared" si="1135"/>
        <v>0</v>
      </c>
      <c r="O164" s="260"/>
      <c r="P164" s="250">
        <f t="shared" si="1136"/>
        <v>0</v>
      </c>
      <c r="Q164" s="260"/>
      <c r="R164" s="250">
        <f t="shared" si="1137"/>
        <v>0</v>
      </c>
      <c r="S164" s="260"/>
      <c r="T164" s="250">
        <f t="shared" si="1138"/>
        <v>0</v>
      </c>
      <c r="U164" s="260"/>
      <c r="V164" s="250">
        <f t="shared" ref="V164" si="1188">U164*U$8</f>
        <v>0</v>
      </c>
      <c r="W164" s="260"/>
      <c r="X164" s="250">
        <f t="shared" ref="X164" si="1189">W164*W$8</f>
        <v>0</v>
      </c>
      <c r="Y164" s="260"/>
      <c r="Z164" s="250">
        <f t="shared" ref="Z164" si="1190">Y164*Y$8</f>
        <v>0</v>
      </c>
      <c r="AA164" s="260"/>
      <c r="AB164" s="250">
        <f t="shared" ref="AB164" si="1191">AA164*AA$8</f>
        <v>0</v>
      </c>
      <c r="AC164" s="250">
        <f t="shared" si="1143"/>
        <v>0</v>
      </c>
      <c r="AD164" s="250">
        <f t="shared" si="1144"/>
        <v>0</v>
      </c>
      <c r="AE164" s="260"/>
      <c r="AF164" s="250">
        <f t="shared" ref="AF164" si="1192">AE164*AE$8</f>
        <v>0</v>
      </c>
      <c r="AG164" s="260"/>
      <c r="AH164" s="250">
        <f t="shared" ref="AH164" si="1193">AG164*AG$8</f>
        <v>0</v>
      </c>
      <c r="AI164" s="260"/>
      <c r="AJ164" s="250">
        <f t="shared" ref="AJ164" si="1194">AI164*AI$8</f>
        <v>0</v>
      </c>
      <c r="AK164" s="295"/>
      <c r="AL164" s="292">
        <f t="shared" si="980"/>
        <v>0</v>
      </c>
      <c r="AM164" s="290"/>
      <c r="AN164" s="288"/>
      <c r="AO164" s="288"/>
      <c r="AP164" s="288"/>
      <c r="AQ164" s="288"/>
      <c r="AR164" s="288"/>
      <c r="AS164" s="288"/>
      <c r="AT164" s="288"/>
      <c r="AU164" s="288"/>
      <c r="AV164" s="288"/>
      <c r="AW164" s="288"/>
      <c r="AX164" s="288"/>
      <c r="AY164" s="288"/>
    </row>
    <row r="165" customHeight="1" outlineLevel="2" spans="1:51">
      <c r="A165" s="327" t="s">
        <v>522</v>
      </c>
      <c r="B165" s="327" t="s">
        <v>523</v>
      </c>
      <c r="C165" s="250">
        <f t="shared" si="1131"/>
        <v>0</v>
      </c>
      <c r="D165" s="250">
        <f t="shared" si="981"/>
        <v>0</v>
      </c>
      <c r="E165" s="250">
        <f t="shared" si="1132"/>
        <v>0</v>
      </c>
      <c r="F165" s="250">
        <f t="shared" si="1176"/>
        <v>0</v>
      </c>
      <c r="G165" s="260"/>
      <c r="H165" s="250">
        <f t="shared" si="1148"/>
        <v>0</v>
      </c>
      <c r="I165" s="260"/>
      <c r="J165" s="250">
        <f t="shared" ref="J165" si="1195">I165*I$8</f>
        <v>0</v>
      </c>
      <c r="K165" s="260"/>
      <c r="L165" s="250">
        <f t="shared" ref="L165" si="1196">K165*K$8</f>
        <v>0</v>
      </c>
      <c r="M165" s="260"/>
      <c r="N165" s="250">
        <f t="shared" si="1135"/>
        <v>0</v>
      </c>
      <c r="O165" s="260"/>
      <c r="P165" s="250">
        <f t="shared" si="1136"/>
        <v>0</v>
      </c>
      <c r="Q165" s="260"/>
      <c r="R165" s="250">
        <f t="shared" si="1137"/>
        <v>0</v>
      </c>
      <c r="S165" s="260"/>
      <c r="T165" s="250">
        <f t="shared" si="1138"/>
        <v>0</v>
      </c>
      <c r="U165" s="260"/>
      <c r="V165" s="250">
        <f t="shared" ref="V165" si="1197">U165*U$8</f>
        <v>0</v>
      </c>
      <c r="W165" s="260"/>
      <c r="X165" s="250">
        <f t="shared" ref="X165" si="1198">W165*W$8</f>
        <v>0</v>
      </c>
      <c r="Y165" s="260"/>
      <c r="Z165" s="250">
        <f t="shared" ref="Z165" si="1199">Y165*Y$8</f>
        <v>0</v>
      </c>
      <c r="AA165" s="260"/>
      <c r="AB165" s="250">
        <f t="shared" ref="AB165" si="1200">AA165*AA$8</f>
        <v>0</v>
      </c>
      <c r="AC165" s="250">
        <f t="shared" si="1143"/>
        <v>0</v>
      </c>
      <c r="AD165" s="250">
        <f t="shared" si="1144"/>
        <v>0</v>
      </c>
      <c r="AE165" s="260"/>
      <c r="AF165" s="250">
        <f t="shared" ref="AF165" si="1201">AE165*AE$8</f>
        <v>0</v>
      </c>
      <c r="AG165" s="260"/>
      <c r="AH165" s="250">
        <f t="shared" ref="AH165" si="1202">AG165*AG$8</f>
        <v>0</v>
      </c>
      <c r="AI165" s="260"/>
      <c r="AJ165" s="250">
        <f t="shared" ref="AJ165" si="1203">AI165*AI$8</f>
        <v>0</v>
      </c>
      <c r="AK165" s="295"/>
      <c r="AL165" s="292">
        <f t="shared" si="980"/>
        <v>0</v>
      </c>
      <c r="AM165" s="290"/>
      <c r="AN165" s="288"/>
      <c r="AO165" s="288"/>
      <c r="AP165" s="288"/>
      <c r="AQ165" s="288"/>
      <c r="AR165" s="288"/>
      <c r="AS165" s="288"/>
      <c r="AT165" s="288"/>
      <c r="AU165" s="288"/>
      <c r="AV165" s="288"/>
      <c r="AW165" s="288"/>
      <c r="AX165" s="288"/>
      <c r="AY165" s="288"/>
    </row>
    <row r="166" customHeight="1" outlineLevel="2" spans="1:51">
      <c r="A166" s="327" t="s">
        <v>524</v>
      </c>
      <c r="B166" s="327" t="s">
        <v>525</v>
      </c>
      <c r="C166" s="250">
        <f t="shared" si="1131"/>
        <v>0</v>
      </c>
      <c r="D166" s="250">
        <f t="shared" si="981"/>
        <v>0</v>
      </c>
      <c r="E166" s="250">
        <f t="shared" si="1132"/>
        <v>0</v>
      </c>
      <c r="F166" s="250">
        <f t="shared" si="1176"/>
        <v>0</v>
      </c>
      <c r="G166" s="260"/>
      <c r="H166" s="250">
        <f t="shared" si="1148"/>
        <v>0</v>
      </c>
      <c r="I166" s="260"/>
      <c r="J166" s="250">
        <f t="shared" ref="J166" si="1204">I166*I$8</f>
        <v>0</v>
      </c>
      <c r="K166" s="260"/>
      <c r="L166" s="250">
        <f t="shared" ref="L166" si="1205">K166*K$8</f>
        <v>0</v>
      </c>
      <c r="M166" s="260"/>
      <c r="N166" s="250">
        <f t="shared" si="1135"/>
        <v>0</v>
      </c>
      <c r="O166" s="260"/>
      <c r="P166" s="250">
        <f t="shared" si="1136"/>
        <v>0</v>
      </c>
      <c r="Q166" s="260"/>
      <c r="R166" s="250">
        <f t="shared" si="1137"/>
        <v>0</v>
      </c>
      <c r="S166" s="260"/>
      <c r="T166" s="250">
        <f t="shared" si="1138"/>
        <v>0</v>
      </c>
      <c r="U166" s="260"/>
      <c r="V166" s="250">
        <f t="shared" ref="V166" si="1206">U166*U$8</f>
        <v>0</v>
      </c>
      <c r="W166" s="260"/>
      <c r="X166" s="250">
        <f t="shared" ref="X166" si="1207">W166*W$8</f>
        <v>0</v>
      </c>
      <c r="Y166" s="260"/>
      <c r="Z166" s="250">
        <f t="shared" ref="Z166" si="1208">Y166*Y$8</f>
        <v>0</v>
      </c>
      <c r="AA166" s="260"/>
      <c r="AB166" s="250">
        <f t="shared" ref="AB166" si="1209">AA166*AA$8</f>
        <v>0</v>
      </c>
      <c r="AC166" s="250">
        <f t="shared" si="1143"/>
        <v>0</v>
      </c>
      <c r="AD166" s="250">
        <f t="shared" si="1144"/>
        <v>0</v>
      </c>
      <c r="AE166" s="260"/>
      <c r="AF166" s="250">
        <f t="shared" ref="AF166" si="1210">AE166*AE$8</f>
        <v>0</v>
      </c>
      <c r="AG166" s="260"/>
      <c r="AH166" s="250">
        <f t="shared" ref="AH166" si="1211">AG166*AG$8</f>
        <v>0</v>
      </c>
      <c r="AI166" s="260"/>
      <c r="AJ166" s="250">
        <f t="shared" ref="AJ166" si="1212">AI166*AI$8</f>
        <v>0</v>
      </c>
      <c r="AK166" s="295"/>
      <c r="AL166" s="292">
        <f t="shared" si="980"/>
        <v>0</v>
      </c>
      <c r="AM166" s="290"/>
      <c r="AN166" s="288"/>
      <c r="AO166" s="288"/>
      <c r="AP166" s="288"/>
      <c r="AQ166" s="288"/>
      <c r="AR166" s="288"/>
      <c r="AS166" s="288"/>
      <c r="AT166" s="288"/>
      <c r="AU166" s="288"/>
      <c r="AV166" s="288"/>
      <c r="AW166" s="288"/>
      <c r="AX166" s="288"/>
      <c r="AY166" s="288"/>
    </row>
    <row r="167" customHeight="1" outlineLevel="1" spans="1:51">
      <c r="A167" s="255" t="s">
        <v>526</v>
      </c>
      <c r="B167" s="255" t="s">
        <v>527</v>
      </c>
      <c r="C167" s="250">
        <f t="shared" si="1131"/>
        <v>0</v>
      </c>
      <c r="D167" s="250">
        <f t="shared" si="981"/>
        <v>0</v>
      </c>
      <c r="E167" s="250">
        <f t="shared" si="1132"/>
        <v>0</v>
      </c>
      <c r="F167" s="250">
        <f t="shared" si="1176"/>
        <v>0</v>
      </c>
      <c r="G167" s="260"/>
      <c r="H167" s="250">
        <f t="shared" si="1148"/>
        <v>0</v>
      </c>
      <c r="I167" s="260"/>
      <c r="J167" s="250">
        <f t="shared" ref="J167" si="1213">I167*I$8</f>
        <v>0</v>
      </c>
      <c r="K167" s="260"/>
      <c r="L167" s="250">
        <f t="shared" ref="L167" si="1214">K167*K$8</f>
        <v>0</v>
      </c>
      <c r="M167" s="260">
        <f>$AM$167/$C$8</f>
        <v>3.7336567576163</v>
      </c>
      <c r="N167" s="250">
        <f t="shared" si="1135"/>
        <v>0</v>
      </c>
      <c r="O167" s="260">
        <f>$AM$167/$C$8</f>
        <v>3.7336567576163</v>
      </c>
      <c r="P167" s="250">
        <f t="shared" si="1136"/>
        <v>0</v>
      </c>
      <c r="Q167" s="260">
        <f>$AM$167/$C$8</f>
        <v>3.7336567576163</v>
      </c>
      <c r="R167" s="250">
        <f t="shared" si="1137"/>
        <v>0</v>
      </c>
      <c r="S167" s="260">
        <f>$AM$167/$C$8</f>
        <v>3.7336567576163</v>
      </c>
      <c r="T167" s="250">
        <f t="shared" si="1138"/>
        <v>0</v>
      </c>
      <c r="U167" s="260">
        <f>$AM$167/$C$8</f>
        <v>3.7336567576163</v>
      </c>
      <c r="V167" s="250">
        <f t="shared" ref="V167" si="1215">U167*U$8</f>
        <v>0</v>
      </c>
      <c r="W167" s="260">
        <f>$AM$167/$C$8</f>
        <v>3.7336567576163</v>
      </c>
      <c r="X167" s="250">
        <f t="shared" ref="X167" si="1216">W167*W$8</f>
        <v>0</v>
      </c>
      <c r="Y167" s="260"/>
      <c r="Z167" s="250">
        <f t="shared" ref="Z167" si="1217">Y167*Y$8</f>
        <v>0</v>
      </c>
      <c r="AA167" s="260">
        <f>$AM$167/$C$8</f>
        <v>3.7336567576163</v>
      </c>
      <c r="AB167" s="250">
        <f t="shared" ref="AB167:AB168" si="1218">AA167*AA$8</f>
        <v>0</v>
      </c>
      <c r="AC167" s="250">
        <f t="shared" si="1143"/>
        <v>0</v>
      </c>
      <c r="AD167" s="250">
        <f t="shared" si="1144"/>
        <v>0</v>
      </c>
      <c r="AE167" s="260">
        <f>$AM$167/$C$8</f>
        <v>3.7336567576163</v>
      </c>
      <c r="AF167" s="250">
        <f t="shared" ref="AF167" si="1219">AE167*AE$8</f>
        <v>0</v>
      </c>
      <c r="AG167" s="260"/>
      <c r="AH167" s="250">
        <f t="shared" ref="AH167" si="1220">AG167*AG$8</f>
        <v>0</v>
      </c>
      <c r="AI167" s="260"/>
      <c r="AJ167" s="250">
        <f t="shared" ref="AJ167" si="1221">AI167*AI$8</f>
        <v>0</v>
      </c>
      <c r="AK167" s="295" t="s">
        <v>314</v>
      </c>
      <c r="AL167" s="292">
        <f t="shared" si="980"/>
        <v>0</v>
      </c>
      <c r="AM167" s="290">
        <v>50</v>
      </c>
      <c r="AN167" s="288"/>
      <c r="AO167" s="288"/>
      <c r="AP167" s="288"/>
      <c r="AQ167" s="288"/>
      <c r="AR167" s="288"/>
      <c r="AS167" s="288"/>
      <c r="AT167" s="288"/>
      <c r="AU167" s="288"/>
      <c r="AV167" s="288"/>
      <c r="AW167" s="288"/>
      <c r="AX167" s="288"/>
      <c r="AY167" s="288"/>
    </row>
    <row r="168" customHeight="1" outlineLevel="1" spans="1:51">
      <c r="A168" s="255" t="s">
        <v>528</v>
      </c>
      <c r="B168" s="255" t="s">
        <v>529</v>
      </c>
      <c r="C168" s="250">
        <f t="shared" si="1131"/>
        <v>0.355742815865682</v>
      </c>
      <c r="D168" s="250">
        <f t="shared" si="981"/>
        <v>4.764</v>
      </c>
      <c r="E168" s="250">
        <f t="shared" si="1132"/>
        <v>0.503815311712987</v>
      </c>
      <c r="F168" s="250">
        <f t="shared" si="1176"/>
        <v>4.764</v>
      </c>
      <c r="G168" s="260">
        <f>经济指标!G9*60/10000/G8</f>
        <v>0.529208757841954</v>
      </c>
      <c r="H168" s="250">
        <f t="shared" si="1148"/>
        <v>0.282</v>
      </c>
      <c r="I168" s="260">
        <f>经济指标!G10*60/10000/I8</f>
        <v>0.464337594731259</v>
      </c>
      <c r="J168" s="250">
        <f t="shared" ref="J168" si="1222">I168*I$8</f>
        <v>2.616</v>
      </c>
      <c r="K168" s="260">
        <f>经济指标!G11*60/10000/K8</f>
        <v>0.577634225663676</v>
      </c>
      <c r="L168" s="250">
        <f t="shared" ref="L168" si="1223">K168*K$8</f>
        <v>1.866</v>
      </c>
      <c r="M168" s="260"/>
      <c r="N168" s="250">
        <f t="shared" si="1135"/>
        <v>0</v>
      </c>
      <c r="O168" s="260"/>
      <c r="P168" s="250">
        <f t="shared" si="1136"/>
        <v>0</v>
      </c>
      <c r="Q168" s="260"/>
      <c r="R168" s="250">
        <f t="shared" si="1137"/>
        <v>0</v>
      </c>
      <c r="S168" s="260"/>
      <c r="T168" s="250">
        <f t="shared" si="1138"/>
        <v>0</v>
      </c>
      <c r="U168" s="260"/>
      <c r="V168" s="250">
        <f t="shared" ref="V168" si="1224">U168*U$8</f>
        <v>0</v>
      </c>
      <c r="W168" s="260"/>
      <c r="X168" s="250">
        <f t="shared" ref="X168" si="1225">W168*W$8</f>
        <v>0</v>
      </c>
      <c r="Y168" s="260"/>
      <c r="Z168" s="250">
        <f t="shared" ref="Z168" si="1226">Y168*Y$8</f>
        <v>0</v>
      </c>
      <c r="AA168" s="260"/>
      <c r="AB168" s="250">
        <f t="shared" si="1218"/>
        <v>0</v>
      </c>
      <c r="AC168" s="250">
        <f t="shared" si="1143"/>
        <v>0</v>
      </c>
      <c r="AD168" s="250">
        <f t="shared" si="1144"/>
        <v>0</v>
      </c>
      <c r="AE168" s="260"/>
      <c r="AF168" s="250">
        <f t="shared" ref="AF168" si="1227">AE168*AE$8</f>
        <v>0</v>
      </c>
      <c r="AG168" s="260"/>
      <c r="AH168" s="250">
        <f t="shared" ref="AH168" si="1228">AG168*AG$8</f>
        <v>0</v>
      </c>
      <c r="AI168" s="260"/>
      <c r="AJ168" s="250">
        <f t="shared" ref="AJ168" si="1229">AI168*AI$8</f>
        <v>0</v>
      </c>
      <c r="AK168" s="295"/>
      <c r="AL168" s="292">
        <f t="shared" si="980"/>
        <v>4.764</v>
      </c>
      <c r="AM168" s="290"/>
      <c r="AN168" s="288"/>
      <c r="AO168" s="288"/>
      <c r="AP168" s="288"/>
      <c r="AQ168" s="288"/>
      <c r="AR168" s="288"/>
      <c r="AS168" s="288"/>
      <c r="AT168" s="288"/>
      <c r="AU168" s="288"/>
      <c r="AV168" s="288"/>
      <c r="AW168" s="288"/>
      <c r="AX168" s="288"/>
      <c r="AY168" s="288"/>
    </row>
    <row r="169" customHeight="1" outlineLevel="1" spans="1:51">
      <c r="A169" s="255" t="s">
        <v>530</v>
      </c>
      <c r="B169" s="255" t="s">
        <v>531</v>
      </c>
      <c r="C169" s="250">
        <f t="shared" si="1131"/>
        <v>0</v>
      </c>
      <c r="D169" s="250">
        <f t="shared" si="981"/>
        <v>0</v>
      </c>
      <c r="E169" s="250">
        <f t="shared" si="1132"/>
        <v>0</v>
      </c>
      <c r="F169" s="250">
        <f t="shared" si="1176"/>
        <v>0</v>
      </c>
      <c r="G169" s="260"/>
      <c r="H169" s="250">
        <f t="shared" si="1148"/>
        <v>0</v>
      </c>
      <c r="I169" s="260"/>
      <c r="J169" s="250">
        <f t="shared" ref="J169" si="1230">I169*I$8</f>
        <v>0</v>
      </c>
      <c r="K169" s="260"/>
      <c r="L169" s="250">
        <f t="shared" ref="L169" si="1231">K169*K$8</f>
        <v>0</v>
      </c>
      <c r="M169" s="260"/>
      <c r="N169" s="250">
        <f t="shared" si="1135"/>
        <v>0</v>
      </c>
      <c r="O169" s="260"/>
      <c r="P169" s="250">
        <f t="shared" si="1136"/>
        <v>0</v>
      </c>
      <c r="Q169" s="260"/>
      <c r="R169" s="250">
        <f t="shared" si="1137"/>
        <v>0</v>
      </c>
      <c r="S169" s="260"/>
      <c r="T169" s="250">
        <f t="shared" si="1138"/>
        <v>0</v>
      </c>
      <c r="U169" s="260"/>
      <c r="V169" s="250">
        <f t="shared" ref="V169" si="1232">U169*U$8</f>
        <v>0</v>
      </c>
      <c r="W169" s="260"/>
      <c r="X169" s="250">
        <f t="shared" ref="X169" si="1233">W169*W$8</f>
        <v>0</v>
      </c>
      <c r="Y169" s="260"/>
      <c r="Z169" s="250">
        <f t="shared" ref="Z169" si="1234">Y169*Y$8</f>
        <v>0</v>
      </c>
      <c r="AA169" s="260"/>
      <c r="AB169" s="250">
        <f t="shared" ref="AB169" si="1235">AA169*AA$8</f>
        <v>0</v>
      </c>
      <c r="AC169" s="250">
        <f t="shared" si="1143"/>
        <v>0</v>
      </c>
      <c r="AD169" s="250">
        <f t="shared" si="1144"/>
        <v>0</v>
      </c>
      <c r="AE169" s="260"/>
      <c r="AF169" s="250">
        <f t="shared" ref="AF169" si="1236">AE169*AE$8</f>
        <v>0</v>
      </c>
      <c r="AG169" s="260"/>
      <c r="AH169" s="250">
        <f t="shared" ref="AH169" si="1237">AG169*AG$8</f>
        <v>0</v>
      </c>
      <c r="AI169" s="260"/>
      <c r="AJ169" s="250">
        <f t="shared" ref="AJ169" si="1238">AI169*AI$8</f>
        <v>0</v>
      </c>
      <c r="AK169" s="295"/>
      <c r="AL169" s="292">
        <f t="shared" si="980"/>
        <v>0</v>
      </c>
      <c r="AM169" s="290"/>
      <c r="AN169" s="288"/>
      <c r="AO169" s="288"/>
      <c r="AP169" s="288"/>
      <c r="AQ169" s="288"/>
      <c r="AR169" s="288"/>
      <c r="AS169" s="288"/>
      <c r="AT169" s="288"/>
      <c r="AU169" s="288"/>
      <c r="AV169" s="288"/>
      <c r="AW169" s="288"/>
      <c r="AX169" s="288"/>
      <c r="AY169" s="288"/>
    </row>
    <row r="170" customHeight="1" spans="1:51">
      <c r="A170" s="329" t="s">
        <v>532</v>
      </c>
      <c r="B170" s="329" t="s">
        <v>533</v>
      </c>
      <c r="C170" s="330">
        <f>C171+C175+C176+C177+C178+C183+C184+C185+C186</f>
        <v>19.2560933464967</v>
      </c>
      <c r="D170" s="330">
        <f>D171+D175+D176+D177+D178+D183+D184+D185+D186</f>
        <v>257.8717675</v>
      </c>
      <c r="E170" s="330">
        <f t="shared" ref="E170:AJ170" si="1239">E171+E175+E176+E177+E178+E183+E184+E185+E186</f>
        <v>7.5</v>
      </c>
      <c r="F170" s="330">
        <f t="shared" ref="F170" si="1240">F171+F175+F176+F177+F178+F183+F184+F185+F186</f>
        <v>70.918845</v>
      </c>
      <c r="G170" s="330">
        <f t="shared" si="1239"/>
        <v>7.5</v>
      </c>
      <c r="H170" s="330">
        <f t="shared" si="1239"/>
        <v>3.9965325</v>
      </c>
      <c r="I170" s="330">
        <f t="shared" si="1239"/>
        <v>7.5</v>
      </c>
      <c r="J170" s="330">
        <f t="shared" si="1239"/>
        <v>42.25374</v>
      </c>
      <c r="K170" s="330">
        <f t="shared" si="1239"/>
        <v>7.5</v>
      </c>
      <c r="L170" s="330">
        <f t="shared" si="1239"/>
        <v>24.228135</v>
      </c>
      <c r="M170" s="330">
        <f t="shared" ref="M170:T170" si="1241">M171+M175+M176+M177+M178+M183+M184+M185+M186</f>
        <v>7.5</v>
      </c>
      <c r="N170" s="330">
        <f t="shared" si="1241"/>
        <v>0</v>
      </c>
      <c r="O170" s="330">
        <f t="shared" si="1241"/>
        <v>7.5</v>
      </c>
      <c r="P170" s="330">
        <f t="shared" si="1241"/>
        <v>0</v>
      </c>
      <c r="Q170" s="330">
        <f t="shared" si="1241"/>
        <v>7.5</v>
      </c>
      <c r="R170" s="330">
        <f t="shared" si="1241"/>
        <v>0</v>
      </c>
      <c r="S170" s="330">
        <f t="shared" si="1241"/>
        <v>7.5</v>
      </c>
      <c r="T170" s="330">
        <f t="shared" si="1241"/>
        <v>0</v>
      </c>
      <c r="U170" s="330">
        <f t="shared" si="1239"/>
        <v>7.5</v>
      </c>
      <c r="V170" s="330">
        <f t="shared" si="1239"/>
        <v>0</v>
      </c>
      <c r="W170" s="330">
        <f t="shared" si="1239"/>
        <v>7.5</v>
      </c>
      <c r="X170" s="330">
        <f t="shared" si="1239"/>
        <v>0</v>
      </c>
      <c r="Y170" s="330">
        <f t="shared" si="1239"/>
        <v>7.5</v>
      </c>
      <c r="Z170" s="330">
        <f t="shared" si="1239"/>
        <v>0.4404375</v>
      </c>
      <c r="AA170" s="330">
        <f t="shared" si="1239"/>
        <v>7.5</v>
      </c>
      <c r="AB170" s="330">
        <f t="shared" si="1239"/>
        <v>0</v>
      </c>
      <c r="AC170" s="330">
        <f t="shared" si="1239"/>
        <v>47.5</v>
      </c>
      <c r="AD170" s="330">
        <f t="shared" si="1239"/>
        <v>186.9529225</v>
      </c>
      <c r="AE170" s="330">
        <f t="shared" si="1239"/>
        <v>7.5</v>
      </c>
      <c r="AF170" s="330">
        <f t="shared" si="1239"/>
        <v>0</v>
      </c>
      <c r="AG170" s="330">
        <f t="shared" si="1239"/>
        <v>47.5</v>
      </c>
      <c r="AH170" s="330">
        <f t="shared" si="1239"/>
        <v>31.2623625</v>
      </c>
      <c r="AI170" s="330">
        <f t="shared" si="1239"/>
        <v>47.5</v>
      </c>
      <c r="AJ170" s="330">
        <f t="shared" si="1239"/>
        <v>155.69056</v>
      </c>
      <c r="AK170" s="295"/>
      <c r="AL170" s="292">
        <f t="shared" si="980"/>
        <v>257.8717675</v>
      </c>
      <c r="AM170" s="290"/>
      <c r="AN170" s="288"/>
      <c r="AO170" s="288"/>
      <c r="AP170" s="288"/>
      <c r="AQ170" s="288"/>
      <c r="AR170" s="288"/>
      <c r="AS170" s="288"/>
      <c r="AT170" s="288"/>
      <c r="AU170" s="288"/>
      <c r="AV170" s="288"/>
      <c r="AW170" s="288"/>
      <c r="AX170" s="288"/>
      <c r="AY170" s="288"/>
    </row>
    <row r="171" s="242" customFormat="1" customHeight="1" outlineLevel="1" collapsed="1" spans="1:51">
      <c r="A171" s="329" t="s">
        <v>534</v>
      </c>
      <c r="B171" s="330" t="s">
        <v>535</v>
      </c>
      <c r="C171" s="330">
        <f>SUM(C172:C174)</f>
        <v>0</v>
      </c>
      <c r="D171" s="330">
        <f t="shared" ref="D171:AJ171" si="1242">SUM(D172:D174)</f>
        <v>0</v>
      </c>
      <c r="E171" s="330">
        <f t="shared" si="1242"/>
        <v>0</v>
      </c>
      <c r="F171" s="330">
        <f t="shared" ref="F171" si="1243">SUM(F172:F174)</f>
        <v>0</v>
      </c>
      <c r="G171" s="330">
        <f t="shared" si="1242"/>
        <v>0</v>
      </c>
      <c r="H171" s="330">
        <f t="shared" si="1242"/>
        <v>0</v>
      </c>
      <c r="I171" s="330">
        <f t="shared" si="1242"/>
        <v>0</v>
      </c>
      <c r="J171" s="330">
        <f t="shared" si="1242"/>
        <v>0</v>
      </c>
      <c r="K171" s="330">
        <f t="shared" si="1242"/>
        <v>0</v>
      </c>
      <c r="L171" s="330">
        <f t="shared" si="1242"/>
        <v>0</v>
      </c>
      <c r="M171" s="330">
        <f t="shared" ref="M171:T171" si="1244">SUM(M172:M174)</f>
        <v>0</v>
      </c>
      <c r="N171" s="330">
        <f t="shared" si="1244"/>
        <v>0</v>
      </c>
      <c r="O171" s="330">
        <f t="shared" si="1244"/>
        <v>0</v>
      </c>
      <c r="P171" s="330">
        <f t="shared" si="1244"/>
        <v>0</v>
      </c>
      <c r="Q171" s="330">
        <f t="shared" si="1244"/>
        <v>0</v>
      </c>
      <c r="R171" s="330">
        <f t="shared" si="1244"/>
        <v>0</v>
      </c>
      <c r="S171" s="330">
        <f t="shared" si="1244"/>
        <v>0</v>
      </c>
      <c r="T171" s="330">
        <f t="shared" si="1244"/>
        <v>0</v>
      </c>
      <c r="U171" s="330">
        <f t="shared" si="1242"/>
        <v>0</v>
      </c>
      <c r="V171" s="330">
        <f t="shared" si="1242"/>
        <v>0</v>
      </c>
      <c r="W171" s="330">
        <f t="shared" si="1242"/>
        <v>0</v>
      </c>
      <c r="X171" s="330">
        <f t="shared" si="1242"/>
        <v>0</v>
      </c>
      <c r="Y171" s="330">
        <f t="shared" si="1242"/>
        <v>0</v>
      </c>
      <c r="Z171" s="330">
        <f t="shared" si="1242"/>
        <v>0</v>
      </c>
      <c r="AA171" s="330">
        <f t="shared" si="1242"/>
        <v>0</v>
      </c>
      <c r="AB171" s="330">
        <f t="shared" si="1242"/>
        <v>0</v>
      </c>
      <c r="AC171" s="330">
        <f t="shared" si="1242"/>
        <v>0</v>
      </c>
      <c r="AD171" s="330">
        <f t="shared" si="1242"/>
        <v>0</v>
      </c>
      <c r="AE171" s="330">
        <f t="shared" si="1242"/>
        <v>0</v>
      </c>
      <c r="AF171" s="330">
        <f t="shared" si="1242"/>
        <v>0</v>
      </c>
      <c r="AG171" s="330">
        <f t="shared" si="1242"/>
        <v>0</v>
      </c>
      <c r="AH171" s="330">
        <f t="shared" si="1242"/>
        <v>0</v>
      </c>
      <c r="AI171" s="330">
        <f t="shared" si="1242"/>
        <v>0</v>
      </c>
      <c r="AJ171" s="330">
        <f t="shared" si="1242"/>
        <v>0</v>
      </c>
      <c r="AK171" s="295"/>
      <c r="AL171" s="292">
        <f t="shared" ref="AL171:AL187" si="1245">H171+J171+L171+Z171+AH171+AJ171</f>
        <v>0</v>
      </c>
      <c r="AM171" s="296"/>
      <c r="AN171" s="297"/>
      <c r="AO171" s="297"/>
      <c r="AP171" s="288"/>
      <c r="AQ171" s="297"/>
      <c r="AR171" s="297"/>
      <c r="AS171" s="297"/>
      <c r="AT171" s="297"/>
      <c r="AU171" s="297"/>
      <c r="AV171" s="297"/>
      <c r="AW171" s="297"/>
      <c r="AX171" s="297"/>
      <c r="AY171" s="297"/>
    </row>
    <row r="172" s="242" customFormat="1" customHeight="1" outlineLevel="2" spans="1:51">
      <c r="A172" s="331" t="s">
        <v>536</v>
      </c>
      <c r="B172" s="332" t="s">
        <v>537</v>
      </c>
      <c r="C172" s="330">
        <f t="shared" ref="C172:C177" si="1246">D172/$C$8</f>
        <v>0</v>
      </c>
      <c r="D172" s="330">
        <f t="shared" si="981"/>
        <v>0</v>
      </c>
      <c r="E172" s="330">
        <f t="shared" ref="E172:E177" si="1247">F172/$E$8</f>
        <v>0</v>
      </c>
      <c r="F172" s="330">
        <f t="shared" si="1176"/>
        <v>0</v>
      </c>
      <c r="G172" s="330"/>
      <c r="H172" s="330">
        <f t="shared" ref="H172:H177" si="1248">G172*G$8</f>
        <v>0</v>
      </c>
      <c r="I172" s="330"/>
      <c r="J172" s="330">
        <f t="shared" ref="J172" si="1249">I172*I$8</f>
        <v>0</v>
      </c>
      <c r="K172" s="330"/>
      <c r="L172" s="330">
        <f t="shared" ref="L172" si="1250">K172*K$8</f>
        <v>0</v>
      </c>
      <c r="M172" s="330"/>
      <c r="N172" s="330">
        <f t="shared" ref="N172:N177" si="1251">M172*M$8</f>
        <v>0</v>
      </c>
      <c r="O172" s="330"/>
      <c r="P172" s="330">
        <f t="shared" ref="P172:P177" si="1252">O172*O$8</f>
        <v>0</v>
      </c>
      <c r="Q172" s="330"/>
      <c r="R172" s="330">
        <f t="shared" ref="R172:R177" si="1253">Q172*Q$8</f>
        <v>0</v>
      </c>
      <c r="S172" s="330"/>
      <c r="T172" s="330">
        <f t="shared" ref="T172:T177" si="1254">S172*S$8</f>
        <v>0</v>
      </c>
      <c r="U172" s="330"/>
      <c r="V172" s="330">
        <f t="shared" ref="V172" si="1255">U172*U$8</f>
        <v>0</v>
      </c>
      <c r="W172" s="330"/>
      <c r="X172" s="330">
        <f t="shared" ref="X172" si="1256">W172*W$8</f>
        <v>0</v>
      </c>
      <c r="Y172" s="330"/>
      <c r="Z172" s="330">
        <f t="shared" ref="Z172" si="1257">Y172*Y$8</f>
        <v>0</v>
      </c>
      <c r="AA172" s="330"/>
      <c r="AB172" s="330">
        <f t="shared" ref="AB172" si="1258">AA172*AA$8</f>
        <v>0</v>
      </c>
      <c r="AC172" s="330">
        <f t="shared" ref="AC172:AC177" si="1259">AD172/AC$8</f>
        <v>0</v>
      </c>
      <c r="AD172" s="330">
        <f t="shared" ref="AD172:AD177" si="1260">AF172+AH172+AJ172</f>
        <v>0</v>
      </c>
      <c r="AE172" s="330"/>
      <c r="AF172" s="330">
        <f t="shared" ref="AF172" si="1261">AE172*AE$8</f>
        <v>0</v>
      </c>
      <c r="AG172" s="330"/>
      <c r="AH172" s="330">
        <f t="shared" ref="AH172" si="1262">AG172*AG$8</f>
        <v>0</v>
      </c>
      <c r="AI172" s="330"/>
      <c r="AJ172" s="330">
        <f t="shared" ref="AJ172" si="1263">AI172*AI$8</f>
        <v>0</v>
      </c>
      <c r="AK172" s="295"/>
      <c r="AL172" s="292">
        <f t="shared" si="1245"/>
        <v>0</v>
      </c>
      <c r="AM172" s="296"/>
      <c r="AN172" s="297"/>
      <c r="AO172" s="297"/>
      <c r="AP172" s="288"/>
      <c r="AQ172" s="297"/>
      <c r="AR172" s="297"/>
      <c r="AS172" s="297"/>
      <c r="AT172" s="297"/>
      <c r="AU172" s="297"/>
      <c r="AV172" s="297"/>
      <c r="AW172" s="297"/>
      <c r="AX172" s="297"/>
      <c r="AY172" s="297"/>
    </row>
    <row r="173" s="242" customFormat="1" customHeight="1" outlineLevel="2" spans="1:51">
      <c r="A173" s="331" t="s">
        <v>538</v>
      </c>
      <c r="B173" s="332" t="s">
        <v>539</v>
      </c>
      <c r="C173" s="330">
        <f t="shared" si="1246"/>
        <v>0</v>
      </c>
      <c r="D173" s="330">
        <f t="shared" si="981"/>
        <v>0</v>
      </c>
      <c r="E173" s="330">
        <f t="shared" si="1247"/>
        <v>0</v>
      </c>
      <c r="F173" s="330">
        <f t="shared" si="1176"/>
        <v>0</v>
      </c>
      <c r="G173" s="330"/>
      <c r="H173" s="330">
        <f t="shared" si="1248"/>
        <v>0</v>
      </c>
      <c r="I173" s="330"/>
      <c r="J173" s="330">
        <f t="shared" ref="J173" si="1264">I173*I$8</f>
        <v>0</v>
      </c>
      <c r="K173" s="330"/>
      <c r="L173" s="330">
        <f t="shared" ref="L173" si="1265">K173*K$8</f>
        <v>0</v>
      </c>
      <c r="M173" s="330"/>
      <c r="N173" s="330">
        <f t="shared" si="1251"/>
        <v>0</v>
      </c>
      <c r="O173" s="330"/>
      <c r="P173" s="330">
        <f t="shared" si="1252"/>
        <v>0</v>
      </c>
      <c r="Q173" s="330"/>
      <c r="R173" s="330">
        <f t="shared" si="1253"/>
        <v>0</v>
      </c>
      <c r="S173" s="330"/>
      <c r="T173" s="330">
        <f t="shared" si="1254"/>
        <v>0</v>
      </c>
      <c r="U173" s="330"/>
      <c r="V173" s="330">
        <f t="shared" ref="V173" si="1266">U173*U$8</f>
        <v>0</v>
      </c>
      <c r="W173" s="330"/>
      <c r="X173" s="330">
        <f t="shared" ref="X173" si="1267">W173*W$8</f>
        <v>0</v>
      </c>
      <c r="Y173" s="330"/>
      <c r="Z173" s="330">
        <f t="shared" ref="Z173" si="1268">Y173*Y$8</f>
        <v>0</v>
      </c>
      <c r="AA173" s="330"/>
      <c r="AB173" s="330">
        <f t="shared" ref="AB173" si="1269">AA173*AA$8</f>
        <v>0</v>
      </c>
      <c r="AC173" s="330">
        <f t="shared" si="1259"/>
        <v>0</v>
      </c>
      <c r="AD173" s="330">
        <f t="shared" si="1260"/>
        <v>0</v>
      </c>
      <c r="AE173" s="330"/>
      <c r="AF173" s="330">
        <f t="shared" ref="AF173" si="1270">AE173*AE$8</f>
        <v>0</v>
      </c>
      <c r="AG173" s="330"/>
      <c r="AH173" s="330">
        <f t="shared" ref="AH173" si="1271">AG173*AG$8</f>
        <v>0</v>
      </c>
      <c r="AI173" s="330"/>
      <c r="AJ173" s="330">
        <f t="shared" ref="AJ173" si="1272">AI173*AI$8</f>
        <v>0</v>
      </c>
      <c r="AK173" s="295"/>
      <c r="AL173" s="292">
        <f t="shared" si="1245"/>
        <v>0</v>
      </c>
      <c r="AM173" s="296"/>
      <c r="AN173" s="297"/>
      <c r="AO173" s="297"/>
      <c r="AP173" s="288"/>
      <c r="AQ173" s="297"/>
      <c r="AR173" s="297"/>
      <c r="AS173" s="297"/>
      <c r="AT173" s="297"/>
      <c r="AU173" s="297"/>
      <c r="AV173" s="297"/>
      <c r="AW173" s="297"/>
      <c r="AX173" s="297"/>
      <c r="AY173" s="297"/>
    </row>
    <row r="174" s="242" customFormat="1" customHeight="1" outlineLevel="2" spans="1:51">
      <c r="A174" s="331" t="s">
        <v>540</v>
      </c>
      <c r="B174" s="332" t="s">
        <v>93</v>
      </c>
      <c r="C174" s="330">
        <f t="shared" si="1246"/>
        <v>0</v>
      </c>
      <c r="D174" s="330">
        <f t="shared" si="981"/>
        <v>0</v>
      </c>
      <c r="E174" s="330">
        <f t="shared" si="1247"/>
        <v>0</v>
      </c>
      <c r="F174" s="330">
        <f t="shared" si="1176"/>
        <v>0</v>
      </c>
      <c r="G174" s="330"/>
      <c r="H174" s="330">
        <f t="shared" si="1248"/>
        <v>0</v>
      </c>
      <c r="I174" s="330"/>
      <c r="J174" s="330">
        <f t="shared" ref="J174" si="1273">I174*I$8</f>
        <v>0</v>
      </c>
      <c r="K174" s="330"/>
      <c r="L174" s="330">
        <f t="shared" ref="L174" si="1274">K174*K$8</f>
        <v>0</v>
      </c>
      <c r="M174" s="330"/>
      <c r="N174" s="330">
        <f t="shared" si="1251"/>
        <v>0</v>
      </c>
      <c r="O174" s="330"/>
      <c r="P174" s="330">
        <f t="shared" si="1252"/>
        <v>0</v>
      </c>
      <c r="Q174" s="330"/>
      <c r="R174" s="330">
        <f t="shared" si="1253"/>
        <v>0</v>
      </c>
      <c r="S174" s="330"/>
      <c r="T174" s="330">
        <f t="shared" si="1254"/>
        <v>0</v>
      </c>
      <c r="U174" s="330"/>
      <c r="V174" s="330">
        <f t="shared" ref="V174" si="1275">U174*U$8</f>
        <v>0</v>
      </c>
      <c r="W174" s="330"/>
      <c r="X174" s="330">
        <f t="shared" ref="X174" si="1276">W174*W$8</f>
        <v>0</v>
      </c>
      <c r="Y174" s="330"/>
      <c r="Z174" s="330">
        <f t="shared" ref="Z174" si="1277">Y174*Y$8</f>
        <v>0</v>
      </c>
      <c r="AA174" s="330"/>
      <c r="AB174" s="330">
        <f t="shared" ref="AB174" si="1278">AA174*AA$8</f>
        <v>0</v>
      </c>
      <c r="AC174" s="330">
        <f t="shared" si="1259"/>
        <v>0</v>
      </c>
      <c r="AD174" s="330">
        <f t="shared" si="1260"/>
        <v>0</v>
      </c>
      <c r="AE174" s="330"/>
      <c r="AF174" s="330">
        <f t="shared" ref="AF174" si="1279">AE174*AE$8</f>
        <v>0</v>
      </c>
      <c r="AG174" s="330"/>
      <c r="AH174" s="330">
        <f t="shared" ref="AH174" si="1280">AG174*AG$8</f>
        <v>0</v>
      </c>
      <c r="AI174" s="330"/>
      <c r="AJ174" s="330">
        <f t="shared" ref="AJ174" si="1281">AI174*AI$8</f>
        <v>0</v>
      </c>
      <c r="AK174" s="295"/>
      <c r="AL174" s="292">
        <f t="shared" si="1245"/>
        <v>0</v>
      </c>
      <c r="AM174" s="296"/>
      <c r="AN174" s="297"/>
      <c r="AO174" s="297"/>
      <c r="AP174" s="288"/>
      <c r="AQ174" s="297"/>
      <c r="AR174" s="297"/>
      <c r="AS174" s="297"/>
      <c r="AT174" s="297"/>
      <c r="AU174" s="297"/>
      <c r="AV174" s="297"/>
      <c r="AW174" s="297"/>
      <c r="AX174" s="297"/>
      <c r="AY174" s="297"/>
    </row>
    <row r="175" s="242" customFormat="1" customHeight="1" outlineLevel="1" spans="1:51">
      <c r="A175" s="329" t="s">
        <v>541</v>
      </c>
      <c r="B175" s="330" t="s">
        <v>542</v>
      </c>
      <c r="C175" s="330">
        <f t="shared" si="1246"/>
        <v>11.7560933464967</v>
      </c>
      <c r="D175" s="330">
        <f t="shared" si="981"/>
        <v>157.43404</v>
      </c>
      <c r="E175" s="330">
        <f t="shared" si="1247"/>
        <v>0</v>
      </c>
      <c r="F175" s="330">
        <f t="shared" si="1176"/>
        <v>0</v>
      </c>
      <c r="G175" s="330"/>
      <c r="H175" s="330">
        <f t="shared" si="1248"/>
        <v>0</v>
      </c>
      <c r="I175" s="330"/>
      <c r="J175" s="330">
        <f t="shared" ref="J175" si="1282">I175*I$8</f>
        <v>0</v>
      </c>
      <c r="K175" s="330"/>
      <c r="L175" s="330">
        <f t="shared" ref="L175" si="1283">K175*K$8</f>
        <v>0</v>
      </c>
      <c r="M175" s="330"/>
      <c r="N175" s="330">
        <f t="shared" si="1251"/>
        <v>0</v>
      </c>
      <c r="O175" s="330"/>
      <c r="P175" s="330">
        <f t="shared" si="1252"/>
        <v>0</v>
      </c>
      <c r="Q175" s="330"/>
      <c r="R175" s="330">
        <f t="shared" si="1253"/>
        <v>0</v>
      </c>
      <c r="S175" s="330"/>
      <c r="T175" s="330">
        <f t="shared" si="1254"/>
        <v>0</v>
      </c>
      <c r="U175" s="330"/>
      <c r="V175" s="330">
        <f t="shared" ref="V175" si="1284">U175*U$8</f>
        <v>0</v>
      </c>
      <c r="W175" s="330"/>
      <c r="X175" s="330">
        <f t="shared" ref="X175" si="1285">W175*W$8</f>
        <v>0</v>
      </c>
      <c r="Y175" s="330"/>
      <c r="Z175" s="330">
        <f t="shared" ref="Z175" si="1286">Y175*Y$8</f>
        <v>0</v>
      </c>
      <c r="AA175" s="330"/>
      <c r="AB175" s="330">
        <f t="shared" ref="AB175" si="1287">AA175*AA$8</f>
        <v>0</v>
      </c>
      <c r="AC175" s="330">
        <f t="shared" si="1259"/>
        <v>40</v>
      </c>
      <c r="AD175" s="330">
        <f t="shared" si="1260"/>
        <v>157.43404</v>
      </c>
      <c r="AE175" s="330"/>
      <c r="AF175" s="330">
        <f t="shared" ref="AF175" si="1288">AE175*AE$8</f>
        <v>0</v>
      </c>
      <c r="AG175" s="330">
        <v>40</v>
      </c>
      <c r="AH175" s="330">
        <f t="shared" ref="AH175" si="1289">AG175*AG$8</f>
        <v>26.3262</v>
      </c>
      <c r="AI175" s="330">
        <v>40</v>
      </c>
      <c r="AJ175" s="330">
        <f t="shared" ref="AJ175" si="1290">AI175*AI$8</f>
        <v>131.10784</v>
      </c>
      <c r="AK175" s="295" t="s">
        <v>543</v>
      </c>
      <c r="AL175" s="292">
        <f t="shared" si="1245"/>
        <v>157.43404</v>
      </c>
      <c r="AM175" s="296"/>
      <c r="AN175" s="297"/>
      <c r="AO175" s="297"/>
      <c r="AP175" s="288"/>
      <c r="AQ175" s="297"/>
      <c r="AR175" s="297"/>
      <c r="AS175" s="297"/>
      <c r="AT175" s="297"/>
      <c r="AU175" s="297"/>
      <c r="AV175" s="297"/>
      <c r="AW175" s="297"/>
      <c r="AX175" s="297"/>
      <c r="AY175" s="297"/>
    </row>
    <row r="176" customHeight="1" outlineLevel="1" spans="1:51">
      <c r="A176" s="329" t="s">
        <v>544</v>
      </c>
      <c r="B176" s="330" t="s">
        <v>545</v>
      </c>
      <c r="C176" s="330">
        <f t="shared" si="1246"/>
        <v>0</v>
      </c>
      <c r="D176" s="330">
        <f t="shared" si="981"/>
        <v>0</v>
      </c>
      <c r="E176" s="330">
        <f t="shared" si="1247"/>
        <v>0</v>
      </c>
      <c r="F176" s="330">
        <f t="shared" si="1176"/>
        <v>0</v>
      </c>
      <c r="G176" s="330"/>
      <c r="H176" s="330">
        <f t="shared" si="1248"/>
        <v>0</v>
      </c>
      <c r="I176" s="330"/>
      <c r="J176" s="330">
        <f t="shared" ref="J176" si="1291">I176*I$8</f>
        <v>0</v>
      </c>
      <c r="K176" s="330"/>
      <c r="L176" s="330">
        <f t="shared" ref="L176" si="1292">K176*K$8</f>
        <v>0</v>
      </c>
      <c r="M176" s="330"/>
      <c r="N176" s="330">
        <f t="shared" si="1251"/>
        <v>0</v>
      </c>
      <c r="O176" s="330"/>
      <c r="P176" s="330">
        <f t="shared" si="1252"/>
        <v>0</v>
      </c>
      <c r="Q176" s="330"/>
      <c r="R176" s="330">
        <f t="shared" si="1253"/>
        <v>0</v>
      </c>
      <c r="S176" s="330"/>
      <c r="T176" s="330">
        <f t="shared" si="1254"/>
        <v>0</v>
      </c>
      <c r="U176" s="330"/>
      <c r="V176" s="330">
        <f t="shared" ref="V176" si="1293">U176*U$8</f>
        <v>0</v>
      </c>
      <c r="W176" s="330"/>
      <c r="X176" s="330">
        <f t="shared" ref="X176" si="1294">W176*W$8</f>
        <v>0</v>
      </c>
      <c r="Y176" s="330"/>
      <c r="Z176" s="330">
        <f t="shared" ref="Z176" si="1295">Y176*Y$8</f>
        <v>0</v>
      </c>
      <c r="AA176" s="330"/>
      <c r="AB176" s="330">
        <f t="shared" ref="AB176" si="1296">AA176*AA$8</f>
        <v>0</v>
      </c>
      <c r="AC176" s="330">
        <f t="shared" si="1259"/>
        <v>0</v>
      </c>
      <c r="AD176" s="330">
        <f t="shared" si="1260"/>
        <v>0</v>
      </c>
      <c r="AE176" s="330"/>
      <c r="AF176" s="330">
        <f t="shared" ref="AF176" si="1297">AE176*AE$8</f>
        <v>0</v>
      </c>
      <c r="AG176" s="330"/>
      <c r="AH176" s="330">
        <f t="shared" ref="AH176" si="1298">AG176*AG$8</f>
        <v>0</v>
      </c>
      <c r="AI176" s="330"/>
      <c r="AJ176" s="330">
        <f t="shared" ref="AJ176" si="1299">AI176*AI$8</f>
        <v>0</v>
      </c>
      <c r="AK176" s="295"/>
      <c r="AL176" s="292">
        <f t="shared" si="1245"/>
        <v>0</v>
      </c>
      <c r="AM176" s="290"/>
      <c r="AN176" s="288"/>
      <c r="AO176" s="288"/>
      <c r="AP176" s="288"/>
      <c r="AQ176" s="288"/>
      <c r="AR176" s="288"/>
      <c r="AS176" s="288"/>
      <c r="AT176" s="288"/>
      <c r="AU176" s="288"/>
      <c r="AV176" s="288"/>
      <c r="AW176" s="288"/>
      <c r="AX176" s="288"/>
      <c r="AY176" s="288"/>
    </row>
    <row r="177" s="242" customFormat="1" customHeight="1" outlineLevel="1" spans="1:51">
      <c r="A177" s="329" t="s">
        <v>546</v>
      </c>
      <c r="B177" s="330" t="s">
        <v>547</v>
      </c>
      <c r="C177" s="330">
        <f t="shared" si="1246"/>
        <v>0</v>
      </c>
      <c r="D177" s="330">
        <f t="shared" si="981"/>
        <v>0</v>
      </c>
      <c r="E177" s="330">
        <f t="shared" si="1247"/>
        <v>0</v>
      </c>
      <c r="F177" s="330">
        <f t="shared" si="1176"/>
        <v>0</v>
      </c>
      <c r="G177" s="330"/>
      <c r="H177" s="330">
        <f t="shared" si="1248"/>
        <v>0</v>
      </c>
      <c r="I177" s="330"/>
      <c r="J177" s="330">
        <f t="shared" ref="J177" si="1300">I177*I$8</f>
        <v>0</v>
      </c>
      <c r="K177" s="330"/>
      <c r="L177" s="330">
        <f t="shared" ref="L177" si="1301">K177*K$8</f>
        <v>0</v>
      </c>
      <c r="M177" s="330"/>
      <c r="N177" s="330">
        <f t="shared" si="1251"/>
        <v>0</v>
      </c>
      <c r="O177" s="330"/>
      <c r="P177" s="330">
        <f t="shared" si="1252"/>
        <v>0</v>
      </c>
      <c r="Q177" s="330"/>
      <c r="R177" s="330">
        <f t="shared" si="1253"/>
        <v>0</v>
      </c>
      <c r="S177" s="330"/>
      <c r="T177" s="330">
        <f t="shared" si="1254"/>
        <v>0</v>
      </c>
      <c r="U177" s="330"/>
      <c r="V177" s="330">
        <f t="shared" ref="V177" si="1302">U177*U$8</f>
        <v>0</v>
      </c>
      <c r="W177" s="330"/>
      <c r="X177" s="330">
        <f t="shared" ref="X177" si="1303">W177*W$8</f>
        <v>0</v>
      </c>
      <c r="Y177" s="330"/>
      <c r="Z177" s="330">
        <f t="shared" ref="Z177" si="1304">Y177*Y$8</f>
        <v>0</v>
      </c>
      <c r="AA177" s="330"/>
      <c r="AB177" s="330">
        <f t="shared" ref="AB177" si="1305">AA177*AA$8</f>
        <v>0</v>
      </c>
      <c r="AC177" s="330">
        <f t="shared" si="1259"/>
        <v>0</v>
      </c>
      <c r="AD177" s="330">
        <f t="shared" si="1260"/>
        <v>0</v>
      </c>
      <c r="AE177" s="330"/>
      <c r="AF177" s="330">
        <f t="shared" ref="AF177" si="1306">AE177*AE$8</f>
        <v>0</v>
      </c>
      <c r="AG177" s="330"/>
      <c r="AH177" s="330">
        <f t="shared" ref="AH177" si="1307">AG177*AG$8</f>
        <v>0</v>
      </c>
      <c r="AI177" s="330"/>
      <c r="AJ177" s="330">
        <f t="shared" ref="AJ177" si="1308">AI177*AI$8</f>
        <v>0</v>
      </c>
      <c r="AK177" s="295"/>
      <c r="AL177" s="292">
        <f t="shared" si="1245"/>
        <v>0</v>
      </c>
      <c r="AM177" s="296"/>
      <c r="AN177" s="297"/>
      <c r="AO177" s="297"/>
      <c r="AP177" s="288"/>
      <c r="AQ177" s="297"/>
      <c r="AR177" s="297"/>
      <c r="AS177" s="297"/>
      <c r="AT177" s="297"/>
      <c r="AU177" s="297"/>
      <c r="AV177" s="297"/>
      <c r="AW177" s="297"/>
      <c r="AX177" s="297"/>
      <c r="AY177" s="297"/>
    </row>
    <row r="178" s="242" customFormat="1" customHeight="1" outlineLevel="1" collapsed="1" spans="1:51">
      <c r="A178" s="329" t="s">
        <v>548</v>
      </c>
      <c r="B178" s="330" t="s">
        <v>549</v>
      </c>
      <c r="C178" s="330">
        <f>SUM(C179:C182)</f>
        <v>7.5</v>
      </c>
      <c r="D178" s="330">
        <f t="shared" ref="D178:AJ178" si="1309">SUM(D179:D182)</f>
        <v>100.4377275</v>
      </c>
      <c r="E178" s="330">
        <f t="shared" si="1309"/>
        <v>7.5</v>
      </c>
      <c r="F178" s="330">
        <f t="shared" si="1309"/>
        <v>70.918845</v>
      </c>
      <c r="G178" s="330">
        <f t="shared" si="1309"/>
        <v>7.5</v>
      </c>
      <c r="H178" s="330">
        <f t="shared" si="1309"/>
        <v>3.9965325</v>
      </c>
      <c r="I178" s="330">
        <f t="shared" si="1309"/>
        <v>7.5</v>
      </c>
      <c r="J178" s="330">
        <f t="shared" si="1309"/>
        <v>42.25374</v>
      </c>
      <c r="K178" s="330">
        <f t="shared" si="1309"/>
        <v>7.5</v>
      </c>
      <c r="L178" s="330">
        <f t="shared" si="1309"/>
        <v>24.228135</v>
      </c>
      <c r="M178" s="330">
        <f t="shared" si="1309"/>
        <v>7.5</v>
      </c>
      <c r="N178" s="330">
        <f t="shared" si="1309"/>
        <v>0</v>
      </c>
      <c r="O178" s="330">
        <f t="shared" si="1309"/>
        <v>7.5</v>
      </c>
      <c r="P178" s="330">
        <f t="shared" si="1309"/>
        <v>0</v>
      </c>
      <c r="Q178" s="330">
        <f t="shared" si="1309"/>
        <v>7.5</v>
      </c>
      <c r="R178" s="330">
        <f t="shared" si="1309"/>
        <v>0</v>
      </c>
      <c r="S178" s="330">
        <f t="shared" si="1309"/>
        <v>7.5</v>
      </c>
      <c r="T178" s="330">
        <f t="shared" si="1309"/>
        <v>0</v>
      </c>
      <c r="U178" s="330">
        <f t="shared" si="1309"/>
        <v>7.5</v>
      </c>
      <c r="V178" s="330">
        <f t="shared" si="1309"/>
        <v>0</v>
      </c>
      <c r="W178" s="330">
        <f t="shared" si="1309"/>
        <v>7.5</v>
      </c>
      <c r="X178" s="330">
        <f t="shared" si="1309"/>
        <v>0</v>
      </c>
      <c r="Y178" s="330">
        <f t="shared" si="1309"/>
        <v>7.5</v>
      </c>
      <c r="Z178" s="330">
        <f t="shared" si="1309"/>
        <v>0.4404375</v>
      </c>
      <c r="AA178" s="330">
        <f t="shared" si="1309"/>
        <v>7.5</v>
      </c>
      <c r="AB178" s="330">
        <f t="shared" si="1309"/>
        <v>0</v>
      </c>
      <c r="AC178" s="330">
        <f t="shared" si="1309"/>
        <v>7.50000000000001</v>
      </c>
      <c r="AD178" s="330">
        <f t="shared" si="1309"/>
        <v>29.5188825</v>
      </c>
      <c r="AE178" s="330">
        <f t="shared" si="1309"/>
        <v>7.5</v>
      </c>
      <c r="AF178" s="330">
        <f t="shared" si="1309"/>
        <v>0</v>
      </c>
      <c r="AG178" s="330">
        <f t="shared" si="1309"/>
        <v>7.5</v>
      </c>
      <c r="AH178" s="330">
        <f t="shared" si="1309"/>
        <v>4.9361625</v>
      </c>
      <c r="AI178" s="330">
        <f t="shared" si="1309"/>
        <v>7.5</v>
      </c>
      <c r="AJ178" s="330">
        <f t="shared" si="1309"/>
        <v>24.58272</v>
      </c>
      <c r="AK178" s="295"/>
      <c r="AL178" s="292">
        <f t="shared" si="1245"/>
        <v>100.4377275</v>
      </c>
      <c r="AM178" s="296"/>
      <c r="AN178" s="297"/>
      <c r="AO178" s="297"/>
      <c r="AP178" s="288"/>
      <c r="AQ178" s="297"/>
      <c r="AR178" s="297"/>
      <c r="AS178" s="297"/>
      <c r="AT178" s="297"/>
      <c r="AU178" s="297"/>
      <c r="AV178" s="297"/>
      <c r="AW178" s="297"/>
      <c r="AX178" s="297"/>
      <c r="AY178" s="297"/>
    </row>
    <row r="179" s="242" customFormat="1" customHeight="1" outlineLevel="2" spans="1:51">
      <c r="A179" s="331" t="s">
        <v>550</v>
      </c>
      <c r="B179" s="332" t="s">
        <v>551</v>
      </c>
      <c r="C179" s="330">
        <f t="shared" ref="C179:C186" si="1310">D179/$C$8</f>
        <v>2.5</v>
      </c>
      <c r="D179" s="330">
        <f t="shared" si="981"/>
        <v>33.4792425</v>
      </c>
      <c r="E179" s="330">
        <f t="shared" ref="E179:E186" si="1311">F179/$E$8</f>
        <v>2.5</v>
      </c>
      <c r="F179" s="330">
        <f t="shared" si="1176"/>
        <v>23.639615</v>
      </c>
      <c r="G179" s="333">
        <v>2.5</v>
      </c>
      <c r="H179" s="330">
        <f t="shared" ref="H179:H186" si="1312">G179*G$8</f>
        <v>1.3321775</v>
      </c>
      <c r="I179" s="333">
        <v>2.5</v>
      </c>
      <c r="J179" s="330">
        <f t="shared" ref="J179" si="1313">I179*I$8</f>
        <v>14.08458</v>
      </c>
      <c r="K179" s="333">
        <v>2.5</v>
      </c>
      <c r="L179" s="330">
        <f t="shared" ref="L179" si="1314">K179*K$8</f>
        <v>8.076045</v>
      </c>
      <c r="M179" s="333">
        <v>2.5</v>
      </c>
      <c r="N179" s="330">
        <f t="shared" ref="N179:N186" si="1315">M179*M$8</f>
        <v>0</v>
      </c>
      <c r="O179" s="333">
        <v>2.5</v>
      </c>
      <c r="P179" s="330">
        <f t="shared" ref="P179:P186" si="1316">O179*O$8</f>
        <v>0</v>
      </c>
      <c r="Q179" s="333">
        <v>2.5</v>
      </c>
      <c r="R179" s="330">
        <f t="shared" ref="R179:R186" si="1317">Q179*Q$8</f>
        <v>0</v>
      </c>
      <c r="S179" s="333">
        <v>2.5</v>
      </c>
      <c r="T179" s="330">
        <f t="shared" ref="T179:T186" si="1318">S179*S$8</f>
        <v>0</v>
      </c>
      <c r="U179" s="333">
        <v>2.5</v>
      </c>
      <c r="V179" s="330">
        <f t="shared" ref="V179" si="1319">U179*U$8</f>
        <v>0</v>
      </c>
      <c r="W179" s="333">
        <v>2.5</v>
      </c>
      <c r="X179" s="330">
        <f t="shared" ref="X179" si="1320">W179*W$8</f>
        <v>0</v>
      </c>
      <c r="Y179" s="333">
        <v>2.5</v>
      </c>
      <c r="Z179" s="330">
        <f t="shared" ref="Z179" si="1321">Y179*Y$8</f>
        <v>0.1468125</v>
      </c>
      <c r="AA179" s="333">
        <v>2.5</v>
      </c>
      <c r="AB179" s="330">
        <f t="shared" ref="AB179" si="1322">AA179*AA$8</f>
        <v>0</v>
      </c>
      <c r="AC179" s="330">
        <f t="shared" ref="AC179:AC186" si="1323">AD179/AC$8</f>
        <v>2.5</v>
      </c>
      <c r="AD179" s="330">
        <f t="shared" ref="AD179:AD186" si="1324">AF179+AH179+AJ179</f>
        <v>9.83962750000001</v>
      </c>
      <c r="AE179" s="333">
        <v>2.5</v>
      </c>
      <c r="AF179" s="330">
        <f t="shared" ref="AF179" si="1325">AE179*AE$8</f>
        <v>0</v>
      </c>
      <c r="AG179" s="333">
        <v>2.5</v>
      </c>
      <c r="AH179" s="330">
        <f t="shared" ref="AH179" si="1326">AG179*AG$8</f>
        <v>1.6453875</v>
      </c>
      <c r="AI179" s="333">
        <v>2.5</v>
      </c>
      <c r="AJ179" s="330">
        <f t="shared" ref="AJ179" si="1327">AI179*AI$8</f>
        <v>8.19424000000001</v>
      </c>
      <c r="AK179" s="295"/>
      <c r="AL179" s="292">
        <f t="shared" si="1245"/>
        <v>33.4792425</v>
      </c>
      <c r="AM179" s="296"/>
      <c r="AN179" s="297"/>
      <c r="AO179" s="297"/>
      <c r="AP179" s="288"/>
      <c r="AQ179" s="297"/>
      <c r="AR179" s="297"/>
      <c r="AS179" s="297"/>
      <c r="AT179" s="297"/>
      <c r="AU179" s="297"/>
      <c r="AV179" s="297"/>
      <c r="AW179" s="297"/>
      <c r="AX179" s="297"/>
      <c r="AY179" s="297"/>
    </row>
    <row r="180" s="242" customFormat="1" customHeight="1" outlineLevel="2" spans="1:51">
      <c r="A180" s="331" t="s">
        <v>552</v>
      </c>
      <c r="B180" s="332" t="s">
        <v>553</v>
      </c>
      <c r="C180" s="330">
        <f t="shared" si="1310"/>
        <v>1.5</v>
      </c>
      <c r="D180" s="330">
        <f t="shared" si="981"/>
        <v>20.0875455</v>
      </c>
      <c r="E180" s="330">
        <f t="shared" si="1311"/>
        <v>1.5</v>
      </c>
      <c r="F180" s="330">
        <f t="shared" si="1176"/>
        <v>14.183769</v>
      </c>
      <c r="G180" s="333">
        <v>1.5</v>
      </c>
      <c r="H180" s="330">
        <f t="shared" si="1312"/>
        <v>0.7993065</v>
      </c>
      <c r="I180" s="333">
        <v>1.5</v>
      </c>
      <c r="J180" s="330">
        <f t="shared" ref="J180" si="1328">I180*I$8</f>
        <v>8.450748</v>
      </c>
      <c r="K180" s="333">
        <v>1.5</v>
      </c>
      <c r="L180" s="330">
        <f t="shared" ref="L180" si="1329">K180*K$8</f>
        <v>4.845627</v>
      </c>
      <c r="M180" s="333">
        <v>1.5</v>
      </c>
      <c r="N180" s="330">
        <f t="shared" si="1315"/>
        <v>0</v>
      </c>
      <c r="O180" s="333">
        <v>1.5</v>
      </c>
      <c r="P180" s="330">
        <f t="shared" si="1316"/>
        <v>0</v>
      </c>
      <c r="Q180" s="333">
        <v>1.5</v>
      </c>
      <c r="R180" s="330">
        <f t="shared" si="1317"/>
        <v>0</v>
      </c>
      <c r="S180" s="333">
        <v>1.5</v>
      </c>
      <c r="T180" s="330">
        <f t="shared" si="1318"/>
        <v>0</v>
      </c>
      <c r="U180" s="333">
        <v>1.5</v>
      </c>
      <c r="V180" s="330">
        <f t="shared" ref="V180" si="1330">U180*U$8</f>
        <v>0</v>
      </c>
      <c r="W180" s="333">
        <v>1.5</v>
      </c>
      <c r="X180" s="330">
        <f t="shared" ref="X180" si="1331">W180*W$8</f>
        <v>0</v>
      </c>
      <c r="Y180" s="333">
        <v>1.5</v>
      </c>
      <c r="Z180" s="330">
        <f t="shared" ref="Z180" si="1332">Y180*Y$8</f>
        <v>0.0880875</v>
      </c>
      <c r="AA180" s="333">
        <v>1.5</v>
      </c>
      <c r="AB180" s="330">
        <f t="shared" ref="AB180" si="1333">AA180*AA$8</f>
        <v>0</v>
      </c>
      <c r="AC180" s="330">
        <f t="shared" si="1323"/>
        <v>1.5</v>
      </c>
      <c r="AD180" s="330">
        <f t="shared" si="1324"/>
        <v>5.9037765</v>
      </c>
      <c r="AE180" s="333">
        <v>1.5</v>
      </c>
      <c r="AF180" s="330">
        <f t="shared" ref="AF180" si="1334">AE180*AE$8</f>
        <v>0</v>
      </c>
      <c r="AG180" s="333">
        <v>1.5</v>
      </c>
      <c r="AH180" s="330">
        <f t="shared" ref="AH180" si="1335">AG180*AG$8</f>
        <v>0.9872325</v>
      </c>
      <c r="AI180" s="333">
        <v>1.5</v>
      </c>
      <c r="AJ180" s="330">
        <f t="shared" ref="AJ180" si="1336">AI180*AI$8</f>
        <v>4.916544</v>
      </c>
      <c r="AK180" s="295"/>
      <c r="AL180" s="292">
        <f t="shared" si="1245"/>
        <v>20.0875455</v>
      </c>
      <c r="AM180" s="296"/>
      <c r="AN180" s="297"/>
      <c r="AO180" s="297"/>
      <c r="AP180" s="288"/>
      <c r="AQ180" s="297"/>
      <c r="AR180" s="297"/>
      <c r="AS180" s="297"/>
      <c r="AT180" s="297"/>
      <c r="AU180" s="297"/>
      <c r="AV180" s="297"/>
      <c r="AW180" s="297"/>
      <c r="AX180" s="297"/>
      <c r="AY180" s="297"/>
    </row>
    <row r="181" s="242" customFormat="1" customHeight="1" outlineLevel="2" spans="1:51">
      <c r="A181" s="331" t="s">
        <v>554</v>
      </c>
      <c r="B181" s="332" t="s">
        <v>555</v>
      </c>
      <c r="C181" s="330">
        <f t="shared" si="1310"/>
        <v>2.5</v>
      </c>
      <c r="D181" s="330">
        <f t="shared" si="981"/>
        <v>33.4792425</v>
      </c>
      <c r="E181" s="330">
        <f t="shared" si="1311"/>
        <v>2.5</v>
      </c>
      <c r="F181" s="330">
        <f t="shared" si="1176"/>
        <v>23.639615</v>
      </c>
      <c r="G181" s="333">
        <v>2.5</v>
      </c>
      <c r="H181" s="330">
        <f t="shared" si="1312"/>
        <v>1.3321775</v>
      </c>
      <c r="I181" s="333">
        <v>2.5</v>
      </c>
      <c r="J181" s="330">
        <f t="shared" ref="J181" si="1337">I181*I$8</f>
        <v>14.08458</v>
      </c>
      <c r="K181" s="333">
        <v>2.5</v>
      </c>
      <c r="L181" s="330">
        <f t="shared" ref="L181" si="1338">K181*K$8</f>
        <v>8.076045</v>
      </c>
      <c r="M181" s="333">
        <v>2.5</v>
      </c>
      <c r="N181" s="330">
        <f t="shared" si="1315"/>
        <v>0</v>
      </c>
      <c r="O181" s="333">
        <v>2.5</v>
      </c>
      <c r="P181" s="330">
        <f t="shared" si="1316"/>
        <v>0</v>
      </c>
      <c r="Q181" s="333">
        <v>2.5</v>
      </c>
      <c r="R181" s="330">
        <f t="shared" si="1317"/>
        <v>0</v>
      </c>
      <c r="S181" s="333">
        <v>2.5</v>
      </c>
      <c r="T181" s="330">
        <f t="shared" si="1318"/>
        <v>0</v>
      </c>
      <c r="U181" s="333">
        <v>2.5</v>
      </c>
      <c r="V181" s="330">
        <f t="shared" ref="V181" si="1339">U181*U$8</f>
        <v>0</v>
      </c>
      <c r="W181" s="333">
        <v>2.5</v>
      </c>
      <c r="X181" s="330">
        <f t="shared" ref="X181" si="1340">W181*W$8</f>
        <v>0</v>
      </c>
      <c r="Y181" s="333">
        <v>2.5</v>
      </c>
      <c r="Z181" s="330">
        <f t="shared" ref="Z181" si="1341">Y181*Y$8</f>
        <v>0.1468125</v>
      </c>
      <c r="AA181" s="333">
        <v>2.5</v>
      </c>
      <c r="AB181" s="330">
        <f t="shared" ref="AB181" si="1342">AA181*AA$8</f>
        <v>0</v>
      </c>
      <c r="AC181" s="330">
        <f t="shared" si="1323"/>
        <v>2.5</v>
      </c>
      <c r="AD181" s="330">
        <f t="shared" si="1324"/>
        <v>9.83962750000001</v>
      </c>
      <c r="AE181" s="333">
        <v>2.5</v>
      </c>
      <c r="AF181" s="330">
        <f t="shared" ref="AF181" si="1343">AE181*AE$8</f>
        <v>0</v>
      </c>
      <c r="AG181" s="333">
        <v>2.5</v>
      </c>
      <c r="AH181" s="330">
        <f t="shared" ref="AH181" si="1344">AG181*AG$8</f>
        <v>1.6453875</v>
      </c>
      <c r="AI181" s="333">
        <v>2.5</v>
      </c>
      <c r="AJ181" s="330">
        <f t="shared" ref="AJ181" si="1345">AI181*AI$8</f>
        <v>8.19424000000001</v>
      </c>
      <c r="AK181" s="295"/>
      <c r="AL181" s="292">
        <f t="shared" si="1245"/>
        <v>33.4792425</v>
      </c>
      <c r="AM181" s="296"/>
      <c r="AN181" s="297"/>
      <c r="AO181" s="297"/>
      <c r="AP181" s="288"/>
      <c r="AQ181" s="297"/>
      <c r="AR181" s="297"/>
      <c r="AS181" s="297"/>
      <c r="AT181" s="297"/>
      <c r="AU181" s="297"/>
      <c r="AV181" s="297"/>
      <c r="AW181" s="297"/>
      <c r="AX181" s="297"/>
      <c r="AY181" s="297"/>
    </row>
    <row r="182" s="242" customFormat="1" customHeight="1" outlineLevel="2" spans="1:51">
      <c r="A182" s="331" t="s">
        <v>556</v>
      </c>
      <c r="B182" s="332" t="s">
        <v>557</v>
      </c>
      <c r="C182" s="330">
        <f t="shared" si="1310"/>
        <v>1</v>
      </c>
      <c r="D182" s="330">
        <f t="shared" si="981"/>
        <v>13.391697</v>
      </c>
      <c r="E182" s="330">
        <f t="shared" si="1311"/>
        <v>1</v>
      </c>
      <c r="F182" s="330">
        <f t="shared" si="1176"/>
        <v>9.455846</v>
      </c>
      <c r="G182" s="333">
        <v>1</v>
      </c>
      <c r="H182" s="330">
        <f t="shared" si="1312"/>
        <v>0.532871</v>
      </c>
      <c r="I182" s="333">
        <v>1</v>
      </c>
      <c r="J182" s="330">
        <f t="shared" ref="J182" si="1346">I182*I$8</f>
        <v>5.633832</v>
      </c>
      <c r="K182" s="333">
        <v>1</v>
      </c>
      <c r="L182" s="330">
        <f t="shared" ref="L182" si="1347">K182*K$8</f>
        <v>3.230418</v>
      </c>
      <c r="M182" s="333">
        <v>1</v>
      </c>
      <c r="N182" s="330">
        <f t="shared" si="1315"/>
        <v>0</v>
      </c>
      <c r="O182" s="333">
        <v>1</v>
      </c>
      <c r="P182" s="330">
        <f t="shared" si="1316"/>
        <v>0</v>
      </c>
      <c r="Q182" s="333">
        <v>1</v>
      </c>
      <c r="R182" s="330">
        <f t="shared" si="1317"/>
        <v>0</v>
      </c>
      <c r="S182" s="333">
        <v>1</v>
      </c>
      <c r="T182" s="330">
        <f t="shared" si="1318"/>
        <v>0</v>
      </c>
      <c r="U182" s="333">
        <v>1</v>
      </c>
      <c r="V182" s="330">
        <f t="shared" ref="V182" si="1348">U182*U$8</f>
        <v>0</v>
      </c>
      <c r="W182" s="333">
        <v>1</v>
      </c>
      <c r="X182" s="330">
        <f t="shared" ref="X182" si="1349">W182*W$8</f>
        <v>0</v>
      </c>
      <c r="Y182" s="333">
        <v>1</v>
      </c>
      <c r="Z182" s="330">
        <f t="shared" ref="Z182" si="1350">Y182*Y$8</f>
        <v>0.058725</v>
      </c>
      <c r="AA182" s="333">
        <v>1</v>
      </c>
      <c r="AB182" s="330">
        <f t="shared" ref="AB182" si="1351">AA182*AA$8</f>
        <v>0</v>
      </c>
      <c r="AC182" s="330">
        <f t="shared" si="1323"/>
        <v>1</v>
      </c>
      <c r="AD182" s="330">
        <f t="shared" si="1324"/>
        <v>3.935851</v>
      </c>
      <c r="AE182" s="333">
        <v>1</v>
      </c>
      <c r="AF182" s="330">
        <f t="shared" ref="AF182" si="1352">AE182*AE$8</f>
        <v>0</v>
      </c>
      <c r="AG182" s="333">
        <v>1</v>
      </c>
      <c r="AH182" s="330">
        <f t="shared" ref="AH182" si="1353">AG182*AG$8</f>
        <v>0.658155</v>
      </c>
      <c r="AI182" s="333">
        <v>1</v>
      </c>
      <c r="AJ182" s="330">
        <f t="shared" ref="AJ182" si="1354">AI182*AI$8</f>
        <v>3.277696</v>
      </c>
      <c r="AK182" s="295"/>
      <c r="AL182" s="292">
        <f t="shared" si="1245"/>
        <v>13.391697</v>
      </c>
      <c r="AM182" s="296"/>
      <c r="AN182" s="297"/>
      <c r="AO182" s="297"/>
      <c r="AP182" s="288"/>
      <c r="AQ182" s="297"/>
      <c r="AR182" s="297"/>
      <c r="AS182" s="297"/>
      <c r="AT182" s="297"/>
      <c r="AU182" s="297"/>
      <c r="AV182" s="297"/>
      <c r="AW182" s="297"/>
      <c r="AX182" s="297"/>
      <c r="AY182" s="297"/>
    </row>
    <row r="183" s="242" customFormat="1" customHeight="1" outlineLevel="1" spans="1:51">
      <c r="A183" s="329" t="s">
        <v>558</v>
      </c>
      <c r="B183" s="330" t="s">
        <v>559</v>
      </c>
      <c r="C183" s="330">
        <f t="shared" si="1310"/>
        <v>0</v>
      </c>
      <c r="D183" s="330">
        <f t="shared" si="981"/>
        <v>0</v>
      </c>
      <c r="E183" s="330">
        <f t="shared" si="1311"/>
        <v>0</v>
      </c>
      <c r="F183" s="330">
        <f t="shared" si="1176"/>
        <v>0</v>
      </c>
      <c r="G183" s="330"/>
      <c r="H183" s="330">
        <f t="shared" si="1312"/>
        <v>0</v>
      </c>
      <c r="I183" s="330"/>
      <c r="J183" s="330">
        <f t="shared" ref="J183" si="1355">I183*I$8</f>
        <v>0</v>
      </c>
      <c r="K183" s="330"/>
      <c r="L183" s="330">
        <f t="shared" ref="L183" si="1356">K183*K$8</f>
        <v>0</v>
      </c>
      <c r="M183" s="330"/>
      <c r="N183" s="330">
        <f t="shared" si="1315"/>
        <v>0</v>
      </c>
      <c r="O183" s="330"/>
      <c r="P183" s="330">
        <f t="shared" si="1316"/>
        <v>0</v>
      </c>
      <c r="Q183" s="330"/>
      <c r="R183" s="330">
        <f t="shared" si="1317"/>
        <v>0</v>
      </c>
      <c r="S183" s="330"/>
      <c r="T183" s="330">
        <f t="shared" si="1318"/>
        <v>0</v>
      </c>
      <c r="U183" s="330"/>
      <c r="V183" s="330">
        <f t="shared" ref="V183" si="1357">U183*U$8</f>
        <v>0</v>
      </c>
      <c r="W183" s="330"/>
      <c r="X183" s="330">
        <f t="shared" ref="X183" si="1358">W183*W$8</f>
        <v>0</v>
      </c>
      <c r="Y183" s="330"/>
      <c r="Z183" s="330">
        <f t="shared" ref="Z183" si="1359">Y183*Y$8</f>
        <v>0</v>
      </c>
      <c r="AA183" s="330"/>
      <c r="AB183" s="330">
        <f t="shared" ref="AB183" si="1360">AA183*AA$8</f>
        <v>0</v>
      </c>
      <c r="AC183" s="330">
        <f t="shared" si="1323"/>
        <v>0</v>
      </c>
      <c r="AD183" s="330">
        <f t="shared" si="1324"/>
        <v>0</v>
      </c>
      <c r="AE183" s="330"/>
      <c r="AF183" s="330">
        <f t="shared" ref="AF183" si="1361">AE183*AE$8</f>
        <v>0</v>
      </c>
      <c r="AG183" s="330"/>
      <c r="AH183" s="330">
        <f t="shared" ref="AH183" si="1362">AG183*AG$8</f>
        <v>0</v>
      </c>
      <c r="AI183" s="330"/>
      <c r="AJ183" s="330">
        <f t="shared" ref="AJ183" si="1363">AI183*AI$8</f>
        <v>0</v>
      </c>
      <c r="AK183" s="295"/>
      <c r="AL183" s="292">
        <f t="shared" si="1245"/>
        <v>0</v>
      </c>
      <c r="AM183" s="296"/>
      <c r="AN183" s="297"/>
      <c r="AO183" s="297"/>
      <c r="AP183" s="288"/>
      <c r="AQ183" s="297"/>
      <c r="AR183" s="297"/>
      <c r="AS183" s="297"/>
      <c r="AT183" s="297"/>
      <c r="AU183" s="297"/>
      <c r="AV183" s="297"/>
      <c r="AW183" s="297"/>
      <c r="AX183" s="297"/>
      <c r="AY183" s="297"/>
    </row>
    <row r="184" customHeight="1" outlineLevel="1" spans="1:51">
      <c r="A184" s="329" t="s">
        <v>560</v>
      </c>
      <c r="B184" s="330" t="s">
        <v>561</v>
      </c>
      <c r="C184" s="330">
        <f t="shared" si="1310"/>
        <v>0</v>
      </c>
      <c r="D184" s="330">
        <f t="shared" si="981"/>
        <v>0</v>
      </c>
      <c r="E184" s="330">
        <f t="shared" si="1311"/>
        <v>0</v>
      </c>
      <c r="F184" s="330">
        <f t="shared" si="1176"/>
        <v>0</v>
      </c>
      <c r="G184" s="330"/>
      <c r="H184" s="330">
        <f t="shared" si="1312"/>
        <v>0</v>
      </c>
      <c r="I184" s="330"/>
      <c r="J184" s="330">
        <f t="shared" ref="J184" si="1364">I184*I$8</f>
        <v>0</v>
      </c>
      <c r="K184" s="330"/>
      <c r="L184" s="330">
        <f t="shared" ref="L184" si="1365">K184*K$8</f>
        <v>0</v>
      </c>
      <c r="M184" s="330"/>
      <c r="N184" s="330">
        <f t="shared" si="1315"/>
        <v>0</v>
      </c>
      <c r="O184" s="330"/>
      <c r="P184" s="330">
        <f t="shared" si="1316"/>
        <v>0</v>
      </c>
      <c r="Q184" s="330"/>
      <c r="R184" s="330">
        <f t="shared" si="1317"/>
        <v>0</v>
      </c>
      <c r="S184" s="330"/>
      <c r="T184" s="330">
        <f t="shared" si="1318"/>
        <v>0</v>
      </c>
      <c r="U184" s="330"/>
      <c r="V184" s="330">
        <f t="shared" ref="V184" si="1366">U184*U$8</f>
        <v>0</v>
      </c>
      <c r="W184" s="330"/>
      <c r="X184" s="330">
        <f t="shared" ref="X184" si="1367">W184*W$8</f>
        <v>0</v>
      </c>
      <c r="Y184" s="330"/>
      <c r="Z184" s="330">
        <f t="shared" ref="Z184" si="1368">Y184*Y$8</f>
        <v>0</v>
      </c>
      <c r="AA184" s="330"/>
      <c r="AB184" s="330">
        <f t="shared" ref="AB184" si="1369">AA184*AA$8</f>
        <v>0</v>
      </c>
      <c r="AC184" s="330">
        <f t="shared" si="1323"/>
        <v>0</v>
      </c>
      <c r="AD184" s="330">
        <f t="shared" si="1324"/>
        <v>0</v>
      </c>
      <c r="AE184" s="330"/>
      <c r="AF184" s="330">
        <f t="shared" ref="AF184" si="1370">AE184*AE$8</f>
        <v>0</v>
      </c>
      <c r="AG184" s="330"/>
      <c r="AH184" s="330">
        <f t="shared" ref="AH184" si="1371">AG184*AG$8</f>
        <v>0</v>
      </c>
      <c r="AI184" s="330"/>
      <c r="AJ184" s="330">
        <f t="shared" ref="AJ184" si="1372">AI184*AI$8</f>
        <v>0</v>
      </c>
      <c r="AK184" s="295"/>
      <c r="AL184" s="292">
        <f t="shared" si="1245"/>
        <v>0</v>
      </c>
      <c r="AM184" s="290"/>
      <c r="AN184" s="288"/>
      <c r="AO184" s="288"/>
      <c r="AP184" s="288"/>
      <c r="AQ184" s="288"/>
      <c r="AR184" s="288"/>
      <c r="AS184" s="288"/>
      <c r="AT184" s="288"/>
      <c r="AU184" s="288"/>
      <c r="AV184" s="288"/>
      <c r="AW184" s="288"/>
      <c r="AX184" s="288"/>
      <c r="AY184" s="288"/>
    </row>
    <row r="185" customHeight="1" outlineLevel="1" spans="1:51">
      <c r="A185" s="329" t="s">
        <v>562</v>
      </c>
      <c r="B185" s="330" t="s">
        <v>563</v>
      </c>
      <c r="C185" s="330">
        <f t="shared" si="1310"/>
        <v>0</v>
      </c>
      <c r="D185" s="330">
        <f t="shared" si="981"/>
        <v>0</v>
      </c>
      <c r="E185" s="330">
        <f t="shared" si="1311"/>
        <v>0</v>
      </c>
      <c r="F185" s="330">
        <f t="shared" si="1176"/>
        <v>0</v>
      </c>
      <c r="G185" s="330"/>
      <c r="H185" s="330">
        <f t="shared" si="1312"/>
        <v>0</v>
      </c>
      <c r="I185" s="330"/>
      <c r="J185" s="330">
        <f t="shared" ref="J185" si="1373">I185*I$8</f>
        <v>0</v>
      </c>
      <c r="K185" s="330"/>
      <c r="L185" s="330">
        <f t="shared" ref="L185" si="1374">K185*K$8</f>
        <v>0</v>
      </c>
      <c r="M185" s="330"/>
      <c r="N185" s="330">
        <f t="shared" si="1315"/>
        <v>0</v>
      </c>
      <c r="O185" s="330"/>
      <c r="P185" s="330">
        <f t="shared" si="1316"/>
        <v>0</v>
      </c>
      <c r="Q185" s="330"/>
      <c r="R185" s="330">
        <f t="shared" si="1317"/>
        <v>0</v>
      </c>
      <c r="S185" s="330"/>
      <c r="T185" s="330">
        <f t="shared" si="1318"/>
        <v>0</v>
      </c>
      <c r="U185" s="330"/>
      <c r="V185" s="330">
        <f t="shared" ref="V185" si="1375">U185*U$8</f>
        <v>0</v>
      </c>
      <c r="W185" s="330"/>
      <c r="X185" s="330">
        <f t="shared" ref="X185" si="1376">W185*W$8</f>
        <v>0</v>
      </c>
      <c r="Y185" s="330"/>
      <c r="Z185" s="330">
        <f t="shared" ref="Z185" si="1377">Y185*Y$8</f>
        <v>0</v>
      </c>
      <c r="AA185" s="330"/>
      <c r="AB185" s="330">
        <f t="shared" ref="AB185" si="1378">AA185*AA$8</f>
        <v>0</v>
      </c>
      <c r="AC185" s="330">
        <f t="shared" si="1323"/>
        <v>0</v>
      </c>
      <c r="AD185" s="330">
        <f t="shared" si="1324"/>
        <v>0</v>
      </c>
      <c r="AE185" s="330"/>
      <c r="AF185" s="330">
        <f t="shared" ref="AF185" si="1379">AE185*AE$8</f>
        <v>0</v>
      </c>
      <c r="AG185" s="330"/>
      <c r="AH185" s="330">
        <f t="shared" ref="AH185" si="1380">AG185*AG$8</f>
        <v>0</v>
      </c>
      <c r="AI185" s="330"/>
      <c r="AJ185" s="330">
        <f t="shared" ref="AJ185" si="1381">AI185*AI$8</f>
        <v>0</v>
      </c>
      <c r="AK185" s="295"/>
      <c r="AL185" s="292">
        <f t="shared" si="1245"/>
        <v>0</v>
      </c>
      <c r="AM185" s="290"/>
      <c r="AN185" s="288"/>
      <c r="AO185" s="288"/>
      <c r="AP185" s="288"/>
      <c r="AQ185" s="288"/>
      <c r="AR185" s="288"/>
      <c r="AS185" s="288"/>
      <c r="AT185" s="288"/>
      <c r="AU185" s="288"/>
      <c r="AV185" s="288"/>
      <c r="AW185" s="288"/>
      <c r="AX185" s="288"/>
      <c r="AY185" s="288"/>
    </row>
    <row r="186" customHeight="1" outlineLevel="1" spans="1:51">
      <c r="A186" s="329" t="s">
        <v>564</v>
      </c>
      <c r="B186" s="330" t="s">
        <v>565</v>
      </c>
      <c r="C186" s="330">
        <f t="shared" si="1310"/>
        <v>0</v>
      </c>
      <c r="D186" s="330">
        <f t="shared" si="981"/>
        <v>0</v>
      </c>
      <c r="E186" s="330">
        <f t="shared" si="1311"/>
        <v>0</v>
      </c>
      <c r="F186" s="330">
        <f t="shared" si="1176"/>
        <v>0</v>
      </c>
      <c r="G186" s="330"/>
      <c r="H186" s="330">
        <f t="shared" si="1312"/>
        <v>0</v>
      </c>
      <c r="I186" s="330"/>
      <c r="J186" s="330">
        <f t="shared" ref="J186" si="1382">I186*I$8</f>
        <v>0</v>
      </c>
      <c r="K186" s="330"/>
      <c r="L186" s="330">
        <f t="shared" ref="L186" si="1383">K186*K$8</f>
        <v>0</v>
      </c>
      <c r="M186" s="330"/>
      <c r="N186" s="330">
        <f t="shared" si="1315"/>
        <v>0</v>
      </c>
      <c r="O186" s="330"/>
      <c r="P186" s="330">
        <f t="shared" si="1316"/>
        <v>0</v>
      </c>
      <c r="Q186" s="330"/>
      <c r="R186" s="330">
        <f t="shared" si="1317"/>
        <v>0</v>
      </c>
      <c r="S186" s="330"/>
      <c r="T186" s="330">
        <f t="shared" si="1318"/>
        <v>0</v>
      </c>
      <c r="U186" s="330"/>
      <c r="V186" s="330">
        <f t="shared" ref="V186" si="1384">U186*U$8</f>
        <v>0</v>
      </c>
      <c r="W186" s="330"/>
      <c r="X186" s="330">
        <f t="shared" ref="X186" si="1385">W186*W$8</f>
        <v>0</v>
      </c>
      <c r="Y186" s="330"/>
      <c r="Z186" s="330">
        <f t="shared" ref="Z186" si="1386">Y186*Y$8</f>
        <v>0</v>
      </c>
      <c r="AA186" s="330"/>
      <c r="AB186" s="330">
        <f t="shared" ref="AB186" si="1387">AA186*AA$8</f>
        <v>0</v>
      </c>
      <c r="AC186" s="330">
        <f t="shared" si="1323"/>
        <v>0</v>
      </c>
      <c r="AD186" s="330">
        <f t="shared" si="1324"/>
        <v>0</v>
      </c>
      <c r="AE186" s="330"/>
      <c r="AF186" s="330">
        <f t="shared" ref="AF186" si="1388">AE186*AE$8</f>
        <v>0</v>
      </c>
      <c r="AG186" s="330"/>
      <c r="AH186" s="330">
        <f t="shared" ref="AH186" si="1389">AG186*AG$8</f>
        <v>0</v>
      </c>
      <c r="AI186" s="330"/>
      <c r="AJ186" s="330">
        <f t="shared" ref="AJ186" si="1390">AI186*AI$8</f>
        <v>0</v>
      </c>
      <c r="AK186" s="295"/>
      <c r="AL186" s="292">
        <f t="shared" si="1245"/>
        <v>0</v>
      </c>
      <c r="AM186" s="290"/>
      <c r="AN186" s="288"/>
      <c r="AO186" s="288"/>
      <c r="AP186" s="288"/>
      <c r="AQ186" s="288"/>
      <c r="AR186" s="288"/>
      <c r="AS186" s="288"/>
      <c r="AT186" s="288"/>
      <c r="AU186" s="288"/>
      <c r="AV186" s="288"/>
      <c r="AW186" s="288"/>
      <c r="AX186" s="288"/>
      <c r="AY186" s="288"/>
    </row>
    <row r="187" customHeight="1" spans="1:51">
      <c r="A187" s="329" t="s">
        <v>566</v>
      </c>
      <c r="B187" s="329" t="s">
        <v>567</v>
      </c>
      <c r="C187" s="330">
        <f>SUM(C188:C191)</f>
        <v>48.2369011487491</v>
      </c>
      <c r="D187" s="330">
        <f t="shared" ref="D187:AJ187" si="1391">SUM(D188:D191)</f>
        <v>645.973964403</v>
      </c>
      <c r="E187" s="330">
        <f t="shared" si="1391"/>
        <v>49.1136960657765</v>
      </c>
      <c r="F187" s="330">
        <f t="shared" si="1391"/>
        <v>464.411546488789</v>
      </c>
      <c r="G187" s="330">
        <f t="shared" si="1391"/>
        <v>45.1310143630282</v>
      </c>
      <c r="H187" s="330">
        <f t="shared" si="1391"/>
        <v>24.0490087546412</v>
      </c>
      <c r="I187" s="330">
        <f t="shared" si="1391"/>
        <v>41.5076778943051</v>
      </c>
      <c r="J187" s="330">
        <f t="shared" si="1391"/>
        <v>233.847283966629</v>
      </c>
      <c r="K187" s="330">
        <f t="shared" si="1391"/>
        <v>63.0465618134533</v>
      </c>
      <c r="L187" s="330">
        <f t="shared" si="1391"/>
        <v>203.666748120292</v>
      </c>
      <c r="M187" s="330">
        <f t="shared" si="1391"/>
        <v>20.4779375448856</v>
      </c>
      <c r="N187" s="330">
        <f t="shared" si="1391"/>
        <v>0</v>
      </c>
      <c r="O187" s="330">
        <f t="shared" si="1391"/>
        <v>19.9079375448856</v>
      </c>
      <c r="P187" s="330">
        <f t="shared" si="1391"/>
        <v>0</v>
      </c>
      <c r="Q187" s="330">
        <f t="shared" si="1391"/>
        <v>38.3279375448856</v>
      </c>
      <c r="R187" s="330">
        <f t="shared" si="1391"/>
        <v>0</v>
      </c>
      <c r="S187" s="330">
        <f t="shared" si="1391"/>
        <v>25.1824933138281</v>
      </c>
      <c r="T187" s="330">
        <f t="shared" si="1391"/>
        <v>0</v>
      </c>
      <c r="U187" s="330">
        <f t="shared" si="1391"/>
        <v>29.3898530512152</v>
      </c>
      <c r="V187" s="330">
        <f t="shared" si="1391"/>
        <v>0</v>
      </c>
      <c r="W187" s="330">
        <f t="shared" si="1391"/>
        <v>15.8607795768229</v>
      </c>
      <c r="X187" s="330">
        <f t="shared" si="1391"/>
        <v>0</v>
      </c>
      <c r="Y187" s="330">
        <f t="shared" si="1391"/>
        <v>48.5058432903612</v>
      </c>
      <c r="Z187" s="330">
        <f t="shared" si="1391"/>
        <v>2.84850564722646</v>
      </c>
      <c r="AA187" s="330">
        <f t="shared" si="1391"/>
        <v>79.2807795768229</v>
      </c>
      <c r="AB187" s="330">
        <f t="shared" si="1391"/>
        <v>0</v>
      </c>
      <c r="AC187" s="330">
        <f t="shared" si="1391"/>
        <v>15.3768031288288</v>
      </c>
      <c r="AD187" s="330">
        <f t="shared" si="1391"/>
        <v>181.562417914211</v>
      </c>
      <c r="AE187" s="330">
        <f t="shared" si="1391"/>
        <v>0</v>
      </c>
      <c r="AF187" s="330">
        <f t="shared" si="1391"/>
        <v>0</v>
      </c>
      <c r="AG187" s="330">
        <f t="shared" si="1391"/>
        <v>54.4998432903612</v>
      </c>
      <c r="AH187" s="330">
        <f t="shared" si="1391"/>
        <v>35.8693443607677</v>
      </c>
      <c r="AI187" s="330">
        <f t="shared" si="1391"/>
        <v>44.4498432903612</v>
      </c>
      <c r="AJ187" s="330">
        <f t="shared" si="1391"/>
        <v>145.693073553444</v>
      </c>
      <c r="AK187" s="295"/>
      <c r="AL187" s="292">
        <f t="shared" si="1245"/>
        <v>645.973964403</v>
      </c>
      <c r="AM187" s="290"/>
      <c r="AN187" s="288"/>
      <c r="AO187" s="288"/>
      <c r="AP187" s="288"/>
      <c r="AQ187" s="288"/>
      <c r="AR187" s="288"/>
      <c r="AS187" s="288"/>
      <c r="AT187" s="288"/>
      <c r="AU187" s="288"/>
      <c r="AV187" s="288"/>
      <c r="AW187" s="288"/>
      <c r="AX187" s="288"/>
      <c r="AY187" s="288"/>
    </row>
    <row r="188" s="242" customFormat="1" customHeight="1" outlineLevel="1" spans="1:51">
      <c r="A188" s="329" t="s">
        <v>568</v>
      </c>
      <c r="B188" s="330" t="s">
        <v>569</v>
      </c>
      <c r="C188" s="330">
        <f>D188/$C$8</f>
        <v>0</v>
      </c>
      <c r="D188" s="330">
        <f t="shared" si="981"/>
        <v>0</v>
      </c>
      <c r="E188" s="330">
        <f>F188/$E$8</f>
        <v>0</v>
      </c>
      <c r="F188" s="330">
        <f t="shared" si="1176"/>
        <v>0</v>
      </c>
      <c r="G188" s="330"/>
      <c r="H188" s="330">
        <f>G188*G$8</f>
        <v>0</v>
      </c>
      <c r="I188" s="330"/>
      <c r="J188" s="330">
        <f t="shared" ref="J188" si="1392">I188*I$8</f>
        <v>0</v>
      </c>
      <c r="K188" s="330"/>
      <c r="L188" s="330">
        <f t="shared" ref="L188" si="1393">K188*K$8</f>
        <v>0</v>
      </c>
      <c r="M188" s="330"/>
      <c r="N188" s="330">
        <f t="shared" ref="N188:N191" si="1394">M188*M$8</f>
        <v>0</v>
      </c>
      <c r="O188" s="330"/>
      <c r="P188" s="330">
        <f t="shared" ref="P188:P191" si="1395">O188*O$8</f>
        <v>0</v>
      </c>
      <c r="Q188" s="330"/>
      <c r="R188" s="330">
        <f t="shared" ref="R188:R191" si="1396">Q188*Q$8</f>
        <v>0</v>
      </c>
      <c r="S188" s="330"/>
      <c r="T188" s="330">
        <f t="shared" ref="T188:T191" si="1397">S188*S$8</f>
        <v>0</v>
      </c>
      <c r="U188" s="330"/>
      <c r="V188" s="330">
        <f t="shared" ref="V188" si="1398">U188*U$8</f>
        <v>0</v>
      </c>
      <c r="W188" s="330"/>
      <c r="X188" s="330">
        <f t="shared" ref="X188" si="1399">W188*W$8</f>
        <v>0</v>
      </c>
      <c r="Y188" s="330"/>
      <c r="Z188" s="330">
        <f t="shared" ref="Z188" si="1400">Y188*Y$8</f>
        <v>0</v>
      </c>
      <c r="AA188" s="330"/>
      <c r="AB188" s="330">
        <f t="shared" ref="AB188" si="1401">AA188*AA$8</f>
        <v>0</v>
      </c>
      <c r="AC188" s="330">
        <f>AD188/AC$8</f>
        <v>0</v>
      </c>
      <c r="AD188" s="330">
        <f>AF188+AH188+AJ188</f>
        <v>0</v>
      </c>
      <c r="AE188" s="330"/>
      <c r="AF188" s="330">
        <f t="shared" ref="AF188" si="1402">AE188*AE$8</f>
        <v>0</v>
      </c>
      <c r="AG188" s="330"/>
      <c r="AH188" s="330">
        <f t="shared" ref="AH188" si="1403">AG188*AG$8</f>
        <v>0</v>
      </c>
      <c r="AI188" s="330"/>
      <c r="AJ188" s="330">
        <f t="shared" ref="AJ188" si="1404">AI188*AI$8</f>
        <v>0</v>
      </c>
      <c r="AK188" s="295"/>
      <c r="AL188" s="336">
        <f>AJ188+AH188+AF188+AB188+Z188+X188+V188+AJ342+T188+R188+P188+N188+L188+J188+H188</f>
        <v>0</v>
      </c>
      <c r="AM188" s="296"/>
      <c r="AN188" s="297"/>
      <c r="AO188" s="297"/>
      <c r="AP188" s="288"/>
      <c r="AQ188" s="297"/>
      <c r="AR188" s="297"/>
      <c r="AS188" s="297"/>
      <c r="AT188" s="297"/>
      <c r="AU188" s="297"/>
      <c r="AV188" s="297"/>
      <c r="AW188" s="297"/>
      <c r="AX188" s="297"/>
      <c r="AY188" s="297"/>
    </row>
    <row r="189" s="242" customFormat="1" customHeight="1" outlineLevel="1" spans="1:51">
      <c r="A189" s="329" t="s">
        <v>570</v>
      </c>
      <c r="B189" s="330" t="s">
        <v>571</v>
      </c>
      <c r="C189" s="330">
        <f>D189/$C$8</f>
        <v>0</v>
      </c>
      <c r="D189" s="330">
        <f t="shared" si="981"/>
        <v>0</v>
      </c>
      <c r="E189" s="330">
        <f>F189/$E$8</f>
        <v>0</v>
      </c>
      <c r="F189" s="330">
        <f t="shared" si="1176"/>
        <v>0</v>
      </c>
      <c r="G189" s="330"/>
      <c r="H189" s="330">
        <f>G189*G$8</f>
        <v>0</v>
      </c>
      <c r="I189" s="330"/>
      <c r="J189" s="330">
        <f t="shared" ref="J189" si="1405">I189*I$8</f>
        <v>0</v>
      </c>
      <c r="K189" s="330"/>
      <c r="L189" s="330">
        <f t="shared" ref="L189" si="1406">K189*K$8</f>
        <v>0</v>
      </c>
      <c r="M189" s="330"/>
      <c r="N189" s="330">
        <f t="shared" si="1394"/>
        <v>0</v>
      </c>
      <c r="O189" s="330"/>
      <c r="P189" s="330">
        <f t="shared" si="1395"/>
        <v>0</v>
      </c>
      <c r="Q189" s="330"/>
      <c r="R189" s="330">
        <f t="shared" si="1396"/>
        <v>0</v>
      </c>
      <c r="S189" s="330"/>
      <c r="T189" s="330">
        <f t="shared" si="1397"/>
        <v>0</v>
      </c>
      <c r="U189" s="330"/>
      <c r="V189" s="330">
        <f t="shared" ref="V189" si="1407">U189*U$8</f>
        <v>0</v>
      </c>
      <c r="W189" s="330"/>
      <c r="X189" s="330">
        <f t="shared" ref="X189" si="1408">W189*W$8</f>
        <v>0</v>
      </c>
      <c r="Y189" s="330"/>
      <c r="Z189" s="330">
        <f t="shared" ref="Z189" si="1409">Y189*Y$8</f>
        <v>0</v>
      </c>
      <c r="AA189" s="330"/>
      <c r="AB189" s="330">
        <f t="shared" ref="AB189" si="1410">AA189*AA$8</f>
        <v>0</v>
      </c>
      <c r="AC189" s="330">
        <f>AD189/AC$8</f>
        <v>0</v>
      </c>
      <c r="AD189" s="330">
        <f>AF189+AH189+AJ189</f>
        <v>0</v>
      </c>
      <c r="AE189" s="330"/>
      <c r="AF189" s="330">
        <f t="shared" ref="AF189" si="1411">AE189*AE$8</f>
        <v>0</v>
      </c>
      <c r="AG189" s="330"/>
      <c r="AH189" s="330">
        <f t="shared" ref="AH189" si="1412">AG189*AG$8</f>
        <v>0</v>
      </c>
      <c r="AI189" s="330"/>
      <c r="AJ189" s="330">
        <f t="shared" ref="AJ189" si="1413">AI189*AI$8</f>
        <v>0</v>
      </c>
      <c r="AK189" s="295"/>
      <c r="AL189" s="336">
        <f>AJ189+AH189+AF189+AB189+Z189+X189+V189+AJ343+T189+R189+P189+N189+L189+J189+H189</f>
        <v>0</v>
      </c>
      <c r="AM189" s="296"/>
      <c r="AN189" s="297"/>
      <c r="AO189" s="297"/>
      <c r="AP189" s="288"/>
      <c r="AQ189" s="297"/>
      <c r="AR189" s="297"/>
      <c r="AS189" s="297"/>
      <c r="AT189" s="297"/>
      <c r="AU189" s="297"/>
      <c r="AV189" s="297"/>
      <c r="AW189" s="297"/>
      <c r="AX189" s="297"/>
      <c r="AY189" s="297"/>
    </row>
    <row r="190" s="242" customFormat="1" customHeight="1" outlineLevel="1" spans="1:51">
      <c r="A190" s="329" t="s">
        <v>572</v>
      </c>
      <c r="B190" s="330" t="s">
        <v>573</v>
      </c>
      <c r="C190" s="330">
        <f>D190/$C$8</f>
        <v>0</v>
      </c>
      <c r="D190" s="330">
        <f t="shared" si="981"/>
        <v>0</v>
      </c>
      <c r="E190" s="330">
        <f>F190/$E$8</f>
        <v>0</v>
      </c>
      <c r="F190" s="330">
        <f t="shared" si="1176"/>
        <v>0</v>
      </c>
      <c r="G190" s="330"/>
      <c r="H190" s="330">
        <f>G190*G$8</f>
        <v>0</v>
      </c>
      <c r="I190" s="330"/>
      <c r="J190" s="330">
        <f t="shared" ref="J190:J191" si="1414">I190*I$8</f>
        <v>0</v>
      </c>
      <c r="K190" s="330"/>
      <c r="L190" s="330">
        <f t="shared" ref="L190:L191" si="1415">K190*K$8</f>
        <v>0</v>
      </c>
      <c r="M190" s="330"/>
      <c r="N190" s="330">
        <f t="shared" si="1394"/>
        <v>0</v>
      </c>
      <c r="O190" s="330"/>
      <c r="P190" s="330">
        <f t="shared" si="1395"/>
        <v>0</v>
      </c>
      <c r="Q190" s="330"/>
      <c r="R190" s="330">
        <f t="shared" si="1396"/>
        <v>0</v>
      </c>
      <c r="S190" s="330"/>
      <c r="T190" s="330">
        <f t="shared" si="1397"/>
        <v>0</v>
      </c>
      <c r="U190" s="330"/>
      <c r="V190" s="330">
        <f t="shared" ref="V190" si="1416">U190*U$8</f>
        <v>0</v>
      </c>
      <c r="W190" s="330"/>
      <c r="X190" s="330">
        <f t="shared" ref="X190:X191" si="1417">W190*W$8</f>
        <v>0</v>
      </c>
      <c r="Y190" s="330"/>
      <c r="Z190" s="330">
        <f t="shared" ref="Z190" si="1418">Y190*Y$8</f>
        <v>0</v>
      </c>
      <c r="AA190" s="330"/>
      <c r="AB190" s="330">
        <f t="shared" ref="AB190:AB191" si="1419">AA190*AA$8</f>
        <v>0</v>
      </c>
      <c r="AC190" s="330">
        <f>AD190/AC$8</f>
        <v>0</v>
      </c>
      <c r="AD190" s="330">
        <f>AF190+AH190+AJ190</f>
        <v>0</v>
      </c>
      <c r="AE190" s="330"/>
      <c r="AF190" s="330">
        <f t="shared" ref="AF190" si="1420">AE190*AE$8</f>
        <v>0</v>
      </c>
      <c r="AG190" s="330"/>
      <c r="AH190" s="330">
        <f t="shared" ref="AH190" si="1421">AG190*AG$8</f>
        <v>0</v>
      </c>
      <c r="AI190" s="330"/>
      <c r="AJ190" s="330">
        <f t="shared" ref="AJ190:AJ191" si="1422">AI190*AI$8</f>
        <v>0</v>
      </c>
      <c r="AK190" s="295"/>
      <c r="AL190" s="336">
        <f>AJ190+AH190+AF190+AB190+Z190+X190+V190+AJ344+T190+R190+P190+N190+L190+J190+H190</f>
        <v>0</v>
      </c>
      <c r="AM190" s="296"/>
      <c r="AN190" s="297"/>
      <c r="AO190" s="297"/>
      <c r="AP190" s="288"/>
      <c r="AQ190" s="297"/>
      <c r="AR190" s="297"/>
      <c r="AS190" s="297"/>
      <c r="AT190" s="297"/>
      <c r="AU190" s="297"/>
      <c r="AV190" s="297"/>
      <c r="AW190" s="297"/>
      <c r="AX190" s="297"/>
      <c r="AY190" s="297"/>
    </row>
    <row r="191" s="242" customFormat="1" customHeight="1" outlineLevel="1" spans="1:51">
      <c r="A191" s="329" t="s">
        <v>574</v>
      </c>
      <c r="B191" s="330" t="s">
        <v>339</v>
      </c>
      <c r="C191" s="330">
        <f>D191/$C$8</f>
        <v>48.2369011487491</v>
      </c>
      <c r="D191" s="330">
        <f t="shared" si="981"/>
        <v>645.973964403</v>
      </c>
      <c r="E191" s="330">
        <f>F191/$E$8</f>
        <v>49.1136960657765</v>
      </c>
      <c r="F191" s="330">
        <f t="shared" si="1176"/>
        <v>464.411546488789</v>
      </c>
      <c r="G191" s="330">
        <f t="shared" ref="G191:K191" si="1423">(G73+G117+G170)*0.015</f>
        <v>45.1310143630282</v>
      </c>
      <c r="H191" s="330">
        <f>G191*G$8</f>
        <v>24.0490087546412</v>
      </c>
      <c r="I191" s="330">
        <f t="shared" si="1423"/>
        <v>41.5076778943051</v>
      </c>
      <c r="J191" s="330">
        <f t="shared" si="1414"/>
        <v>233.847283966629</v>
      </c>
      <c r="K191" s="330">
        <f t="shared" si="1423"/>
        <v>63.0465618134533</v>
      </c>
      <c r="L191" s="330">
        <f t="shared" si="1415"/>
        <v>203.666748120292</v>
      </c>
      <c r="M191" s="330">
        <f>(M19+M73+M117+M170)*0.03</f>
        <v>20.4779375448856</v>
      </c>
      <c r="N191" s="330">
        <f t="shared" si="1394"/>
        <v>0</v>
      </c>
      <c r="O191" s="330">
        <f>(O19+O73+O117+O170)*0.03</f>
        <v>19.9079375448856</v>
      </c>
      <c r="P191" s="330">
        <f t="shared" si="1395"/>
        <v>0</v>
      </c>
      <c r="Q191" s="330">
        <f t="shared" ref="Q191:S191" si="1424">(Q19+Q73+Q117+Q170)*0.03</f>
        <v>38.3279375448856</v>
      </c>
      <c r="R191" s="330">
        <f t="shared" si="1396"/>
        <v>0</v>
      </c>
      <c r="S191" s="330">
        <f t="shared" si="1424"/>
        <v>25.1824933138281</v>
      </c>
      <c r="T191" s="330">
        <f t="shared" si="1397"/>
        <v>0</v>
      </c>
      <c r="U191" s="330">
        <f t="shared" ref="U191" si="1425">(U19+U73+U117+U170)*0.02</f>
        <v>29.3898530512152</v>
      </c>
      <c r="V191" s="330">
        <f t="shared" ref="V191" si="1426">U191*U$8</f>
        <v>0</v>
      </c>
      <c r="W191" s="330">
        <f>(W19+W73+W117+W170)*0.03</f>
        <v>15.8607795768229</v>
      </c>
      <c r="X191" s="330">
        <f t="shared" si="1417"/>
        <v>0</v>
      </c>
      <c r="Y191" s="330">
        <f>(Y73+Y117+Y170)*0.015</f>
        <v>48.5058432903612</v>
      </c>
      <c r="Z191" s="330">
        <f t="shared" ref="Z191" si="1427">Y191*Y$8</f>
        <v>2.84850564722646</v>
      </c>
      <c r="AA191" s="330">
        <f>(AA19+AA73+AA117+AA170)*0.03</f>
        <v>79.2807795768229</v>
      </c>
      <c r="AB191" s="330">
        <f t="shared" si="1419"/>
        <v>0</v>
      </c>
      <c r="AC191" s="330">
        <f>(AC73+AC117+AC170)*0.005</f>
        <v>15.3768031288288</v>
      </c>
      <c r="AD191" s="330">
        <f>AF191+AH191+AJ191</f>
        <v>181.562417914211</v>
      </c>
      <c r="AE191" s="330"/>
      <c r="AF191" s="330">
        <f t="shared" ref="AF191" si="1428">AE191*AE$8</f>
        <v>0</v>
      </c>
      <c r="AG191" s="330">
        <f>(AG73+AG117+AG170)*0.015</f>
        <v>54.4998432903612</v>
      </c>
      <c r="AH191" s="330">
        <f t="shared" ref="AH191" si="1429">AG191*AG$8</f>
        <v>35.8693443607677</v>
      </c>
      <c r="AI191" s="330">
        <f>(AI73+AI117+AI170)*0.015</f>
        <v>44.4498432903612</v>
      </c>
      <c r="AJ191" s="330">
        <f t="shared" si="1422"/>
        <v>145.693073553444</v>
      </c>
      <c r="AK191" s="295"/>
      <c r="AL191" s="336">
        <f>AJ191+AH191+AF191+AB191+Z191+X191+V191+AJ345+T191+R191+P191+N191+L191+J191+H191</f>
        <v>645.973964403</v>
      </c>
      <c r="AM191" s="296"/>
      <c r="AN191" s="297"/>
      <c r="AO191" s="297"/>
      <c r="AP191" s="288"/>
      <c r="AQ191" s="297"/>
      <c r="AR191" s="297"/>
      <c r="AS191" s="297"/>
      <c r="AT191" s="297"/>
      <c r="AU191" s="297"/>
      <c r="AV191" s="297"/>
      <c r="AW191" s="297"/>
      <c r="AX191" s="297"/>
      <c r="AY191" s="297"/>
    </row>
    <row r="192" s="242" customFormat="1" customHeight="1" spans="1:51">
      <c r="A192" s="334" t="s">
        <v>575</v>
      </c>
      <c r="B192" s="335" t="s">
        <v>576</v>
      </c>
      <c r="C192" s="335">
        <f>C10+C19+C73+C117+C170+C187</f>
        <v>4058.60263858615</v>
      </c>
      <c r="D192" s="335">
        <f>D10+D19+D73+D117+D170+D187</f>
        <v>54351.5767793462</v>
      </c>
      <c r="E192" s="335">
        <f t="shared" ref="E192:AJ192" si="1430">E10+E19+E73+E117+E170+E187</f>
        <v>4346.08503760967</v>
      </c>
      <c r="F192" s="335">
        <f t="shared" si="1430"/>
        <v>41095.9108185412</v>
      </c>
      <c r="G192" s="335">
        <f t="shared" si="1430"/>
        <v>4068.82503326298</v>
      </c>
      <c r="H192" s="335">
        <f t="shared" si="1430"/>
        <v>2168.15886429988</v>
      </c>
      <c r="I192" s="335">
        <f t="shared" si="1430"/>
        <v>3823.55943732857</v>
      </c>
      <c r="J192" s="335">
        <f t="shared" si="1430"/>
        <v>21541.2915119237</v>
      </c>
      <c r="K192" s="335">
        <f t="shared" si="1430"/>
        <v>5304.0038432196</v>
      </c>
      <c r="L192" s="335">
        <f t="shared" si="1430"/>
        <v>17134.1494872057</v>
      </c>
      <c r="M192" s="335">
        <f t="shared" si="1430"/>
        <v>1471.39386228295</v>
      </c>
      <c r="N192" s="335">
        <f t="shared" si="1430"/>
        <v>0</v>
      </c>
      <c r="O192" s="335">
        <f t="shared" si="1430"/>
        <v>1451.82386228295</v>
      </c>
      <c r="P192" s="335">
        <f t="shared" si="1430"/>
        <v>0</v>
      </c>
      <c r="Q192" s="335">
        <f t="shared" si="1430"/>
        <v>2084.24386228295</v>
      </c>
      <c r="R192" s="335">
        <f t="shared" si="1430"/>
        <v>0</v>
      </c>
      <c r="S192" s="335">
        <f t="shared" si="1430"/>
        <v>1632.91694368331</v>
      </c>
      <c r="T192" s="335">
        <f t="shared" si="1430"/>
        <v>0</v>
      </c>
      <c r="U192" s="335">
        <f t="shared" si="1430"/>
        <v>2267.20051218719</v>
      </c>
      <c r="V192" s="335">
        <f t="shared" si="1430"/>
        <v>0</v>
      </c>
      <c r="W192" s="335">
        <f t="shared" si="1430"/>
        <v>1312.8714387128</v>
      </c>
      <c r="X192" s="335">
        <f t="shared" si="1430"/>
        <v>0</v>
      </c>
      <c r="Y192" s="335">
        <f t="shared" si="1430"/>
        <v>4296.48284566872</v>
      </c>
      <c r="Z192" s="335">
        <f t="shared" si="1430"/>
        <v>252.310955111896</v>
      </c>
      <c r="AA192" s="335">
        <f t="shared" si="1430"/>
        <v>3490.2914387128</v>
      </c>
      <c r="AB192" s="335">
        <f t="shared" si="1430"/>
        <v>0</v>
      </c>
      <c r="AC192" s="335">
        <f t="shared" si="1430"/>
        <v>3337.17520019488</v>
      </c>
      <c r="AD192" s="335">
        <f t="shared" si="1430"/>
        <v>13255.665960805</v>
      </c>
      <c r="AE192" s="335" t="e">
        <f t="shared" si="1430"/>
        <v>#REF!</v>
      </c>
      <c r="AF192" s="335" t="e">
        <f t="shared" si="1430"/>
        <v>#REF!</v>
      </c>
      <c r="AG192" s="335">
        <f t="shared" si="1430"/>
        <v>3936.75883909351</v>
      </c>
      <c r="AH192" s="335">
        <f t="shared" si="1430"/>
        <v>2590.99751374359</v>
      </c>
      <c r="AI192" s="335">
        <f t="shared" si="1430"/>
        <v>3253.70883909351</v>
      </c>
      <c r="AJ192" s="335">
        <f t="shared" si="1430"/>
        <v>10664.6684470614</v>
      </c>
      <c r="AK192" s="337"/>
      <c r="AL192" s="292">
        <f>H192+J192+L192+Z192+AH192+AJ192</f>
        <v>54351.5767793462</v>
      </c>
      <c r="AM192" s="290"/>
      <c r="AN192" s="297"/>
      <c r="AO192" s="297"/>
      <c r="AP192" s="288"/>
      <c r="AQ192" s="297"/>
      <c r="AR192" s="297"/>
      <c r="AS192" s="297"/>
      <c r="AT192" s="297"/>
      <c r="AU192" s="297"/>
      <c r="AV192" s="297"/>
      <c r="AW192" s="297"/>
      <c r="AX192" s="297"/>
      <c r="AY192" s="297"/>
    </row>
    <row r="193" customHeight="1" spans="1:39">
      <c r="A193" s="338" t="s">
        <v>577</v>
      </c>
      <c r="B193" s="329" t="s">
        <v>578</v>
      </c>
      <c r="C193" s="339"/>
      <c r="D193" s="339"/>
      <c r="E193" s="339"/>
      <c r="F193" s="339"/>
      <c r="G193" s="339"/>
      <c r="H193" s="339"/>
      <c r="I193" s="339"/>
      <c r="J193" s="339"/>
      <c r="K193" s="339"/>
      <c r="L193" s="339"/>
      <c r="M193" s="339"/>
      <c r="N193" s="339"/>
      <c r="O193" s="339"/>
      <c r="P193" s="339"/>
      <c r="Q193" s="339"/>
      <c r="R193" s="339"/>
      <c r="S193" s="339"/>
      <c r="T193" s="339"/>
      <c r="U193" s="339"/>
      <c r="V193" s="339"/>
      <c r="W193" s="339"/>
      <c r="X193" s="339"/>
      <c r="Y193" s="339"/>
      <c r="Z193" s="339"/>
      <c r="AA193" s="339"/>
      <c r="AB193" s="339"/>
      <c r="AC193" s="339"/>
      <c r="AD193" s="339"/>
      <c r="AE193" s="339"/>
      <c r="AF193" s="339"/>
      <c r="AG193" s="339"/>
      <c r="AH193" s="339"/>
      <c r="AI193" s="339"/>
      <c r="AJ193" s="339"/>
      <c r="AK193" s="348"/>
      <c r="AL193" s="283"/>
      <c r="AM193" s="283"/>
    </row>
    <row r="194" customHeight="1" outlineLevel="1" spans="1:39">
      <c r="A194" s="340" t="s">
        <v>579</v>
      </c>
      <c r="B194" s="341" t="s">
        <v>580</v>
      </c>
      <c r="C194" s="339"/>
      <c r="D194" s="339"/>
      <c r="E194" s="339"/>
      <c r="F194" s="339"/>
      <c r="G194" s="339"/>
      <c r="H194" s="339"/>
      <c r="I194" s="339"/>
      <c r="J194" s="339"/>
      <c r="K194" s="339"/>
      <c r="L194" s="339"/>
      <c r="M194" s="339"/>
      <c r="N194" s="339"/>
      <c r="O194" s="339"/>
      <c r="P194" s="339"/>
      <c r="Q194" s="339"/>
      <c r="R194" s="339"/>
      <c r="S194" s="339"/>
      <c r="T194" s="339"/>
      <c r="U194" s="339"/>
      <c r="V194" s="339"/>
      <c r="W194" s="339"/>
      <c r="X194" s="339"/>
      <c r="Y194" s="339"/>
      <c r="Z194" s="339"/>
      <c r="AA194" s="339"/>
      <c r="AB194" s="339"/>
      <c r="AC194" s="339"/>
      <c r="AD194" s="339"/>
      <c r="AE194" s="339"/>
      <c r="AF194" s="339"/>
      <c r="AG194" s="339"/>
      <c r="AH194" s="339"/>
      <c r="AI194" s="339"/>
      <c r="AJ194" s="339"/>
      <c r="AK194" s="348"/>
      <c r="AL194" s="283"/>
      <c r="AM194" s="283"/>
    </row>
    <row r="195" customHeight="1" outlineLevel="1" spans="1:39">
      <c r="A195" s="340" t="s">
        <v>581</v>
      </c>
      <c r="B195" s="341" t="s">
        <v>582</v>
      </c>
      <c r="C195" s="339"/>
      <c r="D195" s="339"/>
      <c r="E195" s="339"/>
      <c r="F195" s="339"/>
      <c r="G195" s="339"/>
      <c r="H195" s="339"/>
      <c r="I195" s="339"/>
      <c r="J195" s="339"/>
      <c r="K195" s="339"/>
      <c r="L195" s="339"/>
      <c r="M195" s="339"/>
      <c r="N195" s="339"/>
      <c r="O195" s="339"/>
      <c r="P195" s="339"/>
      <c r="Q195" s="339"/>
      <c r="R195" s="339"/>
      <c r="S195" s="339"/>
      <c r="T195" s="339"/>
      <c r="U195" s="339"/>
      <c r="V195" s="339"/>
      <c r="W195" s="339"/>
      <c r="X195" s="339"/>
      <c r="Y195" s="339"/>
      <c r="Z195" s="339"/>
      <c r="AA195" s="339"/>
      <c r="AB195" s="339"/>
      <c r="AC195" s="339"/>
      <c r="AD195" s="339"/>
      <c r="AE195" s="339"/>
      <c r="AF195" s="339"/>
      <c r="AG195" s="339"/>
      <c r="AH195" s="339"/>
      <c r="AI195" s="339"/>
      <c r="AJ195" s="339"/>
      <c r="AK195" s="348"/>
      <c r="AL195" s="283"/>
      <c r="AM195" s="283"/>
    </row>
    <row r="196" customHeight="1" outlineLevel="1" spans="1:39">
      <c r="A196" s="340" t="s">
        <v>583</v>
      </c>
      <c r="B196" s="341" t="s">
        <v>584</v>
      </c>
      <c r="C196" s="339"/>
      <c r="D196" s="339"/>
      <c r="E196" s="339"/>
      <c r="F196" s="339"/>
      <c r="G196" s="339"/>
      <c r="H196" s="339"/>
      <c r="I196" s="339"/>
      <c r="J196" s="339"/>
      <c r="K196" s="339"/>
      <c r="L196" s="339"/>
      <c r="M196" s="339"/>
      <c r="N196" s="339"/>
      <c r="O196" s="339"/>
      <c r="P196" s="339"/>
      <c r="Q196" s="339"/>
      <c r="R196" s="339"/>
      <c r="S196" s="339"/>
      <c r="T196" s="339"/>
      <c r="U196" s="339"/>
      <c r="V196" s="339"/>
      <c r="W196" s="339"/>
      <c r="X196" s="339"/>
      <c r="Y196" s="339"/>
      <c r="Z196" s="339"/>
      <c r="AA196" s="339"/>
      <c r="AB196" s="339"/>
      <c r="AC196" s="339"/>
      <c r="AD196" s="339"/>
      <c r="AE196" s="339"/>
      <c r="AF196" s="339"/>
      <c r="AG196" s="339"/>
      <c r="AH196" s="339"/>
      <c r="AI196" s="339"/>
      <c r="AJ196" s="339"/>
      <c r="AK196" s="348"/>
      <c r="AL196" s="283"/>
      <c r="AM196" s="283"/>
    </row>
    <row r="197" customHeight="1" outlineLevel="1" spans="1:39">
      <c r="A197" s="340" t="s">
        <v>585</v>
      </c>
      <c r="B197" s="341" t="s">
        <v>586</v>
      </c>
      <c r="C197" s="339"/>
      <c r="D197" s="339"/>
      <c r="E197" s="339"/>
      <c r="F197" s="339"/>
      <c r="G197" s="339"/>
      <c r="H197" s="339"/>
      <c r="I197" s="339"/>
      <c r="J197" s="339"/>
      <c r="K197" s="339"/>
      <c r="L197" s="339"/>
      <c r="M197" s="339"/>
      <c r="N197" s="339"/>
      <c r="O197" s="339"/>
      <c r="P197" s="339"/>
      <c r="Q197" s="339"/>
      <c r="R197" s="339"/>
      <c r="S197" s="339"/>
      <c r="T197" s="339"/>
      <c r="U197" s="339"/>
      <c r="V197" s="339"/>
      <c r="W197" s="339"/>
      <c r="X197" s="339"/>
      <c r="Y197" s="339"/>
      <c r="Z197" s="339"/>
      <c r="AA197" s="339"/>
      <c r="AB197" s="339"/>
      <c r="AC197" s="339"/>
      <c r="AD197" s="339"/>
      <c r="AE197" s="339"/>
      <c r="AF197" s="339"/>
      <c r="AG197" s="339"/>
      <c r="AH197" s="339"/>
      <c r="AI197" s="339"/>
      <c r="AJ197" s="339"/>
      <c r="AK197" s="348"/>
      <c r="AL197" s="283"/>
      <c r="AM197" s="283"/>
    </row>
    <row r="198" customHeight="1" outlineLevel="1" spans="1:39">
      <c r="A198" s="340" t="s">
        <v>587</v>
      </c>
      <c r="B198" s="341" t="s">
        <v>588</v>
      </c>
      <c r="C198" s="339"/>
      <c r="D198" s="339"/>
      <c r="E198" s="339"/>
      <c r="F198" s="339"/>
      <c r="G198" s="339"/>
      <c r="H198" s="339"/>
      <c r="I198" s="339"/>
      <c r="J198" s="339"/>
      <c r="K198" s="339"/>
      <c r="L198" s="339"/>
      <c r="M198" s="339"/>
      <c r="N198" s="339"/>
      <c r="O198" s="339"/>
      <c r="P198" s="339"/>
      <c r="Q198" s="339"/>
      <c r="R198" s="339"/>
      <c r="S198" s="339"/>
      <c r="T198" s="339"/>
      <c r="U198" s="339"/>
      <c r="V198" s="339"/>
      <c r="W198" s="339"/>
      <c r="X198" s="339"/>
      <c r="Y198" s="339"/>
      <c r="Z198" s="339"/>
      <c r="AA198" s="339"/>
      <c r="AB198" s="339"/>
      <c r="AC198" s="339"/>
      <c r="AD198" s="339"/>
      <c r="AE198" s="339"/>
      <c r="AF198" s="339"/>
      <c r="AG198" s="339"/>
      <c r="AH198" s="339"/>
      <c r="AI198" s="339"/>
      <c r="AJ198" s="339"/>
      <c r="AK198" s="348"/>
      <c r="AL198" s="283"/>
      <c r="AM198" s="283"/>
    </row>
    <row r="199" customHeight="1" outlineLevel="1" spans="1:39">
      <c r="A199" s="340" t="s">
        <v>589</v>
      </c>
      <c r="B199" s="341" t="s">
        <v>590</v>
      </c>
      <c r="C199" s="339"/>
      <c r="D199" s="339"/>
      <c r="E199" s="339"/>
      <c r="F199" s="339"/>
      <c r="G199" s="339"/>
      <c r="H199" s="339"/>
      <c r="I199" s="339"/>
      <c r="J199" s="339"/>
      <c r="K199" s="339"/>
      <c r="L199" s="339"/>
      <c r="M199" s="339"/>
      <c r="N199" s="339"/>
      <c r="O199" s="339"/>
      <c r="P199" s="339"/>
      <c r="Q199" s="339"/>
      <c r="R199" s="339"/>
      <c r="S199" s="339"/>
      <c r="T199" s="339"/>
      <c r="U199" s="339"/>
      <c r="V199" s="339"/>
      <c r="W199" s="339"/>
      <c r="X199" s="339"/>
      <c r="Y199" s="339"/>
      <c r="Z199" s="339"/>
      <c r="AA199" s="339"/>
      <c r="AB199" s="339"/>
      <c r="AC199" s="339"/>
      <c r="AD199" s="339"/>
      <c r="AE199" s="339"/>
      <c r="AF199" s="339"/>
      <c r="AG199" s="339"/>
      <c r="AH199" s="339"/>
      <c r="AI199" s="339"/>
      <c r="AJ199" s="339"/>
      <c r="AK199" s="348"/>
      <c r="AL199" s="283"/>
      <c r="AM199" s="283"/>
    </row>
    <row r="200" customHeight="1" outlineLevel="1" spans="1:39">
      <c r="A200" s="340" t="s">
        <v>591</v>
      </c>
      <c r="B200" s="341" t="s">
        <v>592</v>
      </c>
      <c r="C200" s="339"/>
      <c r="D200" s="339"/>
      <c r="E200" s="339"/>
      <c r="F200" s="339"/>
      <c r="G200" s="339"/>
      <c r="H200" s="339"/>
      <c r="I200" s="339"/>
      <c r="J200" s="339"/>
      <c r="K200" s="339"/>
      <c r="L200" s="339"/>
      <c r="M200" s="339"/>
      <c r="N200" s="339"/>
      <c r="O200" s="339"/>
      <c r="P200" s="339"/>
      <c r="Q200" s="339"/>
      <c r="R200" s="339"/>
      <c r="S200" s="339"/>
      <c r="T200" s="339"/>
      <c r="U200" s="339"/>
      <c r="V200" s="339"/>
      <c r="W200" s="339"/>
      <c r="X200" s="339"/>
      <c r="Y200" s="339"/>
      <c r="Z200" s="339"/>
      <c r="AA200" s="339"/>
      <c r="AB200" s="339"/>
      <c r="AC200" s="339"/>
      <c r="AD200" s="339"/>
      <c r="AE200" s="339"/>
      <c r="AF200" s="339"/>
      <c r="AG200" s="339"/>
      <c r="AH200" s="339"/>
      <c r="AI200" s="339"/>
      <c r="AJ200" s="339"/>
      <c r="AK200" s="348"/>
      <c r="AL200" s="283"/>
      <c r="AM200" s="283"/>
    </row>
    <row r="201" customHeight="1" outlineLevel="1" spans="1:39">
      <c r="A201" s="340" t="s">
        <v>593</v>
      </c>
      <c r="B201" s="341" t="s">
        <v>594</v>
      </c>
      <c r="C201" s="339"/>
      <c r="D201" s="339"/>
      <c r="E201" s="339"/>
      <c r="F201" s="339"/>
      <c r="G201" s="339"/>
      <c r="H201" s="339"/>
      <c r="I201" s="339"/>
      <c r="J201" s="339"/>
      <c r="K201" s="339"/>
      <c r="L201" s="339"/>
      <c r="M201" s="339"/>
      <c r="N201" s="339"/>
      <c r="O201" s="339"/>
      <c r="P201" s="339"/>
      <c r="Q201" s="339"/>
      <c r="R201" s="339"/>
      <c r="S201" s="339"/>
      <c r="T201" s="339"/>
      <c r="U201" s="339"/>
      <c r="V201" s="339"/>
      <c r="W201" s="339"/>
      <c r="X201" s="339"/>
      <c r="Y201" s="339"/>
      <c r="Z201" s="339"/>
      <c r="AA201" s="339"/>
      <c r="AB201" s="339"/>
      <c r="AC201" s="339"/>
      <c r="AD201" s="339"/>
      <c r="AE201" s="339"/>
      <c r="AF201" s="339"/>
      <c r="AG201" s="339"/>
      <c r="AH201" s="339"/>
      <c r="AI201" s="339"/>
      <c r="AJ201" s="339"/>
      <c r="AK201" s="348"/>
      <c r="AL201" s="283"/>
      <c r="AM201" s="283"/>
    </row>
    <row r="202" customHeight="1" outlineLevel="1" spans="1:39">
      <c r="A202" s="340" t="s">
        <v>595</v>
      </c>
      <c r="B202" s="341" t="s">
        <v>596</v>
      </c>
      <c r="C202" s="339"/>
      <c r="D202" s="339"/>
      <c r="E202" s="339"/>
      <c r="F202" s="339"/>
      <c r="G202" s="339"/>
      <c r="H202" s="339"/>
      <c r="I202" s="339"/>
      <c r="J202" s="339"/>
      <c r="K202" s="339"/>
      <c r="L202" s="339"/>
      <c r="M202" s="339"/>
      <c r="N202" s="339"/>
      <c r="O202" s="339"/>
      <c r="P202" s="339"/>
      <c r="Q202" s="339"/>
      <c r="R202" s="339"/>
      <c r="S202" s="339"/>
      <c r="T202" s="339"/>
      <c r="U202" s="339"/>
      <c r="V202" s="339"/>
      <c r="W202" s="339"/>
      <c r="X202" s="339"/>
      <c r="Y202" s="339"/>
      <c r="Z202" s="339"/>
      <c r="AA202" s="339"/>
      <c r="AB202" s="339"/>
      <c r="AC202" s="339"/>
      <c r="AD202" s="339"/>
      <c r="AE202" s="339"/>
      <c r="AF202" s="339"/>
      <c r="AG202" s="339"/>
      <c r="AH202" s="339"/>
      <c r="AI202" s="339"/>
      <c r="AJ202" s="339"/>
      <c r="AK202" s="348"/>
      <c r="AL202" s="283"/>
      <c r="AM202" s="283"/>
    </row>
    <row r="203" customHeight="1" outlineLevel="1" spans="1:39">
      <c r="A203" s="340" t="s">
        <v>597</v>
      </c>
      <c r="B203" s="341" t="s">
        <v>598</v>
      </c>
      <c r="C203" s="339"/>
      <c r="D203" s="339"/>
      <c r="E203" s="339"/>
      <c r="F203" s="339"/>
      <c r="G203" s="339"/>
      <c r="H203" s="339"/>
      <c r="I203" s="339"/>
      <c r="J203" s="339"/>
      <c r="K203" s="339"/>
      <c r="L203" s="339"/>
      <c r="M203" s="339"/>
      <c r="N203" s="339"/>
      <c r="O203" s="339"/>
      <c r="P203" s="339"/>
      <c r="Q203" s="339"/>
      <c r="R203" s="339"/>
      <c r="S203" s="339"/>
      <c r="T203" s="339"/>
      <c r="U203" s="339"/>
      <c r="V203" s="339"/>
      <c r="W203" s="339"/>
      <c r="X203" s="339"/>
      <c r="Y203" s="339"/>
      <c r="Z203" s="339"/>
      <c r="AA203" s="339"/>
      <c r="AB203" s="339"/>
      <c r="AC203" s="339"/>
      <c r="AD203" s="339"/>
      <c r="AE203" s="339"/>
      <c r="AF203" s="339"/>
      <c r="AG203" s="339"/>
      <c r="AH203" s="339"/>
      <c r="AI203" s="339"/>
      <c r="AJ203" s="339"/>
      <c r="AK203" s="348"/>
      <c r="AL203" s="283"/>
      <c r="AM203" s="283"/>
    </row>
    <row r="204" customHeight="1" outlineLevel="1" spans="1:39">
      <c r="A204" s="340" t="s">
        <v>599</v>
      </c>
      <c r="B204" s="341" t="s">
        <v>600</v>
      </c>
      <c r="C204" s="339"/>
      <c r="D204" s="339"/>
      <c r="E204" s="339"/>
      <c r="F204" s="339"/>
      <c r="G204" s="339"/>
      <c r="H204" s="339"/>
      <c r="I204" s="339"/>
      <c r="J204" s="339"/>
      <c r="K204" s="339"/>
      <c r="L204" s="339"/>
      <c r="M204" s="339"/>
      <c r="N204" s="339"/>
      <c r="O204" s="339"/>
      <c r="P204" s="339"/>
      <c r="Q204" s="339"/>
      <c r="R204" s="339"/>
      <c r="S204" s="339"/>
      <c r="T204" s="339"/>
      <c r="U204" s="339"/>
      <c r="V204" s="339"/>
      <c r="W204" s="339"/>
      <c r="X204" s="339"/>
      <c r="Y204" s="339"/>
      <c r="Z204" s="339"/>
      <c r="AA204" s="339"/>
      <c r="AB204" s="339"/>
      <c r="AC204" s="339"/>
      <c r="AD204" s="339"/>
      <c r="AE204" s="339"/>
      <c r="AF204" s="339"/>
      <c r="AG204" s="339"/>
      <c r="AH204" s="339"/>
      <c r="AI204" s="339"/>
      <c r="AJ204" s="339"/>
      <c r="AK204" s="348"/>
      <c r="AL204" s="283"/>
      <c r="AM204" s="283"/>
    </row>
    <row r="205" customHeight="1" outlineLevel="1" spans="1:39">
      <c r="A205" s="340" t="s">
        <v>601</v>
      </c>
      <c r="B205" s="341" t="s">
        <v>602</v>
      </c>
      <c r="C205" s="339"/>
      <c r="D205" s="339"/>
      <c r="E205" s="339"/>
      <c r="F205" s="339"/>
      <c r="G205" s="339"/>
      <c r="H205" s="339"/>
      <c r="I205" s="339"/>
      <c r="J205" s="339"/>
      <c r="K205" s="339"/>
      <c r="L205" s="339"/>
      <c r="M205" s="339"/>
      <c r="N205" s="339"/>
      <c r="O205" s="339"/>
      <c r="P205" s="339"/>
      <c r="Q205" s="339"/>
      <c r="R205" s="339"/>
      <c r="S205" s="339"/>
      <c r="T205" s="339"/>
      <c r="U205" s="339"/>
      <c r="V205" s="339"/>
      <c r="W205" s="339"/>
      <c r="X205" s="339"/>
      <c r="Y205" s="339"/>
      <c r="Z205" s="339"/>
      <c r="AA205" s="339"/>
      <c r="AB205" s="339"/>
      <c r="AC205" s="339"/>
      <c r="AD205" s="339"/>
      <c r="AE205" s="339"/>
      <c r="AF205" s="339"/>
      <c r="AG205" s="339"/>
      <c r="AH205" s="339"/>
      <c r="AI205" s="339"/>
      <c r="AJ205" s="339"/>
      <c r="AK205" s="348"/>
      <c r="AL205" s="283"/>
      <c r="AM205" s="283"/>
    </row>
    <row r="206" customHeight="1" outlineLevel="1" spans="1:39">
      <c r="A206" s="340" t="s">
        <v>603</v>
      </c>
      <c r="B206" s="341" t="s">
        <v>604</v>
      </c>
      <c r="C206" s="339"/>
      <c r="D206" s="339"/>
      <c r="E206" s="339"/>
      <c r="F206" s="339"/>
      <c r="G206" s="339"/>
      <c r="H206" s="339"/>
      <c r="I206" s="339"/>
      <c r="J206" s="339"/>
      <c r="K206" s="339"/>
      <c r="L206" s="339"/>
      <c r="M206" s="339"/>
      <c r="N206" s="339"/>
      <c r="O206" s="339"/>
      <c r="P206" s="339"/>
      <c r="Q206" s="339"/>
      <c r="R206" s="339"/>
      <c r="S206" s="339"/>
      <c r="T206" s="339"/>
      <c r="U206" s="339"/>
      <c r="V206" s="339"/>
      <c r="W206" s="339"/>
      <c r="X206" s="339"/>
      <c r="Y206" s="339"/>
      <c r="Z206" s="339"/>
      <c r="AA206" s="339"/>
      <c r="AB206" s="339"/>
      <c r="AC206" s="339"/>
      <c r="AD206" s="339"/>
      <c r="AE206" s="339"/>
      <c r="AF206" s="339"/>
      <c r="AG206" s="339"/>
      <c r="AH206" s="339"/>
      <c r="AI206" s="339"/>
      <c r="AJ206" s="339"/>
      <c r="AK206" s="348"/>
      <c r="AL206" s="283"/>
      <c r="AM206" s="283"/>
    </row>
    <row r="207" customHeight="1" outlineLevel="1" spans="1:39">
      <c r="A207" s="340" t="s">
        <v>605</v>
      </c>
      <c r="B207" s="341" t="s">
        <v>606</v>
      </c>
      <c r="C207" s="339"/>
      <c r="D207" s="339"/>
      <c r="E207" s="339"/>
      <c r="F207" s="339"/>
      <c r="G207" s="339"/>
      <c r="H207" s="339"/>
      <c r="I207" s="339"/>
      <c r="J207" s="339"/>
      <c r="K207" s="339"/>
      <c r="L207" s="339"/>
      <c r="M207" s="339"/>
      <c r="N207" s="339"/>
      <c r="O207" s="339"/>
      <c r="P207" s="339"/>
      <c r="Q207" s="339"/>
      <c r="R207" s="339"/>
      <c r="S207" s="339"/>
      <c r="T207" s="339"/>
      <c r="U207" s="339"/>
      <c r="V207" s="339"/>
      <c r="W207" s="339"/>
      <c r="X207" s="339"/>
      <c r="Y207" s="339"/>
      <c r="Z207" s="339"/>
      <c r="AA207" s="339"/>
      <c r="AB207" s="339"/>
      <c r="AC207" s="339"/>
      <c r="AD207" s="339"/>
      <c r="AE207" s="339"/>
      <c r="AF207" s="339"/>
      <c r="AG207" s="339"/>
      <c r="AH207" s="339"/>
      <c r="AI207" s="339"/>
      <c r="AJ207" s="339"/>
      <c r="AK207" s="348"/>
      <c r="AL207" s="283"/>
      <c r="AM207" s="283"/>
    </row>
    <row r="208" customHeight="1" outlineLevel="1" spans="1:39">
      <c r="A208" s="340" t="s">
        <v>607</v>
      </c>
      <c r="B208" s="341" t="s">
        <v>608</v>
      </c>
      <c r="C208" s="339"/>
      <c r="D208" s="339"/>
      <c r="E208" s="339"/>
      <c r="F208" s="339"/>
      <c r="G208" s="339"/>
      <c r="H208" s="339"/>
      <c r="I208" s="339"/>
      <c r="J208" s="339"/>
      <c r="K208" s="339"/>
      <c r="L208" s="339"/>
      <c r="M208" s="339"/>
      <c r="N208" s="339"/>
      <c r="O208" s="339"/>
      <c r="P208" s="339"/>
      <c r="Q208" s="339"/>
      <c r="R208" s="339"/>
      <c r="S208" s="339"/>
      <c r="T208" s="339"/>
      <c r="U208" s="339"/>
      <c r="V208" s="339"/>
      <c r="W208" s="339"/>
      <c r="X208" s="339"/>
      <c r="Y208" s="339"/>
      <c r="Z208" s="339"/>
      <c r="AA208" s="339"/>
      <c r="AB208" s="339"/>
      <c r="AC208" s="339"/>
      <c r="AD208" s="339"/>
      <c r="AE208" s="339"/>
      <c r="AF208" s="339"/>
      <c r="AG208" s="339"/>
      <c r="AH208" s="339"/>
      <c r="AI208" s="339"/>
      <c r="AJ208" s="339"/>
      <c r="AK208" s="348"/>
      <c r="AL208" s="283"/>
      <c r="AM208" s="283"/>
    </row>
    <row r="209" customHeight="1" spans="1:42">
      <c r="A209" s="338" t="s">
        <v>609</v>
      </c>
      <c r="B209" s="329" t="s">
        <v>610</v>
      </c>
      <c r="C209" s="342">
        <f>D209/C8</f>
        <v>194.829216424051</v>
      </c>
      <c r="D209" s="342">
        <f>预计销售收入及费用情况表!H28</f>
        <v>2609.09383309832</v>
      </c>
      <c r="E209" s="342">
        <f>F209/E8</f>
        <v>243.857207701809</v>
      </c>
      <c r="F209" s="342">
        <f>预计销售收入及费用情况表!H18</f>
        <v>2305.87620201832</v>
      </c>
      <c r="G209" s="342">
        <f>H209/G8</f>
        <v>229.028</v>
      </c>
      <c r="H209" s="343">
        <f>预计销售收入及费用情况表!H7</f>
        <v>122.042379388</v>
      </c>
      <c r="I209" s="342">
        <f>J209/I8</f>
        <v>240.274668717193</v>
      </c>
      <c r="J209" s="342">
        <f>预计销售收入及费用情况表!H8+预计销售收入及费用情况表!H19</f>
        <v>1353.66711740832</v>
      </c>
      <c r="K209" s="342">
        <f>L209/K8</f>
        <v>271.509</v>
      </c>
      <c r="L209" s="342">
        <f>预计销售收入及费用情况表!H9</f>
        <v>877.087560762</v>
      </c>
      <c r="M209" s="342" t="e">
        <f>N209/M8</f>
        <v>#DIV/0!</v>
      </c>
      <c r="N209" s="342">
        <f>预计销售收入及费用情况表!H10</f>
        <v>0</v>
      </c>
      <c r="O209" s="342" t="e">
        <f>P209/O8</f>
        <v>#DIV/0!</v>
      </c>
      <c r="P209" s="343">
        <f>预计销售收入及费用情况表!H11</f>
        <v>0</v>
      </c>
      <c r="Q209" s="342" t="e">
        <f>R209/Q8</f>
        <v>#DIV/0!</v>
      </c>
      <c r="R209" s="342">
        <f>预计销售收入及费用情况表!H12</f>
        <v>0</v>
      </c>
      <c r="S209" s="342" t="e">
        <f>T209/S8</f>
        <v>#DIV/0!</v>
      </c>
      <c r="T209" s="342">
        <f>预计销售收入及费用情况表!H13</f>
        <v>0</v>
      </c>
      <c r="U209" s="342" t="e">
        <f>V209/U8</f>
        <v>#DIV/0!</v>
      </c>
      <c r="V209" s="342">
        <f>预计销售收入及费用情况表!H14</f>
        <v>0</v>
      </c>
      <c r="W209" s="342" t="e">
        <f>X209/W8</f>
        <v>#DIV/0!</v>
      </c>
      <c r="X209" s="342">
        <f>预计销售收入及费用情况表!H15</f>
        <v>0</v>
      </c>
      <c r="Y209" s="342">
        <f>Z209/Y8</f>
        <v>0</v>
      </c>
      <c r="Z209" s="342">
        <f>预计销售收入及费用情况表!H16</f>
        <v>0</v>
      </c>
      <c r="AA209" s="342" t="e">
        <f>AB209/AA8</f>
        <v>#DIV/0!</v>
      </c>
      <c r="AB209" s="342">
        <f>预计销售收入及费用情况表!H17</f>
        <v>0</v>
      </c>
      <c r="AC209" s="342">
        <f>AD209/AC8</f>
        <v>77.0399161655256</v>
      </c>
      <c r="AD209" s="342">
        <f>预计销售收入及费用情况表!H27</f>
        <v>303.21763108</v>
      </c>
      <c r="AE209" s="342" t="e">
        <f>AF209/AE8</f>
        <v>#DIV/0!</v>
      </c>
      <c r="AF209" s="342"/>
      <c r="AG209" s="342">
        <f>AH209/AG8</f>
        <v>67.1723104739765</v>
      </c>
      <c r="AH209" s="342">
        <f>预计销售收入及费用情况表!H21</f>
        <v>44.209792</v>
      </c>
      <c r="AI209" s="342">
        <f>AJ209/AI8</f>
        <v>64.7061178156852</v>
      </c>
      <c r="AJ209" s="342">
        <f>预计销售收入及费用情况表!H22+预计销售收入及费用情况表!H20+预计销售收入及费用情况表!H23+预计销售收入及费用情况表!H24+预计销售收入及费用情况表!H25</f>
        <v>212.08698354</v>
      </c>
      <c r="AK209" s="348"/>
      <c r="AL209" s="283">
        <f>H209+J209+L209+Z209+AH209+AJ209-D209</f>
        <v>0</v>
      </c>
      <c r="AM209" s="283">
        <f>预计销售收入及费用情况表!H28</f>
        <v>2609.09383309832</v>
      </c>
      <c r="AN209" s="156">
        <f>AP209+AO209-D209</f>
        <v>0</v>
      </c>
      <c r="AO209" s="156">
        <f>AJ209+AH209</f>
        <v>256.29677554</v>
      </c>
      <c r="AP209" s="156">
        <f>Z209+L209+J209+H209</f>
        <v>2352.79705755832</v>
      </c>
    </row>
    <row r="210" customHeight="1" spans="1:42">
      <c r="A210" s="338" t="s">
        <v>611</v>
      </c>
      <c r="B210" s="329" t="s">
        <v>612</v>
      </c>
      <c r="C210" s="342">
        <f>D210/C8</f>
        <v>59.5985421113097</v>
      </c>
      <c r="D210" s="342">
        <f>H210+J210+L210+AH210+AJ210</f>
        <v>798.1256175964</v>
      </c>
      <c r="E210" s="342">
        <f>F210/E8</f>
        <v>74.596276313764</v>
      </c>
      <c r="F210" s="342">
        <f>预计销售收入及费用情况表!I18</f>
        <v>705.3709009964</v>
      </c>
      <c r="G210" s="342">
        <f>H210/G8</f>
        <v>70.06</v>
      </c>
      <c r="H210" s="343">
        <f>预计销售收入及费用情况表!I7</f>
        <v>37.33294226</v>
      </c>
      <c r="I210" s="342">
        <f>J210/I8</f>
        <v>73.500372401307</v>
      </c>
      <c r="J210" s="342">
        <f>预计销售收入及费用情况表!I8+预计销售收入及费用情况表!I19</f>
        <v>414.0887500464</v>
      </c>
      <c r="K210" s="342">
        <f>L210/K8</f>
        <v>83.055</v>
      </c>
      <c r="L210" s="342">
        <f>预计销售收入及费用情况表!I9</f>
        <v>268.30236699</v>
      </c>
      <c r="M210" s="342" t="e">
        <f>N210/M8</f>
        <v>#DIV/0!</v>
      </c>
      <c r="N210" s="342">
        <f>预计销售收入及费用情况表!I10</f>
        <v>0</v>
      </c>
      <c r="O210" s="342" t="e">
        <f>P210/O8</f>
        <v>#DIV/0!</v>
      </c>
      <c r="P210" s="343">
        <f>预计销售收入及费用情况表!I11</f>
        <v>0</v>
      </c>
      <c r="Q210" s="342" t="e">
        <f>R210/Q8</f>
        <v>#DIV/0!</v>
      </c>
      <c r="R210" s="342">
        <f>预计销售收入及费用情况表!I12</f>
        <v>0</v>
      </c>
      <c r="S210" s="342" t="e">
        <f>T210/S8</f>
        <v>#DIV/0!</v>
      </c>
      <c r="T210" s="342">
        <f>预计销售收入及费用情况表!I13</f>
        <v>0</v>
      </c>
      <c r="U210" s="342" t="e">
        <f>V210/U8</f>
        <v>#DIV/0!</v>
      </c>
      <c r="V210" s="342">
        <f>预计销售收入及费用情况表!I14</f>
        <v>0</v>
      </c>
      <c r="W210" s="342" t="e">
        <f>X210/W8</f>
        <v>#DIV/0!</v>
      </c>
      <c r="X210" s="342">
        <f>预计销售收入及费用情况表!I15</f>
        <v>0</v>
      </c>
      <c r="Y210" s="342">
        <f>Z210/Y8</f>
        <v>0</v>
      </c>
      <c r="Z210" s="342">
        <f>预计销售收入及费用情况表!I16</f>
        <v>0</v>
      </c>
      <c r="AA210" s="342" t="e">
        <f>AB210/AA8</f>
        <v>#DIV/0!</v>
      </c>
      <c r="AB210" s="342">
        <f>预计销售收入及费用情况表!I17</f>
        <v>0</v>
      </c>
      <c r="AC210" s="342">
        <f>AD210/AC8</f>
        <v>23.5666229742945</v>
      </c>
      <c r="AD210" s="342">
        <f>预计销售收入及费用情况表!I27</f>
        <v>92.7547166</v>
      </c>
      <c r="AE210" s="342" t="e">
        <f>AF210/AE8</f>
        <v>#DIV/0!</v>
      </c>
      <c r="AF210" s="342"/>
      <c r="AG210" s="342">
        <f>AH210/AG8</f>
        <v>20.5481079684877</v>
      </c>
      <c r="AH210" s="342">
        <f>预计销售收入及费用情况表!I21</f>
        <v>13.52384</v>
      </c>
      <c r="AI210" s="342">
        <f>AJ210/AI8</f>
        <v>19.7936960291619</v>
      </c>
      <c r="AJ210" s="342">
        <f>预计销售收入及费用情况表!I22+预计销售收入及费用情况表!I20+预计销售收入及费用情况表!I23+预计销售收入及费用情况表!I24+预计销售收入及费用情况表!I25</f>
        <v>64.8777183</v>
      </c>
      <c r="AK210" s="348"/>
      <c r="AL210" s="283">
        <f>H210+J210+L210+Z210+AH210+AJ210-D210</f>
        <v>0</v>
      </c>
      <c r="AM210" s="283">
        <f>预计销售收入及费用情况表!I28</f>
        <v>798.1256175964</v>
      </c>
      <c r="AN210" s="156">
        <f t="shared" ref="AN210:AN211" si="1431">AP210+AO210-D210</f>
        <v>0</v>
      </c>
      <c r="AO210" s="156">
        <f t="shared" ref="AO210:AO211" si="1432">AJ210+AH210</f>
        <v>78.4015583</v>
      </c>
      <c r="AP210" s="156">
        <f t="shared" ref="AP210:AP211" si="1433">Z210+L210+J210+H210</f>
        <v>719.7240592964</v>
      </c>
    </row>
    <row r="211" customHeight="1" spans="1:42">
      <c r="A211" s="338" t="s">
        <v>613</v>
      </c>
      <c r="B211" s="329" t="s">
        <v>614</v>
      </c>
      <c r="C211" s="342">
        <f>D211/C8</f>
        <v>89.2116763016502</v>
      </c>
      <c r="D211" s="342">
        <f>项目资金筹措!C19</f>
        <v>1194.69573789378</v>
      </c>
      <c r="E211" s="342">
        <f>F211/E8</f>
        <v>5.04006197073265</v>
      </c>
      <c r="F211" s="342">
        <f>H211+P211</f>
        <v>47.6580498257045</v>
      </c>
      <c r="G211" s="342">
        <f>H211/G8</f>
        <v>89.4363735795426</v>
      </c>
      <c r="H211" s="343">
        <f>$D$211*H192/$D$192</f>
        <v>47.6580498257045</v>
      </c>
      <c r="I211" s="342">
        <f t="shared" ref="I211" si="1434">J211/I8</f>
        <v>84.0452188149918</v>
      </c>
      <c r="J211" s="346">
        <f>$D$211*J192/$D$192</f>
        <v>473.496643206903</v>
      </c>
      <c r="K211" s="342">
        <f>L211/K8</f>
        <v>116.586696481538</v>
      </c>
      <c r="L211" s="342">
        <f>$D$211*L192/$D$192</f>
        <v>376.623762874498</v>
      </c>
      <c r="M211" s="342" t="e">
        <f t="shared" ref="M211" si="1435">N211/M8</f>
        <v>#DIV/0!</v>
      </c>
      <c r="N211" s="342">
        <f t="shared" ref="N211" si="1436">$D$211*N192/$D$192</f>
        <v>0</v>
      </c>
      <c r="O211" s="342" t="e">
        <f t="shared" ref="O211" si="1437">P211/O8</f>
        <v>#DIV/0!</v>
      </c>
      <c r="P211" s="347">
        <f t="shared" ref="P211" si="1438">$D$211*P192/$D$192</f>
        <v>0</v>
      </c>
      <c r="Q211" s="342" t="e">
        <f t="shared" ref="Q211" si="1439">R211/Q8</f>
        <v>#DIV/0!</v>
      </c>
      <c r="R211" s="342">
        <f t="shared" ref="R211" si="1440">$D$211*R192/$D$192</f>
        <v>0</v>
      </c>
      <c r="S211" s="342" t="e">
        <f t="shared" ref="S211" si="1441">T211/S8</f>
        <v>#DIV/0!</v>
      </c>
      <c r="T211" s="342">
        <f t="shared" ref="T211" si="1442">$D$211*T192/$D$192</f>
        <v>0</v>
      </c>
      <c r="U211" s="342" t="e">
        <f t="shared" ref="U211" si="1443">V211/U8</f>
        <v>#DIV/0!</v>
      </c>
      <c r="V211" s="346">
        <f t="shared" ref="V211" si="1444">$D$211*V192/$D$192</f>
        <v>0</v>
      </c>
      <c r="W211" s="342" t="e">
        <f t="shared" ref="W211" si="1445">X211/W8</f>
        <v>#DIV/0!</v>
      </c>
      <c r="X211" s="342">
        <f t="shared" ref="X211" si="1446">$D$211*X192/$D$192</f>
        <v>0</v>
      </c>
      <c r="Y211" s="342">
        <f t="shared" ref="Y211" si="1447">Z211/Y8</f>
        <v>94.4404936860031</v>
      </c>
      <c r="Z211" s="342">
        <f t="shared" ref="Z211" si="1448">$D$211*Z192/$D$192</f>
        <v>5.54601799171053</v>
      </c>
      <c r="AA211" s="342" t="e">
        <f t="shared" ref="AA211" si="1449">AB211/AA8</f>
        <v>#DIV/0!</v>
      </c>
      <c r="AB211" s="342">
        <f t="shared" ref="AB211" si="1450">$D$211*AB192/$D$192</f>
        <v>0</v>
      </c>
      <c r="AC211" s="342">
        <f t="shared" ref="AC211" si="1451">AD211/AC8</f>
        <v>59.559888472551</v>
      </c>
      <c r="AD211" s="342">
        <f>AJ211</f>
        <v>234.418846604578</v>
      </c>
      <c r="AE211" s="342" t="e">
        <f t="shared" ref="AE211" si="1452">AF211/AE8</f>
        <v>#REF!</v>
      </c>
      <c r="AF211" s="343" t="e">
        <f t="shared" ref="AF211" si="1453">$D$211*AF192/$D$192</f>
        <v>#REF!</v>
      </c>
      <c r="AG211" s="342">
        <f t="shared" ref="AG211" si="1454">AH211/AG8</f>
        <v>86.5334418038066</v>
      </c>
      <c r="AH211" s="342">
        <f t="shared" ref="AH211" si="1455">$D$211*AH192/$D$192</f>
        <v>56.9524173903843</v>
      </c>
      <c r="AI211" s="342">
        <f t="shared" ref="AI211" si="1456">AJ211/AI8</f>
        <v>71.5193985667305</v>
      </c>
      <c r="AJ211" s="346">
        <f t="shared" ref="AJ211" si="1457">$D$211*AJ192/$D$192</f>
        <v>234.418846604578</v>
      </c>
      <c r="AK211" s="348"/>
      <c r="AL211" s="283">
        <f>H211+J211+L211+Z211+AH211+AJ211-D211</f>
        <v>0</v>
      </c>
      <c r="AM211" s="283">
        <f>项目资金筹措!C19</f>
        <v>1194.69573789378</v>
      </c>
      <c r="AN211" s="156">
        <f t="shared" si="1431"/>
        <v>0</v>
      </c>
      <c r="AO211" s="156">
        <f t="shared" si="1432"/>
        <v>291.371263994963</v>
      </c>
      <c r="AP211" s="156">
        <f t="shared" si="1433"/>
        <v>903.324473898817</v>
      </c>
    </row>
    <row r="212" customHeight="1" spans="1:39">
      <c r="A212" s="344" t="s">
        <v>615</v>
      </c>
      <c r="B212" s="345" t="s">
        <v>616</v>
      </c>
      <c r="C212" s="342">
        <f>D212/C8</f>
        <v>343.639434837011</v>
      </c>
      <c r="D212" s="342">
        <f>H212+J212+L212+AH212+AJ212+Z212</f>
        <v>4601.9151885885</v>
      </c>
      <c r="E212" s="342">
        <f>E211+E209+E210</f>
        <v>323.493545986306</v>
      </c>
      <c r="F212" s="342">
        <f t="shared" ref="F212:AJ212" si="1458">F211+F209+F210</f>
        <v>3058.90515284042</v>
      </c>
      <c r="G212" s="342">
        <f t="shared" si="1458"/>
        <v>388.524373579543</v>
      </c>
      <c r="H212" s="342">
        <f t="shared" si="1458"/>
        <v>207.033371473704</v>
      </c>
      <c r="I212" s="342">
        <f t="shared" si="1458"/>
        <v>397.820259933492</v>
      </c>
      <c r="J212" s="342">
        <f t="shared" si="1458"/>
        <v>2241.25251066162</v>
      </c>
      <c r="K212" s="342">
        <f t="shared" si="1458"/>
        <v>471.150696481538</v>
      </c>
      <c r="L212" s="342">
        <f t="shared" si="1458"/>
        <v>1522.0136906265</v>
      </c>
      <c r="M212" s="342" t="e">
        <f t="shared" si="1458"/>
        <v>#DIV/0!</v>
      </c>
      <c r="N212" s="342">
        <f t="shared" si="1458"/>
        <v>0</v>
      </c>
      <c r="O212" s="342" t="e">
        <f t="shared" si="1458"/>
        <v>#DIV/0!</v>
      </c>
      <c r="P212" s="342">
        <f t="shared" si="1458"/>
        <v>0</v>
      </c>
      <c r="Q212" s="342" t="e">
        <f t="shared" si="1458"/>
        <v>#DIV/0!</v>
      </c>
      <c r="R212" s="342">
        <f t="shared" si="1458"/>
        <v>0</v>
      </c>
      <c r="S212" s="342" t="e">
        <f t="shared" si="1458"/>
        <v>#DIV/0!</v>
      </c>
      <c r="T212" s="342">
        <f t="shared" si="1458"/>
        <v>0</v>
      </c>
      <c r="U212" s="342" t="e">
        <f t="shared" si="1458"/>
        <v>#DIV/0!</v>
      </c>
      <c r="V212" s="342">
        <f t="shared" si="1458"/>
        <v>0</v>
      </c>
      <c r="W212" s="342" t="e">
        <f t="shared" si="1458"/>
        <v>#DIV/0!</v>
      </c>
      <c r="X212" s="342">
        <f t="shared" si="1458"/>
        <v>0</v>
      </c>
      <c r="Y212" s="342">
        <f t="shared" si="1458"/>
        <v>94.4404936860031</v>
      </c>
      <c r="Z212" s="342">
        <f t="shared" si="1458"/>
        <v>5.54601799171053</v>
      </c>
      <c r="AA212" s="342" t="e">
        <f t="shared" si="1458"/>
        <v>#DIV/0!</v>
      </c>
      <c r="AB212" s="342">
        <f t="shared" si="1458"/>
        <v>0</v>
      </c>
      <c r="AC212" s="342">
        <f t="shared" si="1458"/>
        <v>160.166427612371</v>
      </c>
      <c r="AD212" s="342">
        <f t="shared" si="1458"/>
        <v>630.391194284578</v>
      </c>
      <c r="AE212" s="342" t="e">
        <f t="shared" si="1458"/>
        <v>#REF!</v>
      </c>
      <c r="AF212" s="342"/>
      <c r="AG212" s="342">
        <f t="shared" si="1458"/>
        <v>174.253860246271</v>
      </c>
      <c r="AH212" s="342">
        <f t="shared" si="1458"/>
        <v>114.686049390384</v>
      </c>
      <c r="AI212" s="342">
        <f t="shared" si="1458"/>
        <v>156.019212411578</v>
      </c>
      <c r="AJ212" s="342">
        <f t="shared" si="1458"/>
        <v>511.383548444578</v>
      </c>
      <c r="AK212" s="348"/>
      <c r="AL212" s="283">
        <f>H212+J212+L212+Z212+AH212+AJ212-D212</f>
        <v>0</v>
      </c>
      <c r="AM212" s="283"/>
    </row>
    <row r="213" customHeight="1" spans="40:51">
      <c r="AN213" s="288"/>
      <c r="AO213" s="288"/>
      <c r="AP213" s="288"/>
      <c r="AQ213" s="288"/>
      <c r="AR213" s="288"/>
      <c r="AS213" s="288"/>
      <c r="AT213" s="288"/>
      <c r="AU213" s="288"/>
      <c r="AV213" s="288"/>
      <c r="AW213" s="288"/>
      <c r="AX213" s="288"/>
      <c r="AY213" s="288"/>
    </row>
    <row r="214" customHeight="1" spans="4:33">
      <c r="D214" s="156">
        <f>H214+AG214</f>
        <v>4601.9151885885</v>
      </c>
      <c r="H214" s="156">
        <f>H212+J212+L212+Z212</f>
        <v>3975.84559075354</v>
      </c>
      <c r="AG214" s="156">
        <f>AH212+AJ212</f>
        <v>626.069597834963</v>
      </c>
    </row>
    <row r="215" customHeight="1" spans="8:35">
      <c r="H215" s="156">
        <f>H212/G8</f>
        <v>388.524373579543</v>
      </c>
      <c r="J215" s="156">
        <f>J212/I8</f>
        <v>397.820259933492</v>
      </c>
      <c r="L215" s="156">
        <f>L212/K8</f>
        <v>471.150696481538</v>
      </c>
      <c r="Z215" s="166">
        <f>Z212/Y8</f>
        <v>94.4404936860031</v>
      </c>
      <c r="AG215" s="156">
        <f>AH212/AG8</f>
        <v>174.253860246271</v>
      </c>
      <c r="AI215" s="156">
        <f>AJ212/AI8</f>
        <v>156.019212411578</v>
      </c>
    </row>
    <row r="219" customHeight="1" spans="8:8">
      <c r="H219" s="156">
        <v>238.660809535431</v>
      </c>
    </row>
    <row r="220" customHeight="1" spans="8:8">
      <c r="H220" s="156">
        <v>2602.14097264586</v>
      </c>
    </row>
    <row r="221" customHeight="1" spans="8:8">
      <c r="H221" s="156">
        <v>1805.54975903458</v>
      </c>
    </row>
    <row r="222" customHeight="1" spans="8:8">
      <c r="H222" s="156" t="e">
        <v>#REF!</v>
      </c>
    </row>
    <row r="223" customHeight="1" spans="8:8">
      <c r="H223" s="156" t="e">
        <v>#REF!</v>
      </c>
    </row>
    <row r="224" customHeight="1" spans="8:8">
      <c r="H224" s="156" t="e">
        <v>#REF!</v>
      </c>
    </row>
    <row r="225" customHeight="1" spans="8:8">
      <c r="H225" s="156" t="e">
        <v>#REF!</v>
      </c>
    </row>
    <row r="226" customHeight="1" spans="8:8">
      <c r="H226" s="156" t="e">
        <v>#REF!</v>
      </c>
    </row>
    <row r="227" customHeight="1" spans="8:8">
      <c r="H227" s="156" t="e">
        <v>#REF!</v>
      </c>
    </row>
    <row r="228" customHeight="1" spans="8:8">
      <c r="H228" s="156">
        <v>3.32667057184764</v>
      </c>
    </row>
    <row r="229" customHeight="1" spans="8:8">
      <c r="H229" s="156" t="e">
        <v>#REF!</v>
      </c>
    </row>
    <row r="230" customHeight="1" spans="8:8">
      <c r="H230" s="156" t="e">
        <v>#REF!</v>
      </c>
    </row>
    <row r="231" customHeight="1" spans="8:8">
      <c r="H231" s="156">
        <v>91.8484915152994</v>
      </c>
    </row>
    <row r="232" customHeight="1" spans="8:8">
      <c r="H232" s="156">
        <v>462.061856367391</v>
      </c>
    </row>
    <row r="233" customHeight="1" spans="8:8">
      <c r="H233" s="156">
        <v>5203.58855967042</v>
      </c>
    </row>
  </sheetData>
  <mergeCells count="41">
    <mergeCell ref="A4:AJ4"/>
    <mergeCell ref="E5:AB5"/>
    <mergeCell ref="AC5:AJ5"/>
    <mergeCell ref="E6:F6"/>
    <mergeCell ref="G6:H6"/>
    <mergeCell ref="I6:J6"/>
    <mergeCell ref="K6:L6"/>
    <mergeCell ref="M6:N6"/>
    <mergeCell ref="O6:P6"/>
    <mergeCell ref="Q6:R6"/>
    <mergeCell ref="S6:T6"/>
    <mergeCell ref="U6:V6"/>
    <mergeCell ref="W6:X6"/>
    <mergeCell ref="Y6:Z6"/>
    <mergeCell ref="AA6:AB6"/>
    <mergeCell ref="AC6:AD6"/>
    <mergeCell ref="AE6:AF6"/>
    <mergeCell ref="AG6:AH6"/>
    <mergeCell ref="AI6:AJ6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W7:X7"/>
    <mergeCell ref="Y7:Z7"/>
    <mergeCell ref="AA7:AB7"/>
    <mergeCell ref="AC7:AD7"/>
    <mergeCell ref="AE7:AF7"/>
    <mergeCell ref="AG7:AH7"/>
    <mergeCell ref="AI7:AJ7"/>
    <mergeCell ref="A5:A9"/>
    <mergeCell ref="C1:C3"/>
    <mergeCell ref="AK5:AK9"/>
    <mergeCell ref="AL5:AL8"/>
    <mergeCell ref="AM5:AM8"/>
    <mergeCell ref="C5:D7"/>
  </mergeCells>
  <hyperlinks>
    <hyperlink ref="C1:C3" location="目录!A1" display="返回目录"/>
  </hyperlinks>
  <pageMargins left="0.236220472440945" right="0.118110236220472" top="0.47244094488189" bottom="0.393700787401575" header="0.354330708661417" footer="0.275590551181102"/>
  <pageSetup paperSize="8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"/>
  <sheetViews>
    <sheetView workbookViewId="0">
      <selection activeCell="G190" sqref="G190"/>
    </sheetView>
  </sheetViews>
  <sheetFormatPr defaultColWidth="9" defaultRowHeight="14.25" outlineLevelRow="3" outlineLevelCol="2"/>
  <sheetData>
    <row r="1" spans="1:3">
      <c r="A1">
        <v>0</v>
      </c>
      <c r="B1">
        <v>0.3</v>
      </c>
      <c r="C1">
        <v>0</v>
      </c>
    </row>
    <row r="2" spans="1:3">
      <c r="A2">
        <v>0.5</v>
      </c>
      <c r="B2">
        <v>0.4</v>
      </c>
      <c r="C2">
        <v>0.05</v>
      </c>
    </row>
    <row r="3" spans="1:3">
      <c r="A3">
        <v>1</v>
      </c>
      <c r="B3">
        <v>0.5</v>
      </c>
      <c r="C3">
        <v>0.15</v>
      </c>
    </row>
    <row r="4" spans="1:3">
      <c r="A4">
        <v>2</v>
      </c>
      <c r="B4">
        <v>0.6</v>
      </c>
      <c r="C4">
        <v>0.35</v>
      </c>
    </row>
  </sheetData>
  <pageMargins left="0.699305555555556" right="0.699305555555556" top="0.75" bottom="0.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T16"/>
  <sheetViews>
    <sheetView workbookViewId="0">
      <pane xSplit="1" ySplit="2" topLeftCell="B3" activePane="bottomRight" state="frozen"/>
      <selection/>
      <selection pane="topRight"/>
      <selection pane="bottomLeft"/>
      <selection pane="bottomRight" activeCell="G190" sqref="G190"/>
    </sheetView>
  </sheetViews>
  <sheetFormatPr defaultColWidth="9" defaultRowHeight="36" customHeight="1"/>
  <cols>
    <col min="1" max="1" width="22.75" style="210" customWidth="1"/>
    <col min="2" max="2" width="13.875" style="210" customWidth="1"/>
    <col min="3" max="3" width="11.625" style="210" customWidth="1"/>
    <col min="4" max="5" width="13.875" style="210" customWidth="1"/>
    <col min="6" max="16" width="12.75" style="210" customWidth="1" outlineLevel="1"/>
    <col min="17" max="17" width="15.75" style="210" customWidth="1"/>
    <col min="18" max="18" width="13.25" style="210" customWidth="1"/>
    <col min="19" max="20" width="15.75" style="210" customWidth="1"/>
    <col min="21" max="22" width="12.75" style="210" customWidth="1" outlineLevel="1"/>
    <col min="23" max="24" width="13.875" style="210" customWidth="1" outlineLevel="1"/>
    <col min="25" max="28" width="12.75" style="210" customWidth="1" outlineLevel="1"/>
    <col min="29" max="30" width="11.625" style="210" customWidth="1" outlineLevel="1"/>
    <col min="31" max="31" width="8.5" style="210" customWidth="1" outlineLevel="1"/>
    <col min="32" max="32" width="15.75" style="210" customWidth="1"/>
    <col min="33" max="33" width="11.625" style="210" customWidth="1"/>
    <col min="34" max="35" width="15.75" style="210" customWidth="1"/>
    <col min="36" max="37" width="12.75" style="210" hidden="1" customWidth="1" outlineLevel="1"/>
    <col min="38" max="38" width="8.5" style="210" hidden="1" customWidth="1" outlineLevel="1"/>
    <col min="39" max="39" width="12.75" style="210" hidden="1" customWidth="1" outlineLevel="1"/>
    <col min="40" max="41" width="12.875" style="210" hidden="1" customWidth="1" outlineLevel="1"/>
    <col min="42" max="43" width="12.75" style="210" hidden="1" customWidth="1" outlineLevel="1"/>
    <col min="44" max="45" width="11.75" style="210" hidden="1" customWidth="1" outlineLevel="1"/>
    <col min="46" max="46" width="11.125" style="210" hidden="1" customWidth="1" outlineLevel="1"/>
    <col min="47" max="47" width="9" style="210" collapsed="1"/>
    <col min="48" max="16384" width="9" style="210"/>
  </cols>
  <sheetData>
    <row r="1" customHeight="1" spans="1:46">
      <c r="A1" s="211" t="s">
        <v>617</v>
      </c>
      <c r="B1" s="212" t="s">
        <v>113</v>
      </c>
      <c r="C1" s="213"/>
      <c r="D1" s="213"/>
      <c r="E1" s="213"/>
      <c r="F1" s="213"/>
      <c r="G1" s="213"/>
      <c r="H1" s="213"/>
      <c r="I1" s="213"/>
      <c r="J1" s="213"/>
      <c r="K1" s="213"/>
      <c r="L1" s="213"/>
      <c r="M1" s="213"/>
      <c r="N1" s="213"/>
      <c r="O1" s="213"/>
      <c r="P1" s="222"/>
      <c r="Q1" s="223" t="s">
        <v>618</v>
      </c>
      <c r="R1" s="224"/>
      <c r="S1" s="224"/>
      <c r="T1" s="224"/>
      <c r="U1" s="224"/>
      <c r="V1" s="224"/>
      <c r="W1" s="224"/>
      <c r="X1" s="224"/>
      <c r="Y1" s="224"/>
      <c r="Z1" s="224"/>
      <c r="AA1" s="224"/>
      <c r="AB1" s="224"/>
      <c r="AC1" s="224"/>
      <c r="AD1" s="224"/>
      <c r="AE1" s="233"/>
      <c r="AF1" s="234" t="s">
        <v>619</v>
      </c>
      <c r="AG1" s="236"/>
      <c r="AH1" s="236"/>
      <c r="AI1" s="236"/>
      <c r="AJ1" s="236"/>
      <c r="AK1" s="236"/>
      <c r="AL1" s="236"/>
      <c r="AM1" s="236"/>
      <c r="AN1" s="236"/>
      <c r="AO1" s="236"/>
      <c r="AP1" s="236"/>
      <c r="AQ1" s="236"/>
      <c r="AR1" s="236"/>
      <c r="AS1" s="236"/>
      <c r="AT1" s="236"/>
    </row>
    <row r="2" customHeight="1" spans="1:46">
      <c r="A2" s="214" t="s">
        <v>620</v>
      </c>
      <c r="B2" s="214" t="s">
        <v>60</v>
      </c>
      <c r="C2" s="214" t="s">
        <v>621</v>
      </c>
      <c r="D2" s="214" t="s">
        <v>622</v>
      </c>
      <c r="E2" s="214" t="s">
        <v>623</v>
      </c>
      <c r="F2" s="214" t="s">
        <v>624</v>
      </c>
      <c r="G2" s="214" t="s">
        <v>625</v>
      </c>
      <c r="H2" s="214" t="s">
        <v>626</v>
      </c>
      <c r="I2" s="214" t="s">
        <v>627</v>
      </c>
      <c r="J2" s="214" t="s">
        <v>628</v>
      </c>
      <c r="K2" s="214" t="s">
        <v>629</v>
      </c>
      <c r="L2" s="214" t="s">
        <v>630</v>
      </c>
      <c r="M2" s="214" t="s">
        <v>631</v>
      </c>
      <c r="N2" s="214" t="s">
        <v>632</v>
      </c>
      <c r="O2" s="214" t="s">
        <v>633</v>
      </c>
      <c r="P2" s="214" t="s">
        <v>634</v>
      </c>
      <c r="Q2" s="225" t="s">
        <v>60</v>
      </c>
      <c r="R2" s="225" t="s">
        <v>621</v>
      </c>
      <c r="S2" s="225" t="s">
        <v>622</v>
      </c>
      <c r="T2" s="225" t="s">
        <v>623</v>
      </c>
      <c r="U2" s="226" t="s">
        <v>624</v>
      </c>
      <c r="V2" s="226" t="s">
        <v>625</v>
      </c>
      <c r="W2" s="226" t="s">
        <v>626</v>
      </c>
      <c r="X2" s="226" t="s">
        <v>627</v>
      </c>
      <c r="Y2" s="226" t="s">
        <v>628</v>
      </c>
      <c r="Z2" s="226" t="s">
        <v>629</v>
      </c>
      <c r="AA2" s="226" t="s">
        <v>630</v>
      </c>
      <c r="AB2" s="226" t="s">
        <v>631</v>
      </c>
      <c r="AC2" s="226" t="s">
        <v>632</v>
      </c>
      <c r="AD2" s="226" t="s">
        <v>633</v>
      </c>
      <c r="AE2" s="226" t="s">
        <v>634</v>
      </c>
      <c r="AF2" s="235" t="s">
        <v>60</v>
      </c>
      <c r="AG2" s="235" t="s">
        <v>635</v>
      </c>
      <c r="AH2" s="235" t="s">
        <v>622</v>
      </c>
      <c r="AI2" s="235" t="s">
        <v>623</v>
      </c>
      <c r="AJ2" s="235" t="s">
        <v>624</v>
      </c>
      <c r="AK2" s="235" t="s">
        <v>625</v>
      </c>
      <c r="AL2" s="235" t="s">
        <v>626</v>
      </c>
      <c r="AM2" s="235" t="s">
        <v>627</v>
      </c>
      <c r="AN2" s="235" t="s">
        <v>628</v>
      </c>
      <c r="AO2" s="235" t="s">
        <v>629</v>
      </c>
      <c r="AP2" s="235" t="s">
        <v>630</v>
      </c>
      <c r="AQ2" s="235" t="s">
        <v>631</v>
      </c>
      <c r="AR2" s="235" t="s">
        <v>632</v>
      </c>
      <c r="AS2" s="235" t="s">
        <v>633</v>
      </c>
      <c r="AT2" s="235" t="s">
        <v>634</v>
      </c>
    </row>
    <row r="3" customHeight="1" spans="1:46">
      <c r="A3" s="215" t="s">
        <v>636</v>
      </c>
      <c r="B3" s="215">
        <f>Q3+AF3</f>
        <v>158.6212755</v>
      </c>
      <c r="C3" s="215" t="e">
        <f>R3+AG3</f>
        <v>#REF!</v>
      </c>
      <c r="D3" s="215" t="e">
        <f>S3+AH3</f>
        <v>#REF!</v>
      </c>
      <c r="E3" s="215" t="e">
        <f>T3+AI3</f>
        <v>#REF!</v>
      </c>
      <c r="F3" s="215">
        <f t="shared" ref="F3:P3" si="0">U3+AJ3</f>
        <v>0</v>
      </c>
      <c r="G3" s="215">
        <f t="shared" si="0"/>
        <v>0</v>
      </c>
      <c r="H3" s="215">
        <f t="shared" si="0"/>
        <v>0</v>
      </c>
      <c r="I3" s="215">
        <f t="shared" si="0"/>
        <v>0</v>
      </c>
      <c r="J3" s="215">
        <f t="shared" si="0"/>
        <v>0</v>
      </c>
      <c r="K3" s="215">
        <f t="shared" si="0"/>
        <v>0</v>
      </c>
      <c r="L3" s="215">
        <f t="shared" si="0"/>
        <v>0</v>
      </c>
      <c r="M3" s="215">
        <f t="shared" si="0"/>
        <v>0</v>
      </c>
      <c r="N3" s="215">
        <f t="shared" si="0"/>
        <v>0</v>
      </c>
      <c r="O3" s="215">
        <f t="shared" si="0"/>
        <v>0</v>
      </c>
      <c r="P3" s="215">
        <f t="shared" si="0"/>
        <v>0</v>
      </c>
      <c r="Q3" s="215">
        <f>Q4*15/10000</f>
        <v>87.3442665</v>
      </c>
      <c r="R3" s="227" t="e">
        <f>#REF!</f>
        <v>#REF!</v>
      </c>
      <c r="S3" s="215" t="e">
        <f>Q3*R3</f>
        <v>#REF!</v>
      </c>
      <c r="T3" s="215" t="e">
        <f>S3</f>
        <v>#REF!</v>
      </c>
      <c r="U3" s="227"/>
      <c r="V3" s="227"/>
      <c r="W3" s="227">
        <v>0</v>
      </c>
      <c r="X3" s="227"/>
      <c r="Y3" s="227">
        <v>0</v>
      </c>
      <c r="Z3" s="227"/>
      <c r="AA3" s="227">
        <v>0</v>
      </c>
      <c r="AB3" s="227"/>
      <c r="AC3" s="227">
        <v>0</v>
      </c>
      <c r="AD3" s="227"/>
      <c r="AE3" s="227">
        <v>0</v>
      </c>
      <c r="AF3" s="215">
        <f>AF4*15/10000</f>
        <v>71.277009</v>
      </c>
      <c r="AG3" s="227" t="e">
        <f>R3</f>
        <v>#REF!</v>
      </c>
      <c r="AH3" s="215" t="e">
        <f>AF3*AG3</f>
        <v>#REF!</v>
      </c>
      <c r="AI3" s="215" t="e">
        <f>AH3</f>
        <v>#REF!</v>
      </c>
      <c r="AJ3" s="237"/>
      <c r="AK3" s="237"/>
      <c r="AL3" s="237"/>
      <c r="AM3" s="237"/>
      <c r="AN3" s="237"/>
      <c r="AO3" s="237"/>
      <c r="AP3" s="237"/>
      <c r="AQ3" s="237"/>
      <c r="AR3" s="237"/>
      <c r="AS3" s="237"/>
      <c r="AT3" s="237"/>
    </row>
    <row r="4" customHeight="1" spans="1:46">
      <c r="A4" s="215" t="s">
        <v>637</v>
      </c>
      <c r="B4" s="215">
        <f t="shared" ref="B4:B16" si="1">Q4+AF4</f>
        <v>105747.517</v>
      </c>
      <c r="C4" s="215">
        <f t="shared" ref="C4:C16" si="2">R4+AG4</f>
        <v>0</v>
      </c>
      <c r="D4" s="215">
        <f t="shared" ref="D4:D15" si="3">S4+AH4</f>
        <v>0</v>
      </c>
      <c r="E4" s="215">
        <f t="shared" ref="E4:E15" si="4">T4+AI4</f>
        <v>0</v>
      </c>
      <c r="F4" s="215">
        <f t="shared" ref="F4:F15" si="5">U4+AJ4</f>
        <v>0</v>
      </c>
      <c r="G4" s="215">
        <f t="shared" ref="G4:G15" si="6">V4+AK4</f>
        <v>0</v>
      </c>
      <c r="H4" s="215">
        <f t="shared" ref="H4:H15" si="7">W4+AL4</f>
        <v>0</v>
      </c>
      <c r="I4" s="215">
        <f t="shared" ref="I4:I15" si="8">X4+AM4</f>
        <v>0</v>
      </c>
      <c r="J4" s="215">
        <f t="shared" ref="J4:J15" si="9">Y4+AN4</f>
        <v>0</v>
      </c>
      <c r="K4" s="215">
        <f t="shared" ref="K4:K15" si="10">Z4+AO4</f>
        <v>0</v>
      </c>
      <c r="L4" s="215">
        <f t="shared" ref="L4:L15" si="11">AA4+AP4</f>
        <v>0</v>
      </c>
      <c r="M4" s="215">
        <f t="shared" ref="M4:M15" si="12">AB4+AQ4</f>
        <v>0</v>
      </c>
      <c r="N4" s="215">
        <f t="shared" ref="N4:N15" si="13">AC4+AR4</f>
        <v>0</v>
      </c>
      <c r="O4" s="215">
        <f t="shared" ref="O4:O15" si="14">AD4+AS4</f>
        <v>0</v>
      </c>
      <c r="P4" s="215">
        <f t="shared" ref="P4:P15" si="15">AE4+AT4</f>
        <v>0</v>
      </c>
      <c r="Q4" s="215">
        <v>58229.511</v>
      </c>
      <c r="R4" s="227"/>
      <c r="S4" s="215"/>
      <c r="T4" s="215"/>
      <c r="U4" s="227"/>
      <c r="V4" s="227"/>
      <c r="W4" s="227"/>
      <c r="X4" s="227"/>
      <c r="Y4" s="227"/>
      <c r="Z4" s="227"/>
      <c r="AA4" s="227"/>
      <c r="AB4" s="227"/>
      <c r="AC4" s="227"/>
      <c r="AD4" s="227"/>
      <c r="AE4" s="227"/>
      <c r="AF4" s="215">
        <v>47518.006</v>
      </c>
      <c r="AG4" s="227"/>
      <c r="AH4" s="215">
        <f>AF4*AG4</f>
        <v>0</v>
      </c>
      <c r="AI4" s="215"/>
      <c r="AJ4" s="238"/>
      <c r="AK4" s="238"/>
      <c r="AL4" s="238"/>
      <c r="AM4" s="238"/>
      <c r="AN4" s="238"/>
      <c r="AO4" s="238"/>
      <c r="AP4" s="238"/>
      <c r="AQ4" s="238"/>
      <c r="AR4" s="238"/>
      <c r="AS4" s="238"/>
      <c r="AT4" s="238"/>
    </row>
    <row r="5" customHeight="1" spans="1:46">
      <c r="A5" s="215" t="s">
        <v>66</v>
      </c>
      <c r="B5" s="215">
        <f t="shared" si="1"/>
        <v>7</v>
      </c>
      <c r="C5" s="215">
        <f t="shared" si="2"/>
        <v>0</v>
      </c>
      <c r="D5" s="215">
        <f t="shared" si="3"/>
        <v>0</v>
      </c>
      <c r="E5" s="215">
        <f t="shared" si="4"/>
        <v>0</v>
      </c>
      <c r="F5" s="215">
        <f t="shared" si="5"/>
        <v>0</v>
      </c>
      <c r="G5" s="215">
        <f t="shared" si="6"/>
        <v>0</v>
      </c>
      <c r="H5" s="215">
        <f t="shared" si="7"/>
        <v>0</v>
      </c>
      <c r="I5" s="215">
        <f t="shared" si="8"/>
        <v>0</v>
      </c>
      <c r="J5" s="215">
        <f t="shared" si="9"/>
        <v>0</v>
      </c>
      <c r="K5" s="215">
        <f t="shared" si="10"/>
        <v>0</v>
      </c>
      <c r="L5" s="215">
        <f t="shared" si="11"/>
        <v>0</v>
      </c>
      <c r="M5" s="215">
        <f t="shared" si="12"/>
        <v>0</v>
      </c>
      <c r="N5" s="215">
        <f t="shared" si="13"/>
        <v>0</v>
      </c>
      <c r="O5" s="215">
        <f t="shared" si="14"/>
        <v>0</v>
      </c>
      <c r="P5" s="215">
        <f t="shared" si="15"/>
        <v>0</v>
      </c>
      <c r="Q5" s="215">
        <v>3.5</v>
      </c>
      <c r="R5" s="227"/>
      <c r="S5" s="215"/>
      <c r="T5" s="215"/>
      <c r="U5" s="227"/>
      <c r="V5" s="227"/>
      <c r="W5" s="227"/>
      <c r="X5" s="227"/>
      <c r="Y5" s="227"/>
      <c r="Z5" s="227"/>
      <c r="AA5" s="227"/>
      <c r="AB5" s="227"/>
      <c r="AC5" s="227"/>
      <c r="AD5" s="227"/>
      <c r="AE5" s="227"/>
      <c r="AF5" s="215">
        <v>3.5</v>
      </c>
      <c r="AG5" s="227"/>
      <c r="AH5" s="215">
        <f>AF5*AG5</f>
        <v>0</v>
      </c>
      <c r="AI5" s="215"/>
      <c r="AJ5" s="238"/>
      <c r="AK5" s="238"/>
      <c r="AL5" s="238"/>
      <c r="AM5" s="238"/>
      <c r="AN5" s="238"/>
      <c r="AO5" s="238"/>
      <c r="AP5" s="238"/>
      <c r="AQ5" s="238"/>
      <c r="AR5" s="238"/>
      <c r="AS5" s="238"/>
      <c r="AT5" s="238"/>
    </row>
    <row r="6" customHeight="1" spans="1:46">
      <c r="A6" s="215" t="s">
        <v>110</v>
      </c>
      <c r="B6" s="215">
        <f t="shared" si="1"/>
        <v>0.5</v>
      </c>
      <c r="C6" s="215">
        <f t="shared" si="2"/>
        <v>0</v>
      </c>
      <c r="D6" s="215">
        <f t="shared" si="3"/>
        <v>0</v>
      </c>
      <c r="E6" s="215">
        <f t="shared" si="4"/>
        <v>0</v>
      </c>
      <c r="F6" s="215">
        <f t="shared" si="5"/>
        <v>0</v>
      </c>
      <c r="G6" s="215">
        <f t="shared" si="6"/>
        <v>0</v>
      </c>
      <c r="H6" s="215">
        <f t="shared" si="7"/>
        <v>0</v>
      </c>
      <c r="I6" s="215">
        <f t="shared" si="8"/>
        <v>0</v>
      </c>
      <c r="J6" s="215">
        <f t="shared" si="9"/>
        <v>0</v>
      </c>
      <c r="K6" s="215">
        <f t="shared" si="10"/>
        <v>0</v>
      </c>
      <c r="L6" s="215">
        <f t="shared" si="11"/>
        <v>0</v>
      </c>
      <c r="M6" s="215">
        <f t="shared" si="12"/>
        <v>0</v>
      </c>
      <c r="N6" s="215">
        <f t="shared" si="13"/>
        <v>0</v>
      </c>
      <c r="O6" s="215">
        <f t="shared" si="14"/>
        <v>0</v>
      </c>
      <c r="P6" s="215">
        <f t="shared" si="15"/>
        <v>0</v>
      </c>
      <c r="Q6" s="215">
        <v>0.25</v>
      </c>
      <c r="R6" s="227"/>
      <c r="S6" s="215"/>
      <c r="T6" s="215"/>
      <c r="U6" s="227"/>
      <c r="V6" s="227"/>
      <c r="W6" s="227"/>
      <c r="X6" s="227"/>
      <c r="Y6" s="227"/>
      <c r="Z6" s="227"/>
      <c r="AA6" s="227"/>
      <c r="AB6" s="227"/>
      <c r="AC6" s="227"/>
      <c r="AD6" s="227"/>
      <c r="AE6" s="227"/>
      <c r="AF6" s="215">
        <v>0.25</v>
      </c>
      <c r="AG6" s="227"/>
      <c r="AH6" s="215">
        <f>AF6*AG6</f>
        <v>0</v>
      </c>
      <c r="AI6" s="215"/>
      <c r="AJ6" s="238"/>
      <c r="AK6" s="238"/>
      <c r="AL6" s="238"/>
      <c r="AM6" s="238"/>
      <c r="AN6" s="238"/>
      <c r="AO6" s="238"/>
      <c r="AP6" s="238"/>
      <c r="AQ6" s="238"/>
      <c r="AR6" s="238"/>
      <c r="AS6" s="238"/>
      <c r="AT6" s="238"/>
    </row>
    <row r="7" customHeight="1" spans="1:46">
      <c r="A7" s="216" t="s">
        <v>638</v>
      </c>
      <c r="B7" s="215" t="e">
        <f t="shared" si="1"/>
        <v>#REF!</v>
      </c>
      <c r="C7" s="215"/>
      <c r="D7" s="215" t="e">
        <f t="shared" si="3"/>
        <v>#REF!</v>
      </c>
      <c r="E7" s="215">
        <f t="shared" si="4"/>
        <v>0</v>
      </c>
      <c r="F7" s="215">
        <f t="shared" si="5"/>
        <v>0</v>
      </c>
      <c r="G7" s="215" t="e">
        <f t="shared" si="6"/>
        <v>#REF!</v>
      </c>
      <c r="H7" s="215" t="e">
        <f t="shared" si="7"/>
        <v>#REF!</v>
      </c>
      <c r="I7" s="215" t="e">
        <f t="shared" si="8"/>
        <v>#REF!</v>
      </c>
      <c r="J7" s="215" t="e">
        <f t="shared" si="9"/>
        <v>#REF!</v>
      </c>
      <c r="K7" s="215" t="e">
        <f t="shared" si="10"/>
        <v>#REF!</v>
      </c>
      <c r="L7" s="215" t="e">
        <f t="shared" si="11"/>
        <v>#REF!</v>
      </c>
      <c r="M7" s="215" t="e">
        <f t="shared" si="12"/>
        <v>#REF!</v>
      </c>
      <c r="N7" s="215" t="e">
        <f t="shared" si="13"/>
        <v>#REF!</v>
      </c>
      <c r="O7" s="215">
        <f t="shared" si="14"/>
        <v>0</v>
      </c>
      <c r="P7" s="215">
        <f t="shared" si="15"/>
        <v>0</v>
      </c>
      <c r="Q7" s="215" t="e">
        <f>经济指标!#REF!</f>
        <v>#REF!</v>
      </c>
      <c r="R7" s="227" t="e">
        <f>#REF!/10000</f>
        <v>#REF!</v>
      </c>
      <c r="S7" s="215" t="e">
        <f>Q7*R7</f>
        <v>#REF!</v>
      </c>
      <c r="T7" s="215"/>
      <c r="U7" s="227"/>
      <c r="V7" s="227" t="e">
        <f>S7*0.2</f>
        <v>#REF!</v>
      </c>
      <c r="W7" s="227" t="e">
        <f>S7*0.4</f>
        <v>#REF!</v>
      </c>
      <c r="X7" s="227" t="e">
        <f>S7*0.15</f>
        <v>#REF!</v>
      </c>
      <c r="Y7" s="227" t="e">
        <f>S7*0.15</f>
        <v>#REF!</v>
      </c>
      <c r="Z7" s="227" t="e">
        <f>S7*0.05</f>
        <v>#REF!</v>
      </c>
      <c r="AA7" s="227" t="e">
        <f>S7*0.05</f>
        <v>#REF!</v>
      </c>
      <c r="AB7" s="227"/>
      <c r="AC7" s="227"/>
      <c r="AD7" s="227"/>
      <c r="AE7" s="227"/>
      <c r="AF7" s="215" t="e">
        <f>经济指标!#REF!</f>
        <v>#REF!</v>
      </c>
      <c r="AG7" s="227" t="e">
        <f>#REF!/10000</f>
        <v>#REF!</v>
      </c>
      <c r="AH7" s="215" t="e">
        <f>AF7*AG7</f>
        <v>#REF!</v>
      </c>
      <c r="AI7" s="215"/>
      <c r="AJ7" s="238"/>
      <c r="AK7" s="238"/>
      <c r="AL7" s="238"/>
      <c r="AM7" s="237" t="e">
        <f>AH7*0.2</f>
        <v>#REF!</v>
      </c>
      <c r="AN7" s="237" t="e">
        <f>AH7*0.4</f>
        <v>#REF!</v>
      </c>
      <c r="AO7" s="237" t="e">
        <f>AH7*0.15</f>
        <v>#REF!</v>
      </c>
      <c r="AP7" s="237" t="e">
        <f>AH7*0.15</f>
        <v>#REF!</v>
      </c>
      <c r="AQ7" s="237" t="e">
        <f>AH7*0.05</f>
        <v>#REF!</v>
      </c>
      <c r="AR7" s="237" t="e">
        <f>AH7*0.05</f>
        <v>#REF!</v>
      </c>
      <c r="AS7" s="237"/>
      <c r="AT7" s="238"/>
    </row>
    <row r="8" customHeight="1" spans="1:46">
      <c r="A8" s="216" t="s">
        <v>639</v>
      </c>
      <c r="B8" s="215" t="e">
        <f t="shared" si="1"/>
        <v>#REF!</v>
      </c>
      <c r="C8" s="215">
        <f t="shared" si="2"/>
        <v>0</v>
      </c>
      <c r="D8" s="215">
        <f t="shared" si="3"/>
        <v>0</v>
      </c>
      <c r="E8" s="215">
        <f t="shared" si="4"/>
        <v>0</v>
      </c>
      <c r="F8" s="215">
        <f t="shared" si="5"/>
        <v>0</v>
      </c>
      <c r="G8" s="215">
        <f t="shared" si="6"/>
        <v>0</v>
      </c>
      <c r="H8" s="215">
        <f t="shared" si="7"/>
        <v>0</v>
      </c>
      <c r="I8" s="215">
        <f t="shared" si="8"/>
        <v>0</v>
      </c>
      <c r="J8" s="215">
        <f t="shared" si="9"/>
        <v>0</v>
      </c>
      <c r="K8" s="215">
        <f t="shared" si="10"/>
        <v>0</v>
      </c>
      <c r="L8" s="215">
        <f t="shared" si="11"/>
        <v>0</v>
      </c>
      <c r="M8" s="215">
        <f t="shared" si="12"/>
        <v>0</v>
      </c>
      <c r="N8" s="215">
        <f t="shared" si="13"/>
        <v>0</v>
      </c>
      <c r="O8" s="215">
        <f t="shared" si="14"/>
        <v>0</v>
      </c>
      <c r="P8" s="215">
        <f t="shared" si="15"/>
        <v>0</v>
      </c>
      <c r="Q8" s="215" t="e">
        <f>经济指标!#REF!</f>
        <v>#REF!</v>
      </c>
      <c r="R8" s="227"/>
      <c r="S8" s="215"/>
      <c r="T8" s="215"/>
      <c r="U8" s="227"/>
      <c r="V8" s="227"/>
      <c r="W8" s="227"/>
      <c r="X8" s="227"/>
      <c r="Y8" s="227"/>
      <c r="Z8" s="227"/>
      <c r="AA8" s="227"/>
      <c r="AB8" s="227"/>
      <c r="AC8" s="227"/>
      <c r="AD8" s="227"/>
      <c r="AE8" s="227"/>
      <c r="AF8" s="221" t="e">
        <f>经济指标!#REF!</f>
        <v>#REF!</v>
      </c>
      <c r="AG8" s="238"/>
      <c r="AH8" s="221"/>
      <c r="AI8" s="221"/>
      <c r="AJ8" s="238"/>
      <c r="AK8" s="238"/>
      <c r="AL8" s="238"/>
      <c r="AM8" s="238"/>
      <c r="AN8" s="238"/>
      <c r="AO8" s="238"/>
      <c r="AP8" s="238"/>
      <c r="AQ8" s="238"/>
      <c r="AR8" s="238"/>
      <c r="AS8" s="238"/>
      <c r="AT8" s="238"/>
    </row>
    <row r="9" customHeight="1" spans="1:46">
      <c r="A9" s="216" t="s">
        <v>90</v>
      </c>
      <c r="B9" s="215">
        <f t="shared" si="1"/>
        <v>0</v>
      </c>
      <c r="C9" s="215">
        <f t="shared" si="2"/>
        <v>0</v>
      </c>
      <c r="D9" s="215">
        <f t="shared" si="3"/>
        <v>0</v>
      </c>
      <c r="E9" s="215">
        <f t="shared" si="4"/>
        <v>0</v>
      </c>
      <c r="F9" s="215">
        <f t="shared" si="5"/>
        <v>0</v>
      </c>
      <c r="G9" s="215">
        <f t="shared" si="6"/>
        <v>0</v>
      </c>
      <c r="H9" s="215">
        <f t="shared" si="7"/>
        <v>0</v>
      </c>
      <c r="I9" s="215">
        <f t="shared" si="8"/>
        <v>0</v>
      </c>
      <c r="J9" s="215">
        <f t="shared" si="9"/>
        <v>0</v>
      </c>
      <c r="K9" s="215">
        <f t="shared" si="10"/>
        <v>0</v>
      </c>
      <c r="L9" s="215">
        <f t="shared" si="11"/>
        <v>0</v>
      </c>
      <c r="M9" s="215">
        <f t="shared" si="12"/>
        <v>0</v>
      </c>
      <c r="N9" s="215">
        <f t="shared" si="13"/>
        <v>0</v>
      </c>
      <c r="O9" s="215">
        <f t="shared" si="14"/>
        <v>0</v>
      </c>
      <c r="P9" s="215">
        <f t="shared" si="15"/>
        <v>0</v>
      </c>
      <c r="Q9" s="215"/>
      <c r="R9" s="227"/>
      <c r="S9" s="215"/>
      <c r="T9" s="215"/>
      <c r="U9" s="227"/>
      <c r="V9" s="227"/>
      <c r="W9" s="227"/>
      <c r="X9" s="227"/>
      <c r="Y9" s="227"/>
      <c r="Z9" s="227"/>
      <c r="AA9" s="227"/>
      <c r="AB9" s="227"/>
      <c r="AC9" s="227"/>
      <c r="AD9" s="227"/>
      <c r="AE9" s="227"/>
      <c r="AF9" s="221"/>
      <c r="AG9" s="238"/>
      <c r="AH9" s="221"/>
      <c r="AI9" s="221"/>
      <c r="AJ9" s="238"/>
      <c r="AK9" s="238"/>
      <c r="AL9" s="238"/>
      <c r="AM9" s="238"/>
      <c r="AN9" s="238"/>
      <c r="AO9" s="238"/>
      <c r="AP9" s="238"/>
      <c r="AQ9" s="238"/>
      <c r="AR9" s="238"/>
      <c r="AS9" s="238"/>
      <c r="AT9" s="238"/>
    </row>
    <row r="10" customHeight="1" spans="1:46">
      <c r="A10" s="216" t="s">
        <v>640</v>
      </c>
      <c r="B10" s="215">
        <f t="shared" si="1"/>
        <v>2910</v>
      </c>
      <c r="C10" s="215">
        <f t="shared" si="2"/>
        <v>0</v>
      </c>
      <c r="D10" s="215">
        <f t="shared" si="3"/>
        <v>0</v>
      </c>
      <c r="E10" s="215">
        <f t="shared" si="4"/>
        <v>0</v>
      </c>
      <c r="F10" s="215">
        <f t="shared" si="5"/>
        <v>0</v>
      </c>
      <c r="G10" s="215">
        <f t="shared" si="6"/>
        <v>0</v>
      </c>
      <c r="H10" s="215">
        <f t="shared" si="7"/>
        <v>0</v>
      </c>
      <c r="I10" s="215">
        <f t="shared" si="8"/>
        <v>0</v>
      </c>
      <c r="J10" s="215">
        <f t="shared" si="9"/>
        <v>0</v>
      </c>
      <c r="K10" s="215">
        <f t="shared" si="10"/>
        <v>0</v>
      </c>
      <c r="L10" s="215">
        <f t="shared" si="11"/>
        <v>0</v>
      </c>
      <c r="M10" s="215">
        <f t="shared" si="12"/>
        <v>0</v>
      </c>
      <c r="N10" s="215">
        <f t="shared" si="13"/>
        <v>0</v>
      </c>
      <c r="O10" s="215">
        <f t="shared" si="14"/>
        <v>0</v>
      </c>
      <c r="P10" s="215">
        <f t="shared" si="15"/>
        <v>0</v>
      </c>
      <c r="Q10" s="215">
        <v>1180</v>
      </c>
      <c r="R10" s="227">
        <v>0</v>
      </c>
      <c r="S10" s="215">
        <f>Q10*R10</f>
        <v>0</v>
      </c>
      <c r="T10" s="215"/>
      <c r="U10" s="227"/>
      <c r="V10" s="227"/>
      <c r="W10" s="227"/>
      <c r="X10" s="227"/>
      <c r="Y10" s="227"/>
      <c r="Z10" s="227"/>
      <c r="AA10" s="227"/>
      <c r="AB10" s="227"/>
      <c r="AC10" s="227"/>
      <c r="AD10" s="227"/>
      <c r="AE10" s="227"/>
      <c r="AF10" s="215">
        <v>1730</v>
      </c>
      <c r="AG10" s="227">
        <v>0</v>
      </c>
      <c r="AH10" s="215">
        <f>AF10*AG10</f>
        <v>0</v>
      </c>
      <c r="AI10" s="215"/>
      <c r="AJ10" s="238"/>
      <c r="AK10" s="238"/>
      <c r="AL10" s="238"/>
      <c r="AM10" s="238"/>
      <c r="AN10" s="238"/>
      <c r="AO10" s="238"/>
      <c r="AP10" s="238"/>
      <c r="AQ10" s="238"/>
      <c r="AR10" s="238"/>
      <c r="AS10" s="238"/>
      <c r="AT10" s="238"/>
    </row>
    <row r="11" customHeight="1" spans="1:46">
      <c r="A11" s="216" t="s">
        <v>95</v>
      </c>
      <c r="B11" s="215">
        <f t="shared" si="1"/>
        <v>6412</v>
      </c>
      <c r="C11" s="215">
        <f t="shared" si="2"/>
        <v>0</v>
      </c>
      <c r="D11" s="215">
        <f t="shared" si="3"/>
        <v>0</v>
      </c>
      <c r="E11" s="215">
        <f t="shared" si="4"/>
        <v>0</v>
      </c>
      <c r="F11" s="215">
        <f t="shared" si="5"/>
        <v>0</v>
      </c>
      <c r="G11" s="215">
        <f t="shared" si="6"/>
        <v>0</v>
      </c>
      <c r="H11" s="215">
        <f t="shared" si="7"/>
        <v>0</v>
      </c>
      <c r="I11" s="215">
        <f t="shared" si="8"/>
        <v>0</v>
      </c>
      <c r="J11" s="215">
        <f t="shared" si="9"/>
        <v>0</v>
      </c>
      <c r="K11" s="215">
        <f t="shared" si="10"/>
        <v>0</v>
      </c>
      <c r="L11" s="215">
        <f t="shared" si="11"/>
        <v>0</v>
      </c>
      <c r="M11" s="215">
        <f t="shared" si="12"/>
        <v>0</v>
      </c>
      <c r="N11" s="215">
        <f t="shared" si="13"/>
        <v>0</v>
      </c>
      <c r="O11" s="215">
        <f t="shared" si="14"/>
        <v>0</v>
      </c>
      <c r="P11" s="215">
        <f t="shared" si="15"/>
        <v>0</v>
      </c>
      <c r="Q11" s="215">
        <v>3206</v>
      </c>
      <c r="R11" s="227">
        <v>0</v>
      </c>
      <c r="S11" s="215">
        <f>Q11*R11</f>
        <v>0</v>
      </c>
      <c r="T11" s="215"/>
      <c r="U11" s="227"/>
      <c r="V11" s="227"/>
      <c r="W11" s="227"/>
      <c r="X11" s="227"/>
      <c r="Y11" s="227"/>
      <c r="Z11" s="227"/>
      <c r="AA11" s="227"/>
      <c r="AB11" s="227"/>
      <c r="AC11" s="227"/>
      <c r="AD11" s="227"/>
      <c r="AE11" s="227"/>
      <c r="AF11" s="215">
        <v>3206</v>
      </c>
      <c r="AG11" s="227">
        <v>0</v>
      </c>
      <c r="AH11" s="215">
        <f>AF11*AG11</f>
        <v>0</v>
      </c>
      <c r="AI11" s="215"/>
      <c r="AJ11" s="238"/>
      <c r="AK11" s="238"/>
      <c r="AL11" s="238"/>
      <c r="AM11" s="238"/>
      <c r="AN11" s="238"/>
      <c r="AO11" s="238"/>
      <c r="AP11" s="238"/>
      <c r="AQ11" s="238"/>
      <c r="AR11" s="238"/>
      <c r="AS11" s="238"/>
      <c r="AT11" s="238"/>
    </row>
    <row r="12" customHeight="1" spans="1:46">
      <c r="A12" s="217" t="s">
        <v>119</v>
      </c>
      <c r="B12" s="215" t="e">
        <f t="shared" si="1"/>
        <v>#REF!</v>
      </c>
      <c r="C12" s="215">
        <f t="shared" si="2"/>
        <v>0</v>
      </c>
      <c r="D12" s="215" t="e">
        <f t="shared" si="3"/>
        <v>#REF!</v>
      </c>
      <c r="E12" s="215">
        <f t="shared" si="4"/>
        <v>0</v>
      </c>
      <c r="F12" s="215">
        <f t="shared" si="5"/>
        <v>0</v>
      </c>
      <c r="G12" s="215">
        <f t="shared" si="6"/>
        <v>0</v>
      </c>
      <c r="H12" s="215">
        <f t="shared" si="7"/>
        <v>0</v>
      </c>
      <c r="I12" s="215">
        <f t="shared" si="8"/>
        <v>0</v>
      </c>
      <c r="J12" s="215">
        <f t="shared" si="9"/>
        <v>0</v>
      </c>
      <c r="K12" s="215">
        <f t="shared" si="10"/>
        <v>0</v>
      </c>
      <c r="L12" s="215">
        <f t="shared" si="11"/>
        <v>0</v>
      </c>
      <c r="M12" s="215">
        <f t="shared" si="12"/>
        <v>0</v>
      </c>
      <c r="N12" s="215">
        <f t="shared" si="13"/>
        <v>0</v>
      </c>
      <c r="O12" s="215">
        <f t="shared" si="14"/>
        <v>0</v>
      </c>
      <c r="P12" s="215">
        <f t="shared" si="15"/>
        <v>0</v>
      </c>
      <c r="Q12" s="217" t="e">
        <f>SUM(Q7:Q11)</f>
        <v>#REF!</v>
      </c>
      <c r="R12" s="228"/>
      <c r="S12" s="217" t="e">
        <f>SUM(S7:S11)</f>
        <v>#REF!</v>
      </c>
      <c r="T12" s="217"/>
      <c r="U12" s="228"/>
      <c r="V12" s="228"/>
      <c r="W12" s="228"/>
      <c r="X12" s="228"/>
      <c r="Y12" s="228"/>
      <c r="Z12" s="228"/>
      <c r="AA12" s="228"/>
      <c r="AB12" s="228"/>
      <c r="AC12" s="228"/>
      <c r="AD12" s="228"/>
      <c r="AE12" s="228"/>
      <c r="AF12" s="217" t="e">
        <f>SUM(AF7:AF11)</f>
        <v>#REF!</v>
      </c>
      <c r="AG12" s="228"/>
      <c r="AH12" s="217" t="e">
        <f>SUM(AH7:AH11)</f>
        <v>#REF!</v>
      </c>
      <c r="AI12" s="217"/>
      <c r="AJ12" s="238"/>
      <c r="AK12" s="238"/>
      <c r="AL12" s="238"/>
      <c r="AM12" s="238"/>
      <c r="AN12" s="238"/>
      <c r="AO12" s="238"/>
      <c r="AP12" s="238"/>
      <c r="AQ12" s="238"/>
      <c r="AR12" s="238"/>
      <c r="AS12" s="238"/>
      <c r="AT12" s="238"/>
    </row>
    <row r="13" customHeight="1" spans="1:46">
      <c r="A13" s="218" t="s">
        <v>641</v>
      </c>
      <c r="B13" s="215" t="e">
        <f t="shared" si="1"/>
        <v>#REF!</v>
      </c>
      <c r="C13" s="215">
        <f t="shared" si="2"/>
        <v>0</v>
      </c>
      <c r="D13" s="215" t="e">
        <f t="shared" si="3"/>
        <v>#REF!</v>
      </c>
      <c r="E13" s="215">
        <f t="shared" si="4"/>
        <v>0</v>
      </c>
      <c r="F13" s="215">
        <f t="shared" si="5"/>
        <v>0</v>
      </c>
      <c r="G13" s="215">
        <f t="shared" si="6"/>
        <v>0</v>
      </c>
      <c r="H13" s="215">
        <f t="shared" si="7"/>
        <v>0</v>
      </c>
      <c r="I13" s="215">
        <f t="shared" si="8"/>
        <v>0</v>
      </c>
      <c r="J13" s="215">
        <f t="shared" si="9"/>
        <v>0</v>
      </c>
      <c r="K13" s="215">
        <f t="shared" si="10"/>
        <v>0</v>
      </c>
      <c r="L13" s="215">
        <f t="shared" si="11"/>
        <v>0</v>
      </c>
      <c r="M13" s="215">
        <f t="shared" si="12"/>
        <v>0</v>
      </c>
      <c r="N13" s="215">
        <f t="shared" si="13"/>
        <v>0</v>
      </c>
      <c r="O13" s="215">
        <f t="shared" si="14"/>
        <v>0</v>
      </c>
      <c r="P13" s="215">
        <f t="shared" si="15"/>
        <v>0</v>
      </c>
      <c r="Q13" s="229" t="e">
        <f>经济指标!#REF!</f>
        <v>#REF!</v>
      </c>
      <c r="R13" s="227"/>
      <c r="S13" s="215" t="e">
        <f>Q13*R13</f>
        <v>#REF!</v>
      </c>
      <c r="T13" s="215"/>
      <c r="U13" s="227"/>
      <c r="V13" s="227"/>
      <c r="W13" s="227"/>
      <c r="X13" s="227"/>
      <c r="Y13" s="227"/>
      <c r="Z13" s="227"/>
      <c r="AA13" s="227"/>
      <c r="AB13" s="227"/>
      <c r="AC13" s="227"/>
      <c r="AD13" s="227"/>
      <c r="AE13" s="227"/>
      <c r="AF13" s="229" t="e">
        <f>经济指标!#REF!</f>
        <v>#REF!</v>
      </c>
      <c r="AG13" s="239"/>
      <c r="AH13" s="215" t="e">
        <f>AF13*AG13</f>
        <v>#REF!</v>
      </c>
      <c r="AI13" s="215"/>
      <c r="AJ13" s="238"/>
      <c r="AK13" s="238"/>
      <c r="AL13" s="238"/>
      <c r="AM13" s="238"/>
      <c r="AN13" s="238"/>
      <c r="AO13" s="238"/>
      <c r="AP13" s="238"/>
      <c r="AQ13" s="238"/>
      <c r="AR13" s="238"/>
      <c r="AS13" s="238"/>
      <c r="AT13" s="238"/>
    </row>
    <row r="14" customHeight="1" spans="1:46">
      <c r="A14" s="219" t="s">
        <v>642</v>
      </c>
      <c r="B14" s="215" t="e">
        <f t="shared" si="1"/>
        <v>#REF!</v>
      </c>
      <c r="C14" s="215">
        <f t="shared" si="2"/>
        <v>0</v>
      </c>
      <c r="D14" s="215" t="e">
        <f t="shared" si="3"/>
        <v>#REF!</v>
      </c>
      <c r="E14" s="215">
        <f t="shared" si="4"/>
        <v>0</v>
      </c>
      <c r="F14" s="215">
        <f t="shared" si="5"/>
        <v>0</v>
      </c>
      <c r="G14" s="215">
        <f t="shared" si="6"/>
        <v>0</v>
      </c>
      <c r="H14" s="215">
        <f t="shared" si="7"/>
        <v>0</v>
      </c>
      <c r="I14" s="215">
        <f t="shared" si="8"/>
        <v>0</v>
      </c>
      <c r="J14" s="215">
        <f t="shared" si="9"/>
        <v>0</v>
      </c>
      <c r="K14" s="215">
        <f t="shared" si="10"/>
        <v>0</v>
      </c>
      <c r="L14" s="215">
        <f t="shared" si="11"/>
        <v>0</v>
      </c>
      <c r="M14" s="215">
        <f t="shared" si="12"/>
        <v>0</v>
      </c>
      <c r="N14" s="215">
        <f t="shared" si="13"/>
        <v>0</v>
      </c>
      <c r="O14" s="215">
        <f t="shared" si="14"/>
        <v>0</v>
      </c>
      <c r="P14" s="215">
        <f t="shared" si="15"/>
        <v>0</v>
      </c>
      <c r="Q14" s="230" t="e">
        <f>Q12+Q13</f>
        <v>#REF!</v>
      </c>
      <c r="R14" s="231">
        <f>R12+R13</f>
        <v>0</v>
      </c>
      <c r="S14" s="230" t="e">
        <f>S12+S13</f>
        <v>#REF!</v>
      </c>
      <c r="T14" s="230"/>
      <c r="U14" s="231"/>
      <c r="V14" s="231"/>
      <c r="W14" s="231"/>
      <c r="X14" s="231"/>
      <c r="Y14" s="231"/>
      <c r="Z14" s="231"/>
      <c r="AA14" s="231"/>
      <c r="AB14" s="231"/>
      <c r="AC14" s="231"/>
      <c r="AD14" s="231"/>
      <c r="AE14" s="231"/>
      <c r="AF14" s="230" t="e">
        <f>AF12+AF13</f>
        <v>#REF!</v>
      </c>
      <c r="AG14" s="231">
        <f>AG12+AG13</f>
        <v>0</v>
      </c>
      <c r="AH14" s="230" t="e">
        <f>AH12+AH13</f>
        <v>#REF!</v>
      </c>
      <c r="AI14" s="230"/>
      <c r="AJ14" s="238"/>
      <c r="AK14" s="238"/>
      <c r="AL14" s="238"/>
      <c r="AM14" s="238"/>
      <c r="AN14" s="238"/>
      <c r="AO14" s="238"/>
      <c r="AP14" s="238"/>
      <c r="AQ14" s="238"/>
      <c r="AR14" s="238"/>
      <c r="AS14" s="238"/>
      <c r="AT14" s="238"/>
    </row>
    <row r="15" customHeight="1" spans="1:46">
      <c r="A15" s="220" t="s">
        <v>643</v>
      </c>
      <c r="B15" s="215" t="e">
        <f t="shared" si="1"/>
        <v>#REF!</v>
      </c>
      <c r="C15" s="215" t="e">
        <f t="shared" si="2"/>
        <v>#REF!</v>
      </c>
      <c r="D15" s="215" t="e">
        <f t="shared" si="3"/>
        <v>#REF!</v>
      </c>
      <c r="E15" s="215">
        <f t="shared" si="4"/>
        <v>0</v>
      </c>
      <c r="F15" s="215">
        <f t="shared" si="5"/>
        <v>0</v>
      </c>
      <c r="G15" s="215" t="e">
        <f t="shared" si="6"/>
        <v>#REF!</v>
      </c>
      <c r="H15" s="215" t="e">
        <f t="shared" si="7"/>
        <v>#REF!</v>
      </c>
      <c r="I15" s="215" t="e">
        <f t="shared" si="8"/>
        <v>#REF!</v>
      </c>
      <c r="J15" s="215" t="e">
        <f t="shared" si="9"/>
        <v>#REF!</v>
      </c>
      <c r="K15" s="215" t="e">
        <f t="shared" si="10"/>
        <v>#REF!</v>
      </c>
      <c r="L15" s="215" t="e">
        <f t="shared" si="11"/>
        <v>#REF!</v>
      </c>
      <c r="M15" s="215" t="e">
        <f t="shared" si="12"/>
        <v>#REF!</v>
      </c>
      <c r="N15" s="215" t="e">
        <f t="shared" si="13"/>
        <v>#REF!</v>
      </c>
      <c r="O15" s="215" t="e">
        <f t="shared" si="14"/>
        <v>#REF!</v>
      </c>
      <c r="P15" s="215" t="e">
        <f t="shared" si="15"/>
        <v>#REF!</v>
      </c>
      <c r="Q15" s="229" t="e">
        <f>ROUND(Q13/45,0)</f>
        <v>#REF!</v>
      </c>
      <c r="R15" s="232" t="e">
        <f>#REF!</f>
        <v>#REF!</v>
      </c>
      <c r="S15" s="220" t="e">
        <f>Q15*R15</f>
        <v>#REF!</v>
      </c>
      <c r="T15" s="220"/>
      <c r="U15" s="232"/>
      <c r="V15" s="232" t="e">
        <f>S15*0.1</f>
        <v>#REF!</v>
      </c>
      <c r="W15" s="232" t="e">
        <f t="shared" ref="W15:AB15" si="16">$S$15*0.15</f>
        <v>#REF!</v>
      </c>
      <c r="X15" s="232" t="e">
        <f t="shared" si="16"/>
        <v>#REF!</v>
      </c>
      <c r="Y15" s="232" t="e">
        <f t="shared" si="16"/>
        <v>#REF!</v>
      </c>
      <c r="Z15" s="232" t="e">
        <f t="shared" si="16"/>
        <v>#REF!</v>
      </c>
      <c r="AA15" s="232" t="e">
        <f t="shared" si="16"/>
        <v>#REF!</v>
      </c>
      <c r="AB15" s="232" t="e">
        <f t="shared" si="16"/>
        <v>#REF!</v>
      </c>
      <c r="AC15" s="232"/>
      <c r="AD15" s="232"/>
      <c r="AE15" s="232"/>
      <c r="AF15" s="229" t="e">
        <f>ROUND(AF13/45,0)</f>
        <v>#REF!</v>
      </c>
      <c r="AG15" s="239" t="e">
        <f>#REF!</f>
        <v>#REF!</v>
      </c>
      <c r="AH15" s="220" t="e">
        <f>AF15*AG15</f>
        <v>#REF!</v>
      </c>
      <c r="AI15" s="220"/>
      <c r="AJ15" s="238"/>
      <c r="AK15" s="238"/>
      <c r="AL15" s="238"/>
      <c r="AM15" s="237" t="e">
        <f t="shared" ref="AM15:AR15" si="17">$AH$15*0.15</f>
        <v>#REF!</v>
      </c>
      <c r="AN15" s="237" t="e">
        <f t="shared" si="17"/>
        <v>#REF!</v>
      </c>
      <c r="AO15" s="237" t="e">
        <f t="shared" si="17"/>
        <v>#REF!</v>
      </c>
      <c r="AP15" s="237" t="e">
        <f t="shared" si="17"/>
        <v>#REF!</v>
      </c>
      <c r="AQ15" s="237" t="e">
        <f t="shared" si="17"/>
        <v>#REF!</v>
      </c>
      <c r="AR15" s="237" t="e">
        <f t="shared" si="17"/>
        <v>#REF!</v>
      </c>
      <c r="AS15" s="237" t="e">
        <f>$AH$15*0.05</f>
        <v>#REF!</v>
      </c>
      <c r="AT15" s="237" t="e">
        <f>$AH$15*0.05</f>
        <v>#REF!</v>
      </c>
    </row>
    <row r="16" customHeight="1" spans="1:46">
      <c r="A16" s="221" t="s">
        <v>644</v>
      </c>
      <c r="B16" s="215" t="e">
        <f t="shared" si="1"/>
        <v>#REF!</v>
      </c>
      <c r="C16" s="215" t="e">
        <f t="shared" si="2"/>
        <v>#REF!</v>
      </c>
      <c r="D16" s="215" t="e">
        <f>SUM(D7:D9)+D15</f>
        <v>#REF!</v>
      </c>
      <c r="E16" s="215">
        <f t="shared" ref="E16:AT16" si="18">SUM(E7:E9)+E15</f>
        <v>0</v>
      </c>
      <c r="F16" s="215">
        <f t="shared" si="18"/>
        <v>0</v>
      </c>
      <c r="G16" s="215" t="e">
        <f t="shared" si="18"/>
        <v>#REF!</v>
      </c>
      <c r="H16" s="215" t="e">
        <f t="shared" si="18"/>
        <v>#REF!</v>
      </c>
      <c r="I16" s="215" t="e">
        <f t="shared" si="18"/>
        <v>#REF!</v>
      </c>
      <c r="J16" s="215" t="e">
        <f t="shared" si="18"/>
        <v>#REF!</v>
      </c>
      <c r="K16" s="215" t="e">
        <f t="shared" si="18"/>
        <v>#REF!</v>
      </c>
      <c r="L16" s="215" t="e">
        <f t="shared" si="18"/>
        <v>#REF!</v>
      </c>
      <c r="M16" s="215" t="e">
        <f t="shared" si="18"/>
        <v>#REF!</v>
      </c>
      <c r="N16" s="215" t="e">
        <f t="shared" si="18"/>
        <v>#REF!</v>
      </c>
      <c r="O16" s="215" t="e">
        <f t="shared" si="18"/>
        <v>#REF!</v>
      </c>
      <c r="P16" s="215" t="e">
        <f t="shared" si="18"/>
        <v>#REF!</v>
      </c>
      <c r="Q16" s="215" t="e">
        <f t="shared" si="18"/>
        <v>#REF!</v>
      </c>
      <c r="R16" s="215" t="e">
        <f t="shared" si="18"/>
        <v>#REF!</v>
      </c>
      <c r="S16" s="215" t="e">
        <f t="shared" si="18"/>
        <v>#REF!</v>
      </c>
      <c r="T16" s="215">
        <f t="shared" si="18"/>
        <v>0</v>
      </c>
      <c r="U16" s="215">
        <f t="shared" si="18"/>
        <v>0</v>
      </c>
      <c r="V16" s="215" t="e">
        <f t="shared" si="18"/>
        <v>#REF!</v>
      </c>
      <c r="W16" s="215" t="e">
        <f t="shared" si="18"/>
        <v>#REF!</v>
      </c>
      <c r="X16" s="215" t="e">
        <f t="shared" si="18"/>
        <v>#REF!</v>
      </c>
      <c r="Y16" s="215" t="e">
        <f t="shared" si="18"/>
        <v>#REF!</v>
      </c>
      <c r="Z16" s="215" t="e">
        <f t="shared" si="18"/>
        <v>#REF!</v>
      </c>
      <c r="AA16" s="215" t="e">
        <f t="shared" si="18"/>
        <v>#REF!</v>
      </c>
      <c r="AB16" s="215" t="e">
        <f t="shared" si="18"/>
        <v>#REF!</v>
      </c>
      <c r="AC16" s="215">
        <f t="shared" si="18"/>
        <v>0</v>
      </c>
      <c r="AD16" s="215">
        <f t="shared" si="18"/>
        <v>0</v>
      </c>
      <c r="AE16" s="215">
        <f t="shared" si="18"/>
        <v>0</v>
      </c>
      <c r="AF16" s="215" t="e">
        <f t="shared" si="18"/>
        <v>#REF!</v>
      </c>
      <c r="AG16" s="215" t="e">
        <f t="shared" si="18"/>
        <v>#REF!</v>
      </c>
      <c r="AH16" s="215" t="e">
        <f t="shared" si="18"/>
        <v>#REF!</v>
      </c>
      <c r="AI16" s="215">
        <f t="shared" si="18"/>
        <v>0</v>
      </c>
      <c r="AJ16" s="215">
        <f t="shared" si="18"/>
        <v>0</v>
      </c>
      <c r="AK16" s="215">
        <f t="shared" si="18"/>
        <v>0</v>
      </c>
      <c r="AL16" s="215">
        <f t="shared" si="18"/>
        <v>0</v>
      </c>
      <c r="AM16" s="215" t="e">
        <f t="shared" si="18"/>
        <v>#REF!</v>
      </c>
      <c r="AN16" s="215" t="e">
        <f t="shared" si="18"/>
        <v>#REF!</v>
      </c>
      <c r="AO16" s="215" t="e">
        <f t="shared" si="18"/>
        <v>#REF!</v>
      </c>
      <c r="AP16" s="215" t="e">
        <f t="shared" si="18"/>
        <v>#REF!</v>
      </c>
      <c r="AQ16" s="215" t="e">
        <f t="shared" si="18"/>
        <v>#REF!</v>
      </c>
      <c r="AR16" s="215" t="e">
        <f t="shared" si="18"/>
        <v>#REF!</v>
      </c>
      <c r="AS16" s="215" t="e">
        <f t="shared" si="18"/>
        <v>#REF!</v>
      </c>
      <c r="AT16" s="215" t="e">
        <f t="shared" si="18"/>
        <v>#REF!</v>
      </c>
    </row>
  </sheetData>
  <mergeCells count="3">
    <mergeCell ref="B1:P1"/>
    <mergeCell ref="Q1:AE1"/>
    <mergeCell ref="AF1:AT1"/>
  </mergeCells>
  <pageMargins left="0.699305555555556" right="0.699305555555556" top="0.75" bottom="0.75" header="0.3" footer="0.3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31"/>
  <sheetViews>
    <sheetView zoomScale="90" zoomScaleNormal="90" topLeftCell="A4" workbookViewId="0">
      <selection activeCell="E3" sqref="E3"/>
    </sheetView>
  </sheetViews>
  <sheetFormatPr defaultColWidth="9" defaultRowHeight="30" customHeight="1"/>
  <cols>
    <col min="1" max="1" width="12.25" style="104" customWidth="1"/>
    <col min="2" max="2" width="15.125" style="104" customWidth="1"/>
    <col min="3" max="3" width="14.5" style="104" customWidth="1"/>
    <col min="4" max="4" width="15.125" style="104" customWidth="1"/>
    <col min="5" max="5" width="14.25" style="104" customWidth="1"/>
    <col min="6" max="6" width="18" style="104" customWidth="1"/>
    <col min="7" max="7" width="19.25" style="104" customWidth="1"/>
    <col min="8" max="8" width="12.875" style="104" customWidth="1"/>
    <col min="9" max="9" width="12.625" style="104" customWidth="1"/>
    <col min="10" max="11" width="11.75" style="104" hidden="1" customWidth="1"/>
    <col min="12" max="12" width="15.375" style="104" hidden="1" customWidth="1"/>
    <col min="13" max="14" width="11.75" style="104" hidden="1" customWidth="1"/>
    <col min="15" max="15" width="16.25" style="104" hidden="1" customWidth="1"/>
    <col min="16" max="16" width="12" style="104" hidden="1" customWidth="1"/>
    <col min="17" max="17" width="13.625" style="104" hidden="1" customWidth="1"/>
    <col min="18" max="18" width="11.625" style="104" hidden="1" customWidth="1"/>
    <col min="19" max="19" width="19" style="104" customWidth="1"/>
    <col min="20" max="20" width="18.125" style="104" customWidth="1"/>
    <col min="21" max="21" width="9.71666666666667" style="104" customWidth="1"/>
    <col min="22" max="22" width="17" style="104" customWidth="1"/>
    <col min="23" max="23" width="23" style="104" customWidth="1"/>
    <col min="24" max="16384" width="9" style="104"/>
  </cols>
  <sheetData>
    <row r="1" customFormat="1" ht="21" customHeight="1" spans="1:19">
      <c r="A1" s="62" t="s">
        <v>29</v>
      </c>
      <c r="B1" s="63" t="str">
        <f>目录!C6</f>
        <v>销售中心</v>
      </c>
      <c r="C1" s="64" t="s">
        <v>30</v>
      </c>
      <c r="D1" s="167" t="s">
        <v>645</v>
      </c>
      <c r="E1" s="168"/>
      <c r="F1" s="168"/>
      <c r="S1" s="208"/>
    </row>
    <row r="2" customFormat="1" ht="21" customHeight="1" spans="1:19">
      <c r="A2" s="62" t="s">
        <v>3</v>
      </c>
      <c r="B2" s="63" t="str">
        <f>目录!D6</f>
        <v>王刚</v>
      </c>
      <c r="C2" s="64"/>
      <c r="D2" s="169" t="s">
        <v>610</v>
      </c>
      <c r="E2" s="170">
        <v>0.03694</v>
      </c>
      <c r="F2" s="27">
        <v>45</v>
      </c>
      <c r="S2" s="208"/>
    </row>
    <row r="3" customFormat="1" ht="21" customHeight="1" spans="1:6">
      <c r="A3" s="62" t="s">
        <v>4</v>
      </c>
      <c r="B3" s="65" t="str">
        <f>目录!E6</f>
        <v>2021.9.7</v>
      </c>
      <c r="C3" s="64"/>
      <c r="D3" s="169" t="s">
        <v>612</v>
      </c>
      <c r="E3" s="170">
        <v>0.0113</v>
      </c>
      <c r="F3" s="27">
        <v>15</v>
      </c>
    </row>
    <row r="4" s="60" customFormat="1" ht="21" customHeight="1" spans="1:9">
      <c r="A4" s="171"/>
      <c r="B4" s="172"/>
      <c r="C4" s="173"/>
      <c r="D4" s="174"/>
      <c r="E4" s="175"/>
      <c r="F4" s="176"/>
      <c r="H4" s="96">
        <f>E19/C8*10000+D8</f>
        <v>6504.45773462893</v>
      </c>
      <c r="I4" s="96">
        <f>(E20+E22+E23+E24+E25)/经济指标!E23</f>
        <v>0.175165451585504</v>
      </c>
    </row>
    <row r="5" customHeight="1" spans="1:18">
      <c r="A5" s="177" t="str">
        <f>项目概况!B6&amp;"项目预计销售收入及费用情况表"</f>
        <v>栾川S1地块项目预计销售收入及费用情况表</v>
      </c>
      <c r="B5" s="177"/>
      <c r="C5" s="177"/>
      <c r="D5" s="177"/>
      <c r="E5" s="177"/>
      <c r="F5" s="177"/>
      <c r="G5" s="177"/>
      <c r="H5" s="177"/>
      <c r="I5" s="177"/>
      <c r="J5" s="186" t="s">
        <v>646</v>
      </c>
      <c r="K5" s="186" t="s">
        <v>647</v>
      </c>
      <c r="L5" s="186" t="s">
        <v>648</v>
      </c>
      <c r="M5" s="186" t="s">
        <v>649</v>
      </c>
      <c r="N5" s="186" t="s">
        <v>650</v>
      </c>
      <c r="O5" s="204" t="s">
        <v>651</v>
      </c>
      <c r="P5" s="179" t="s">
        <v>60</v>
      </c>
      <c r="Q5" s="179" t="s">
        <v>652</v>
      </c>
      <c r="R5" s="179" t="s">
        <v>653</v>
      </c>
    </row>
    <row r="6" customHeight="1" spans="1:18">
      <c r="A6" s="110" t="s">
        <v>654</v>
      </c>
      <c r="B6" s="110" t="s">
        <v>58</v>
      </c>
      <c r="C6" s="111" t="s">
        <v>125</v>
      </c>
      <c r="D6" s="111" t="s">
        <v>635</v>
      </c>
      <c r="E6" s="117" t="s">
        <v>655</v>
      </c>
      <c r="F6" s="112" t="s">
        <v>656</v>
      </c>
      <c r="G6" s="112" t="s">
        <v>657</v>
      </c>
      <c r="H6" s="112" t="s">
        <v>610</v>
      </c>
      <c r="I6" s="112" t="s">
        <v>658</v>
      </c>
      <c r="J6" s="179"/>
      <c r="K6" s="179"/>
      <c r="L6" s="179"/>
      <c r="M6" s="179"/>
      <c r="N6" s="179"/>
      <c r="O6" s="179"/>
      <c r="P6" s="179" t="s">
        <v>113</v>
      </c>
      <c r="Q6" s="179" t="s">
        <v>113</v>
      </c>
      <c r="R6" s="179"/>
    </row>
    <row r="7" ht="23.25" customHeight="1" spans="1:22">
      <c r="A7" s="115" t="str">
        <f>经济指标!B9</f>
        <v>地上部分1</v>
      </c>
      <c r="B7" s="115" t="str">
        <f>经济指标!C9</f>
        <v>小高层</v>
      </c>
      <c r="C7" s="117">
        <f>经济指标!E9</f>
        <v>5328.71</v>
      </c>
      <c r="D7" s="117">
        <v>6200</v>
      </c>
      <c r="E7" s="117">
        <f>C7*D7/10000</f>
        <v>3303.8002</v>
      </c>
      <c r="F7" s="178">
        <f>E7/$E$28</f>
        <v>0.0467757724309492</v>
      </c>
      <c r="G7" s="179"/>
      <c r="H7" s="117">
        <f>E7*$E$2</f>
        <v>122.042379388</v>
      </c>
      <c r="I7" s="117">
        <f>E7*$E$3</f>
        <v>37.33294226</v>
      </c>
      <c r="J7" s="179">
        <v>0</v>
      </c>
      <c r="K7" s="179" t="s">
        <v>659</v>
      </c>
      <c r="L7" s="179">
        <v>0</v>
      </c>
      <c r="M7" s="179">
        <v>5328.71</v>
      </c>
      <c r="N7" s="179">
        <f>O7/M7*10000</f>
        <v>6200</v>
      </c>
      <c r="O7" s="205">
        <f>33038002/10000</f>
        <v>3303.8002</v>
      </c>
      <c r="P7" s="205">
        <f>J7+M7</f>
        <v>5328.71</v>
      </c>
      <c r="Q7" s="206">
        <f>L7+O7</f>
        <v>3303.8002</v>
      </c>
      <c r="R7" s="179">
        <f>Q7/P7*10000</f>
        <v>6200</v>
      </c>
      <c r="S7" s="104">
        <f>C7*D7/10000</f>
        <v>3303.8002</v>
      </c>
      <c r="V7" s="104" t="s">
        <v>660</v>
      </c>
    </row>
    <row r="8" ht="23.25" customHeight="1" spans="1:23">
      <c r="A8" s="115" t="str">
        <f>经济指标!B10</f>
        <v>地上部分2</v>
      </c>
      <c r="B8" s="115" t="str">
        <f>经济指标!C10</f>
        <v>洋房</v>
      </c>
      <c r="C8" s="117">
        <f>经济指标!E10</f>
        <v>56338.32</v>
      </c>
      <c r="D8" s="117">
        <v>6279</v>
      </c>
      <c r="E8" s="117">
        <f>C8*D8/10000</f>
        <v>35374.831128</v>
      </c>
      <c r="F8" s="178">
        <f>E8/$E$28</f>
        <v>0.500842953707245</v>
      </c>
      <c r="G8" s="179"/>
      <c r="H8" s="117">
        <f t="shared" ref="H8:H28" si="0">E8*$E$2</f>
        <v>1306.74626186832</v>
      </c>
      <c r="I8" s="117">
        <f t="shared" ref="I8:I28" si="1">E8*$E$3</f>
        <v>399.7355917464</v>
      </c>
      <c r="J8" s="179">
        <v>18377.06</v>
      </c>
      <c r="K8" s="206">
        <f>L8/J8*10000</f>
        <v>6419.91096508364</v>
      </c>
      <c r="L8" s="205">
        <f>117979089/10000</f>
        <v>11797.9089</v>
      </c>
      <c r="M8" s="207">
        <f>C8-J8</f>
        <v>37961.26</v>
      </c>
      <c r="N8" s="206">
        <f t="shared" ref="N8:N9" si="2">O8/M8*10000</f>
        <v>6770.60932645545</v>
      </c>
      <c r="O8" s="205">
        <f>257020861/10000</f>
        <v>25702.0861</v>
      </c>
      <c r="P8" s="205">
        <f>J8+M8</f>
        <v>56338.32</v>
      </c>
      <c r="Q8" s="206">
        <f t="shared" ref="Q8:Q9" si="3">L8+O8</f>
        <v>37499.995</v>
      </c>
      <c r="R8" s="206">
        <f t="shared" ref="R8:R9" si="4">Q8/P8*10000</f>
        <v>6656.2146333082</v>
      </c>
      <c r="S8" s="104">
        <f t="shared" ref="S8:S17" si="5">C8*D8/10000</f>
        <v>35374.831128</v>
      </c>
      <c r="W8" s="104">
        <f>W7*3000</f>
        <v>0</v>
      </c>
    </row>
    <row r="9" ht="23.25" customHeight="1" spans="1:19">
      <c r="A9" s="115" t="str">
        <f>经济指标!B11</f>
        <v>地上部分3</v>
      </c>
      <c r="B9" s="115" t="str">
        <f>经济指标!C11</f>
        <v>装配式</v>
      </c>
      <c r="C9" s="117">
        <f>经济指标!E11</f>
        <v>32304.18</v>
      </c>
      <c r="D9" s="117">
        <v>7350</v>
      </c>
      <c r="E9" s="117">
        <f>C9*D9/10000</f>
        <v>23743.5723</v>
      </c>
      <c r="F9" s="178">
        <f>E9/$E$28</f>
        <v>0.336165587314448</v>
      </c>
      <c r="G9" s="179"/>
      <c r="H9" s="117">
        <f t="shared" si="0"/>
        <v>877.087560762</v>
      </c>
      <c r="I9" s="117">
        <f t="shared" si="1"/>
        <v>268.30236699</v>
      </c>
      <c r="J9" s="179">
        <v>3725.08</v>
      </c>
      <c r="K9" s="206">
        <f>L9/J9*10000</f>
        <v>7149.15464902767</v>
      </c>
      <c r="L9" s="205">
        <f>26631173/10000</f>
        <v>2663.1173</v>
      </c>
      <c r="M9" s="207">
        <f>C9-J9</f>
        <v>28579.1</v>
      </c>
      <c r="N9" s="206">
        <f t="shared" si="2"/>
        <v>7837.84338205192</v>
      </c>
      <c r="O9" s="205">
        <f>223998509.8/10000</f>
        <v>22399.85098</v>
      </c>
      <c r="P9" s="205">
        <f>J9+M9</f>
        <v>32304.18</v>
      </c>
      <c r="Q9" s="206">
        <f t="shared" si="3"/>
        <v>25062.96828</v>
      </c>
      <c r="R9" s="206">
        <f t="shared" si="4"/>
        <v>7758.42887205309</v>
      </c>
      <c r="S9" s="104">
        <f t="shared" si="5"/>
        <v>23743.5723</v>
      </c>
    </row>
    <row r="10" ht="23.25" customHeight="1" spans="1:19">
      <c r="A10" s="115" t="str">
        <f>经济指标!B12</f>
        <v>地上部分4</v>
      </c>
      <c r="B10" s="115" t="str">
        <f>经济指标!C12</f>
        <v>别墅</v>
      </c>
      <c r="C10" s="117">
        <f>经济指标!E12</f>
        <v>0</v>
      </c>
      <c r="D10" s="117"/>
      <c r="E10" s="117">
        <f t="shared" ref="E8:E17" si="6">C10*D10/10000</f>
        <v>0</v>
      </c>
      <c r="F10" s="178">
        <f t="shared" ref="F10:F13" si="7">E10/$E$28</f>
        <v>0</v>
      </c>
      <c r="G10" s="179"/>
      <c r="H10" s="117">
        <f t="shared" ref="H10:H13" si="8">E10*$E$2</f>
        <v>0</v>
      </c>
      <c r="I10" s="117">
        <f t="shared" ref="I10:I13" si="9">E10*$E$3</f>
        <v>0</v>
      </c>
      <c r="J10" s="179"/>
      <c r="K10" s="179"/>
      <c r="L10" s="205"/>
      <c r="M10" s="179"/>
      <c r="N10" s="179"/>
      <c r="O10" s="179"/>
      <c r="P10" s="179"/>
      <c r="Q10" s="179"/>
      <c r="R10" s="179">
        <f t="shared" ref="R10:R17" si="10">E10-Q10</f>
        <v>0</v>
      </c>
      <c r="S10" s="104">
        <f t="shared" si="5"/>
        <v>0</v>
      </c>
    </row>
    <row r="11" ht="23.25" customHeight="1" spans="1:19">
      <c r="A11" s="115" t="str">
        <f>经济指标!B13</f>
        <v>地上部分5</v>
      </c>
      <c r="B11" s="115" t="str">
        <f>经济指标!C13</f>
        <v>商业</v>
      </c>
      <c r="C11" s="117">
        <f>经济指标!E13</f>
        <v>0</v>
      </c>
      <c r="D11" s="117">
        <v>0</v>
      </c>
      <c r="E11" s="117">
        <f t="shared" si="6"/>
        <v>0</v>
      </c>
      <c r="F11" s="178">
        <f t="shared" si="7"/>
        <v>0</v>
      </c>
      <c r="G11" s="179"/>
      <c r="H11" s="117">
        <f t="shared" si="8"/>
        <v>0</v>
      </c>
      <c r="I11" s="117">
        <f t="shared" si="9"/>
        <v>0</v>
      </c>
      <c r="J11" s="179"/>
      <c r="K11" s="179"/>
      <c r="L11" s="179"/>
      <c r="M11" s="179"/>
      <c r="N11" s="179"/>
      <c r="O11" s="179"/>
      <c r="P11" s="179"/>
      <c r="Q11" s="179"/>
      <c r="R11" s="179">
        <f t="shared" si="10"/>
        <v>0</v>
      </c>
      <c r="S11" s="104">
        <f t="shared" si="5"/>
        <v>0</v>
      </c>
    </row>
    <row r="12" ht="23.25" customHeight="1" spans="1:19">
      <c r="A12" s="115" t="str">
        <f>经济指标!B14</f>
        <v>地上部分6</v>
      </c>
      <c r="B12" s="115" t="str">
        <f>经济指标!C14</f>
        <v>办公</v>
      </c>
      <c r="C12" s="117">
        <f>经济指标!E14</f>
        <v>0</v>
      </c>
      <c r="D12" s="117"/>
      <c r="E12" s="117">
        <f t="shared" si="6"/>
        <v>0</v>
      </c>
      <c r="F12" s="178">
        <f t="shared" si="7"/>
        <v>0</v>
      </c>
      <c r="G12" s="179"/>
      <c r="H12" s="117">
        <f t="shared" si="8"/>
        <v>0</v>
      </c>
      <c r="I12" s="117">
        <f t="shared" si="9"/>
        <v>0</v>
      </c>
      <c r="J12" s="179"/>
      <c r="K12" s="179"/>
      <c r="L12" s="179"/>
      <c r="M12" s="179"/>
      <c r="N12" s="179"/>
      <c r="O12" s="179"/>
      <c r="P12" s="179"/>
      <c r="Q12" s="179"/>
      <c r="R12" s="179">
        <f t="shared" si="10"/>
        <v>0</v>
      </c>
      <c r="S12" s="104">
        <f t="shared" si="5"/>
        <v>0</v>
      </c>
    </row>
    <row r="13" ht="23.25" customHeight="1" spans="1:19">
      <c r="A13" s="115" t="str">
        <f>经济指标!B15</f>
        <v>地上部分7</v>
      </c>
      <c r="B13" s="115" t="str">
        <f>经济指标!C15</f>
        <v>小高层</v>
      </c>
      <c r="C13" s="117">
        <f>经济指标!E15</f>
        <v>0</v>
      </c>
      <c r="D13" s="117">
        <v>0</v>
      </c>
      <c r="E13" s="117">
        <f t="shared" si="6"/>
        <v>0</v>
      </c>
      <c r="F13" s="178">
        <f t="shared" si="7"/>
        <v>0</v>
      </c>
      <c r="G13" s="179"/>
      <c r="H13" s="117">
        <f t="shared" si="8"/>
        <v>0</v>
      </c>
      <c r="I13" s="117">
        <f t="shared" si="9"/>
        <v>0</v>
      </c>
      <c r="J13" s="179"/>
      <c r="K13" s="179"/>
      <c r="L13" s="179"/>
      <c r="M13" s="179"/>
      <c r="N13" s="179"/>
      <c r="O13" s="179"/>
      <c r="P13" s="179"/>
      <c r="Q13" s="179"/>
      <c r="R13" s="179">
        <f t="shared" si="10"/>
        <v>0</v>
      </c>
      <c r="S13" s="104">
        <f t="shared" si="5"/>
        <v>0</v>
      </c>
    </row>
    <row r="14" ht="23.25" customHeight="1" spans="1:19">
      <c r="A14" s="115" t="str">
        <f>经济指标!B16</f>
        <v>地上部分8</v>
      </c>
      <c r="B14" s="115" t="str">
        <f>经济指标!C16</f>
        <v>社区服务中心</v>
      </c>
      <c r="C14" s="117">
        <f>经济指标!E16</f>
        <v>0</v>
      </c>
      <c r="D14" s="117">
        <v>0</v>
      </c>
      <c r="E14" s="117">
        <f t="shared" si="6"/>
        <v>0</v>
      </c>
      <c r="F14" s="178">
        <f t="shared" ref="F14:F19" si="11">E14/$E$28</f>
        <v>0</v>
      </c>
      <c r="G14" s="179"/>
      <c r="H14" s="117">
        <f t="shared" si="0"/>
        <v>0</v>
      </c>
      <c r="I14" s="117">
        <f t="shared" si="1"/>
        <v>0</v>
      </c>
      <c r="J14" s="179"/>
      <c r="K14" s="179"/>
      <c r="L14" s="179"/>
      <c r="M14" s="179"/>
      <c r="N14" s="179"/>
      <c r="O14" s="179"/>
      <c r="P14" s="179"/>
      <c r="Q14" s="179"/>
      <c r="R14" s="179">
        <f t="shared" si="10"/>
        <v>0</v>
      </c>
      <c r="S14" s="104">
        <f t="shared" si="5"/>
        <v>0</v>
      </c>
    </row>
    <row r="15" ht="23.25" customHeight="1" spans="1:19">
      <c r="A15" s="115" t="str">
        <f>经济指标!B17</f>
        <v>地上部分9</v>
      </c>
      <c r="B15" s="115" t="str">
        <f>经济指标!C17</f>
        <v>幼儿园</v>
      </c>
      <c r="C15" s="117">
        <f>经济指标!E17</f>
        <v>0</v>
      </c>
      <c r="D15" s="117"/>
      <c r="E15" s="117">
        <f t="shared" si="6"/>
        <v>0</v>
      </c>
      <c r="F15" s="178">
        <f t="shared" si="11"/>
        <v>0</v>
      </c>
      <c r="G15" s="179"/>
      <c r="H15" s="117">
        <f t="shared" si="0"/>
        <v>0</v>
      </c>
      <c r="I15" s="117">
        <f t="shared" si="1"/>
        <v>0</v>
      </c>
      <c r="J15" s="179"/>
      <c r="K15" s="179"/>
      <c r="L15" s="179"/>
      <c r="M15" s="179"/>
      <c r="N15" s="179"/>
      <c r="O15" s="179"/>
      <c r="P15" s="179"/>
      <c r="Q15" s="179"/>
      <c r="R15" s="179">
        <f t="shared" si="10"/>
        <v>0</v>
      </c>
      <c r="S15" s="104">
        <f t="shared" si="5"/>
        <v>0</v>
      </c>
    </row>
    <row r="16" ht="23.25" customHeight="1" spans="1:19">
      <c r="A16" s="115" t="str">
        <f>经济指标!B18</f>
        <v>地上部分10</v>
      </c>
      <c r="B16" s="115" t="str">
        <f>经济指标!C18</f>
        <v>配套</v>
      </c>
      <c r="C16" s="117">
        <f>经济指标!E18</f>
        <v>587.25</v>
      </c>
      <c r="D16" s="117">
        <v>0</v>
      </c>
      <c r="E16" s="117">
        <f t="shared" si="6"/>
        <v>0</v>
      </c>
      <c r="F16" s="178">
        <f t="shared" si="11"/>
        <v>0</v>
      </c>
      <c r="G16" s="179"/>
      <c r="H16" s="117">
        <f t="shared" si="0"/>
        <v>0</v>
      </c>
      <c r="I16" s="117">
        <f t="shared" si="1"/>
        <v>0</v>
      </c>
      <c r="J16" s="179"/>
      <c r="K16" s="179"/>
      <c r="L16" s="179"/>
      <c r="M16" s="179"/>
      <c r="N16" s="179"/>
      <c r="O16" s="179"/>
      <c r="P16" s="179"/>
      <c r="Q16" s="179"/>
      <c r="R16" s="179">
        <f t="shared" si="10"/>
        <v>0</v>
      </c>
      <c r="S16" s="104">
        <f t="shared" si="5"/>
        <v>0</v>
      </c>
    </row>
    <row r="17" ht="23.25" customHeight="1" spans="1:19">
      <c r="A17" s="115" t="str">
        <f>经济指标!B19</f>
        <v>地上部分11</v>
      </c>
      <c r="B17" s="115" t="str">
        <f>经济指标!C19</f>
        <v>社区卫生服务站</v>
      </c>
      <c r="C17" s="117">
        <f>经济指标!E19</f>
        <v>0</v>
      </c>
      <c r="D17" s="117">
        <v>0</v>
      </c>
      <c r="E17" s="117">
        <f t="shared" si="6"/>
        <v>0</v>
      </c>
      <c r="F17" s="178">
        <f t="shared" si="11"/>
        <v>0</v>
      </c>
      <c r="G17" s="179"/>
      <c r="H17" s="117">
        <f t="shared" si="0"/>
        <v>0</v>
      </c>
      <c r="I17" s="117">
        <f t="shared" si="1"/>
        <v>0</v>
      </c>
      <c r="J17" s="179"/>
      <c r="K17" s="179"/>
      <c r="L17" s="179"/>
      <c r="M17" s="179"/>
      <c r="N17" s="179"/>
      <c r="O17" s="179"/>
      <c r="P17" s="179"/>
      <c r="Q17" s="179"/>
      <c r="R17" s="179">
        <f t="shared" si="10"/>
        <v>0</v>
      </c>
      <c r="S17" s="104">
        <f t="shared" si="5"/>
        <v>0</v>
      </c>
    </row>
    <row r="18" ht="23.25" customHeight="1" spans="1:18">
      <c r="A18" s="180" t="s">
        <v>661</v>
      </c>
      <c r="B18" s="181"/>
      <c r="C18" s="182">
        <f>SUM(C7:C17)</f>
        <v>94558.46</v>
      </c>
      <c r="D18" s="183">
        <f>E18*10000/C18</f>
        <v>6601.44038174903</v>
      </c>
      <c r="E18" s="182">
        <f>SUM(E7:E17)</f>
        <v>62422.203628</v>
      </c>
      <c r="F18" s="184">
        <f t="shared" si="11"/>
        <v>0.883784313452642</v>
      </c>
      <c r="G18" s="182">
        <f t="shared" ref="G18" si="12">SUM(G7:G17)</f>
        <v>0</v>
      </c>
      <c r="H18" s="182">
        <f t="shared" si="0"/>
        <v>2305.87620201832</v>
      </c>
      <c r="I18" s="182">
        <f t="shared" si="1"/>
        <v>705.3709009964</v>
      </c>
      <c r="J18" s="182">
        <f>SUM(J7:J17)</f>
        <v>22102.14</v>
      </c>
      <c r="K18" s="182">
        <f t="shared" ref="K18:R18" si="13">SUM(K7:K17)</f>
        <v>13569.0656141113</v>
      </c>
      <c r="L18" s="182">
        <f t="shared" si="13"/>
        <v>14461.0262</v>
      </c>
      <c r="M18" s="182">
        <f t="shared" si="13"/>
        <v>71869.07</v>
      </c>
      <c r="N18" s="182">
        <f t="shared" si="13"/>
        <v>20808.4527085074</v>
      </c>
      <c r="O18" s="182">
        <f t="shared" si="13"/>
        <v>51405.73728</v>
      </c>
      <c r="P18" s="182">
        <f t="shared" si="13"/>
        <v>93971.21</v>
      </c>
      <c r="Q18" s="182">
        <f t="shared" si="13"/>
        <v>65866.76348</v>
      </c>
      <c r="R18" s="182">
        <f t="shared" si="13"/>
        <v>20614.6435053613</v>
      </c>
    </row>
    <row r="19" ht="32" customHeight="1" spans="1:19">
      <c r="A19" s="112" t="str">
        <f>经济指标!B21</f>
        <v>地下部分1</v>
      </c>
      <c r="B19" s="185" t="s">
        <v>662</v>
      </c>
      <c r="C19" s="186">
        <v>4233.97</v>
      </c>
      <c r="D19" s="187">
        <v>3000</v>
      </c>
      <c r="E19" s="187">
        <f>C19*D19/10000</f>
        <v>1270.191</v>
      </c>
      <c r="F19" s="188">
        <f t="shared" si="11"/>
        <v>0.0179835830144449</v>
      </c>
      <c r="G19" s="112"/>
      <c r="H19" s="118">
        <f t="shared" si="0"/>
        <v>46.92085554</v>
      </c>
      <c r="I19" s="118">
        <f t="shared" si="1"/>
        <v>14.3531583</v>
      </c>
      <c r="J19" s="179"/>
      <c r="K19" s="179"/>
      <c r="L19" s="179"/>
      <c r="M19" s="179"/>
      <c r="N19" s="179"/>
      <c r="O19" s="179"/>
      <c r="P19" s="179"/>
      <c r="Q19" s="179"/>
      <c r="R19" s="179">
        <f>E19-Q19</f>
        <v>1270.191</v>
      </c>
      <c r="S19" s="209">
        <f>C19*D19/10000</f>
        <v>1270.191</v>
      </c>
    </row>
    <row r="20" ht="32" customHeight="1" spans="1:19">
      <c r="A20" s="112" t="s">
        <v>663</v>
      </c>
      <c r="B20" s="185" t="s">
        <v>664</v>
      </c>
      <c r="C20" s="186">
        <v>2421.97</v>
      </c>
      <c r="D20" s="187">
        <v>3000</v>
      </c>
      <c r="E20" s="187">
        <f>C20*D20/10000</f>
        <v>726.591</v>
      </c>
      <c r="F20" s="188">
        <f t="shared" ref="F20:F28" si="14">E20/$E$28</f>
        <v>0.0102872005596391</v>
      </c>
      <c r="G20" s="112"/>
      <c r="H20" s="118">
        <f t="shared" si="0"/>
        <v>26.84027154</v>
      </c>
      <c r="I20" s="118">
        <f t="shared" si="1"/>
        <v>8.2104783</v>
      </c>
      <c r="J20" s="179"/>
      <c r="K20" s="179"/>
      <c r="L20" s="179"/>
      <c r="M20" s="179"/>
      <c r="N20" s="179"/>
      <c r="O20" s="179"/>
      <c r="P20" s="179"/>
      <c r="Q20" s="179"/>
      <c r="R20" s="179"/>
      <c r="S20" s="209">
        <f>C20*D20/10000</f>
        <v>726.591</v>
      </c>
    </row>
    <row r="21" ht="36.95" customHeight="1" spans="1:19">
      <c r="A21" s="112" t="str">
        <f>经济指标!B22</f>
        <v>地下部分2</v>
      </c>
      <c r="B21" s="112" t="str">
        <f>经济指标!C22</f>
        <v>人防车位</v>
      </c>
      <c r="C21" s="189">
        <f>经济指标!G22</f>
        <v>160</v>
      </c>
      <c r="D21" s="190">
        <v>7.48</v>
      </c>
      <c r="E21" s="118">
        <f t="shared" ref="E21:E26" si="15">C21*D21</f>
        <v>1196.8</v>
      </c>
      <c r="F21" s="188">
        <f t="shared" si="14"/>
        <v>0.0169445005921847</v>
      </c>
      <c r="G21" s="112"/>
      <c r="H21" s="118">
        <f t="shared" si="0"/>
        <v>44.209792</v>
      </c>
      <c r="I21" s="118">
        <f t="shared" si="1"/>
        <v>13.52384</v>
      </c>
      <c r="J21" s="179"/>
      <c r="K21" s="179"/>
      <c r="L21" s="179"/>
      <c r="M21" s="179"/>
      <c r="N21" s="179">
        <v>74800</v>
      </c>
      <c r="O21" s="179">
        <f>N21*C21/10000</f>
        <v>1196.8</v>
      </c>
      <c r="P21" s="179"/>
      <c r="Q21" s="179">
        <f>O21</f>
        <v>1196.8</v>
      </c>
      <c r="R21" s="179">
        <f>Q21-E21</f>
        <v>0</v>
      </c>
      <c r="S21" s="104">
        <f t="shared" ref="S21:S26" si="16">C21*D21</f>
        <v>1196.8</v>
      </c>
    </row>
    <row r="22" ht="36.95" customHeight="1" spans="1:19">
      <c r="A22" s="112" t="str">
        <f>经济指标!B23</f>
        <v>地下部分3</v>
      </c>
      <c r="B22" s="112" t="str">
        <f>经济指标!C23</f>
        <v>非人防车位</v>
      </c>
      <c r="C22" s="189">
        <v>535</v>
      </c>
      <c r="D22" s="190">
        <v>7.48</v>
      </c>
      <c r="E22" s="118">
        <f t="shared" si="15"/>
        <v>4001.8</v>
      </c>
      <c r="F22" s="188">
        <f t="shared" si="14"/>
        <v>0.0566581738551177</v>
      </c>
      <c r="G22" s="112"/>
      <c r="H22" s="118">
        <f t="shared" si="0"/>
        <v>147.826492</v>
      </c>
      <c r="I22" s="118">
        <f t="shared" si="1"/>
        <v>45.22034</v>
      </c>
      <c r="J22" s="179"/>
      <c r="K22" s="179"/>
      <c r="L22" s="179"/>
      <c r="M22" s="179"/>
      <c r="N22" s="179">
        <v>74800</v>
      </c>
      <c r="O22" s="179">
        <f>N22*C22/10000</f>
        <v>4001.8</v>
      </c>
      <c r="P22" s="179"/>
      <c r="Q22" s="179">
        <f>O22</f>
        <v>4001.8</v>
      </c>
      <c r="R22" s="179">
        <f>E22-Q22</f>
        <v>0</v>
      </c>
      <c r="S22" s="104">
        <f t="shared" si="16"/>
        <v>4001.8</v>
      </c>
    </row>
    <row r="23" ht="36.95" customHeight="1" spans="1:19">
      <c r="A23" s="112" t="s">
        <v>665</v>
      </c>
      <c r="B23" s="185" t="s">
        <v>666</v>
      </c>
      <c r="C23" s="191">
        <v>57</v>
      </c>
      <c r="D23" s="192">
        <v>9</v>
      </c>
      <c r="E23" s="118">
        <f t="shared" si="15"/>
        <v>513</v>
      </c>
      <c r="F23" s="188">
        <f t="shared" si="14"/>
        <v>0.00726314238284656</v>
      </c>
      <c r="G23" s="185"/>
      <c r="H23" s="118">
        <f t="shared" si="0"/>
        <v>18.95022</v>
      </c>
      <c r="I23" s="118">
        <f t="shared" si="1"/>
        <v>5.7969</v>
      </c>
      <c r="J23" s="179"/>
      <c r="K23" s="179"/>
      <c r="L23" s="179"/>
      <c r="M23" s="179"/>
      <c r="N23" s="179"/>
      <c r="O23" s="179"/>
      <c r="P23" s="179"/>
      <c r="Q23" s="179"/>
      <c r="R23" s="179"/>
      <c r="S23" s="104">
        <f t="shared" si="16"/>
        <v>513</v>
      </c>
    </row>
    <row r="24" ht="36.95" customHeight="1" spans="1:19">
      <c r="A24" s="112" t="s">
        <v>667</v>
      </c>
      <c r="B24" s="185" t="s">
        <v>668</v>
      </c>
      <c r="C24" s="191">
        <v>40</v>
      </c>
      <c r="D24" s="192">
        <v>8</v>
      </c>
      <c r="E24" s="118">
        <f t="shared" si="15"/>
        <v>320</v>
      </c>
      <c r="F24" s="188">
        <f t="shared" si="14"/>
        <v>0.00453061513160019</v>
      </c>
      <c r="G24" s="185"/>
      <c r="H24" s="118">
        <f t="shared" si="0"/>
        <v>11.8208</v>
      </c>
      <c r="I24" s="118">
        <f t="shared" si="1"/>
        <v>3.616</v>
      </c>
      <c r="J24" s="179"/>
      <c r="K24" s="179"/>
      <c r="L24" s="179"/>
      <c r="M24" s="179"/>
      <c r="N24" s="179"/>
      <c r="O24" s="179"/>
      <c r="P24" s="179"/>
      <c r="Q24" s="179"/>
      <c r="R24" s="179"/>
      <c r="S24" s="104">
        <f t="shared" si="16"/>
        <v>320</v>
      </c>
    </row>
    <row r="25" ht="36.95" customHeight="1" spans="1:19">
      <c r="A25" s="112" t="s">
        <v>669</v>
      </c>
      <c r="B25" s="185" t="s">
        <v>670</v>
      </c>
      <c r="C25" s="191">
        <v>36</v>
      </c>
      <c r="D25" s="192">
        <v>5</v>
      </c>
      <c r="E25" s="118">
        <f t="shared" si="15"/>
        <v>180</v>
      </c>
      <c r="F25" s="188">
        <f t="shared" si="14"/>
        <v>0.00254847101152511</v>
      </c>
      <c r="G25" s="185"/>
      <c r="H25" s="118">
        <f t="shared" si="0"/>
        <v>6.6492</v>
      </c>
      <c r="I25" s="118">
        <f t="shared" si="1"/>
        <v>2.034</v>
      </c>
      <c r="J25" s="179"/>
      <c r="K25" s="179"/>
      <c r="L25" s="179"/>
      <c r="M25" s="179"/>
      <c r="N25" s="179"/>
      <c r="O25" s="179"/>
      <c r="P25" s="179"/>
      <c r="Q25" s="179"/>
      <c r="R25" s="179"/>
      <c r="S25" s="104">
        <f t="shared" si="16"/>
        <v>180</v>
      </c>
    </row>
    <row r="26" ht="36.95" customHeight="1" spans="1:19">
      <c r="A26" s="112" t="s">
        <v>671</v>
      </c>
      <c r="B26" s="185" t="s">
        <v>672</v>
      </c>
      <c r="C26" s="191">
        <v>30</v>
      </c>
      <c r="D26" s="192">
        <v>0</v>
      </c>
      <c r="E26" s="118">
        <f t="shared" si="15"/>
        <v>0</v>
      </c>
      <c r="F26" s="188">
        <f t="shared" si="14"/>
        <v>0</v>
      </c>
      <c r="G26" s="185"/>
      <c r="H26" s="118">
        <f t="shared" si="0"/>
        <v>0</v>
      </c>
      <c r="I26" s="118">
        <f t="shared" si="1"/>
        <v>0</v>
      </c>
      <c r="J26" s="179"/>
      <c r="K26" s="179"/>
      <c r="L26" s="179"/>
      <c r="M26" s="179"/>
      <c r="N26" s="179"/>
      <c r="O26" s="179"/>
      <c r="P26" s="179"/>
      <c r="Q26" s="179"/>
      <c r="R26" s="179"/>
      <c r="S26" s="104">
        <f t="shared" si="16"/>
        <v>0</v>
      </c>
    </row>
    <row r="27" ht="23.25" customHeight="1" spans="1:18">
      <c r="A27" s="193" t="s">
        <v>673</v>
      </c>
      <c r="B27" s="194"/>
      <c r="C27" s="182">
        <f>经济指标!E20</f>
        <v>39358.51</v>
      </c>
      <c r="D27" s="195">
        <f>E27*10000/C27</f>
        <v>2085.54185613226</v>
      </c>
      <c r="E27" s="182">
        <f>SUM(E19:E26)</f>
        <v>8208.382</v>
      </c>
      <c r="F27" s="184">
        <f t="shared" si="14"/>
        <v>0.116215686547358</v>
      </c>
      <c r="G27" s="196"/>
      <c r="H27" s="182">
        <f t="shared" si="0"/>
        <v>303.21763108</v>
      </c>
      <c r="I27" s="182">
        <f t="shared" si="1"/>
        <v>92.7547166</v>
      </c>
      <c r="J27" s="182">
        <f>SUM(J19:J22)</f>
        <v>0</v>
      </c>
      <c r="K27" s="182">
        <f t="shared" ref="K27:R27" si="17">SUM(K19:K22)</f>
        <v>0</v>
      </c>
      <c r="L27" s="182">
        <f t="shared" si="17"/>
        <v>0</v>
      </c>
      <c r="M27" s="182">
        <f t="shared" si="17"/>
        <v>0</v>
      </c>
      <c r="N27" s="182"/>
      <c r="O27" s="182">
        <f>SUM(O19:O22)</f>
        <v>5198.6</v>
      </c>
      <c r="P27" s="182">
        <f t="shared" si="17"/>
        <v>0</v>
      </c>
      <c r="Q27" s="182">
        <f t="shared" si="17"/>
        <v>5198.6</v>
      </c>
      <c r="R27" s="182">
        <f t="shared" si="17"/>
        <v>1270.191</v>
      </c>
    </row>
    <row r="28" ht="23.25" customHeight="1" spans="1:19">
      <c r="A28" s="197" t="s">
        <v>113</v>
      </c>
      <c r="B28" s="198"/>
      <c r="C28" s="199">
        <f>C18+C27</f>
        <v>133916.97</v>
      </c>
      <c r="D28" s="200">
        <f>E28*10000/C28</f>
        <v>5274.20726648759</v>
      </c>
      <c r="E28" s="199">
        <f>E18+E27</f>
        <v>70630.585628</v>
      </c>
      <c r="F28" s="201">
        <f t="shared" si="14"/>
        <v>1</v>
      </c>
      <c r="G28" s="202"/>
      <c r="H28" s="199">
        <f t="shared" si="0"/>
        <v>2609.09383309832</v>
      </c>
      <c r="I28" s="199">
        <f t="shared" si="1"/>
        <v>798.1256175964</v>
      </c>
      <c r="J28" s="199">
        <f>J18+J27</f>
        <v>22102.14</v>
      </c>
      <c r="K28" s="199">
        <f t="shared" ref="K28:R28" si="18">K18+K27</f>
        <v>13569.0656141113</v>
      </c>
      <c r="L28" s="199">
        <f t="shared" si="18"/>
        <v>14461.0262</v>
      </c>
      <c r="M28" s="199">
        <f t="shared" si="18"/>
        <v>71869.07</v>
      </c>
      <c r="N28" s="199">
        <f t="shared" si="18"/>
        <v>20808.4527085074</v>
      </c>
      <c r="O28" s="199">
        <f t="shared" si="18"/>
        <v>56604.33728</v>
      </c>
      <c r="P28" s="199">
        <f t="shared" si="18"/>
        <v>93971.21</v>
      </c>
      <c r="Q28" s="199">
        <f t="shared" si="18"/>
        <v>71065.36348</v>
      </c>
      <c r="R28" s="199">
        <f t="shared" si="18"/>
        <v>21884.8345053613</v>
      </c>
      <c r="S28" s="129">
        <f>SUM(S7:S27)</f>
        <v>70630.585628</v>
      </c>
    </row>
    <row r="29" ht="23.25" customHeight="1" spans="1:6">
      <c r="A29" s="203" t="s">
        <v>674</v>
      </c>
      <c r="B29" s="203"/>
      <c r="C29" s="203"/>
      <c r="D29" s="203"/>
      <c r="E29" s="203"/>
      <c r="F29" s="203"/>
    </row>
    <row r="30" customHeight="1" spans="3:8">
      <c r="C30" s="104">
        <f>C22+C23*2+C24*2+C25+C26</f>
        <v>795</v>
      </c>
      <c r="H30" s="104">
        <f>E28*(E2+E3)-H28-I28</f>
        <v>0</v>
      </c>
    </row>
    <row r="31" customHeight="1" spans="8:19">
      <c r="H31" s="128">
        <f>E28*E2</f>
        <v>2609.09383309832</v>
      </c>
      <c r="I31" s="129">
        <f>E28*E3</f>
        <v>798.1256175964</v>
      </c>
      <c r="S31" s="104">
        <f>S28*E2+S28*E3-H28-I28</f>
        <v>0</v>
      </c>
    </row>
  </sheetData>
  <mergeCells count="7">
    <mergeCell ref="D1:F1"/>
    <mergeCell ref="A5:I5"/>
    <mergeCell ref="A18:B18"/>
    <mergeCell ref="A27:B27"/>
    <mergeCell ref="A28:B28"/>
    <mergeCell ref="A29:F29"/>
    <mergeCell ref="C1:C3"/>
  </mergeCells>
  <hyperlinks>
    <hyperlink ref="C1:C3" location="目录!A1" display="返回目录"/>
  </hyperlinks>
  <pageMargins left="0.707638888888889" right="0.707638888888889" top="0.747916666666667" bottom="0.747916666666667" header="0.313888888888889" footer="0.313888888888889"/>
  <pageSetup paperSize="9" orientation="landscape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6" name="Scroll Bar 2" r:id="rId3">
              <controlPr defaultSize="0">
                <anchor moveWithCells="1">
                  <from>
                    <xdr:col>6</xdr:col>
                    <xdr:colOff>57150</xdr:colOff>
                    <xdr:row>6</xdr:row>
                    <xdr:rowOff>28575</xdr:rowOff>
                  </from>
                  <to>
                    <xdr:col>6</xdr:col>
                    <xdr:colOff>1295400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name="Scroll Bar 3" r:id="rId4">
              <controlPr defaultSize="0">
                <anchor moveWithCells="1">
                  <from>
                    <xdr:col>6</xdr:col>
                    <xdr:colOff>57150</xdr:colOff>
                    <xdr:row>7</xdr:row>
                    <xdr:rowOff>38100</xdr:rowOff>
                  </from>
                  <to>
                    <xdr:col>6</xdr:col>
                    <xdr:colOff>1295400</xdr:colOff>
                    <xdr:row>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name="Scroll Bar 4" r:id="rId5">
              <controlPr defaultSize="0">
                <anchor moveWithCells="1">
                  <from>
                    <xdr:col>6</xdr:col>
                    <xdr:colOff>66675</xdr:colOff>
                    <xdr:row>8</xdr:row>
                    <xdr:rowOff>28575</xdr:rowOff>
                  </from>
                  <to>
                    <xdr:col>6</xdr:col>
                    <xdr:colOff>1304925</xdr:colOff>
                    <xdr:row>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name="Scroll Bar 5" r:id="rId6">
              <controlPr defaultSize="0">
                <anchor moveWithCells="1">
                  <from>
                    <xdr:col>6</xdr:col>
                    <xdr:colOff>66675</xdr:colOff>
                    <xdr:row>13</xdr:row>
                    <xdr:rowOff>28575</xdr:rowOff>
                  </from>
                  <to>
                    <xdr:col>6</xdr:col>
                    <xdr:colOff>1304925</xdr:colOff>
                    <xdr:row>13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name="Scroll Bar 6" r:id="rId7">
              <controlPr defaultSize="0">
                <anchor moveWithCells="1">
                  <from>
                    <xdr:col>6</xdr:col>
                    <xdr:colOff>66675</xdr:colOff>
                    <xdr:row>14</xdr:row>
                    <xdr:rowOff>28575</xdr:rowOff>
                  </from>
                  <to>
                    <xdr:col>6</xdr:col>
                    <xdr:colOff>1304925</xdr:colOff>
                    <xdr:row>14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name="Scroll Bar 7" r:id="rId8">
              <controlPr defaultSize="0">
                <anchor moveWithCells="1">
                  <from>
                    <xdr:col>6</xdr:col>
                    <xdr:colOff>57150</xdr:colOff>
                    <xdr:row>15</xdr:row>
                    <xdr:rowOff>19050</xdr:rowOff>
                  </from>
                  <to>
                    <xdr:col>6</xdr:col>
                    <xdr:colOff>1295400</xdr:colOff>
                    <xdr:row>15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name="Scroll Bar 8" r:id="rId9">
              <controlPr defaultSize="0">
                <anchor moveWithCells="1">
                  <from>
                    <xdr:col>6</xdr:col>
                    <xdr:colOff>57150</xdr:colOff>
                    <xdr:row>16</xdr:row>
                    <xdr:rowOff>28575</xdr:rowOff>
                  </from>
                  <to>
                    <xdr:col>6</xdr:col>
                    <xdr:colOff>1295400</xdr:colOff>
                    <xdr:row>16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name="Scroll Bar 10" r:id="rId10">
              <controlPr defaultSize="0">
                <anchor moveWithCells="1">
                  <from>
                    <xdr:col>6</xdr:col>
                    <xdr:colOff>85725</xdr:colOff>
                    <xdr:row>18</xdr:row>
                    <xdr:rowOff>19050</xdr:rowOff>
                  </from>
                  <to>
                    <xdr:col>6</xdr:col>
                    <xdr:colOff>1323975</xdr:colOff>
                    <xdr:row>18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name="Scroll Bar 12" r:id="rId11">
              <controlPr defaultSize="0">
                <anchor moveWithCells="1">
                  <from>
                    <xdr:col>6</xdr:col>
                    <xdr:colOff>85725</xdr:colOff>
                    <xdr:row>20</xdr:row>
                    <xdr:rowOff>38100</xdr:rowOff>
                  </from>
                  <to>
                    <xdr:col>6</xdr:col>
                    <xdr:colOff>1323975</xdr:colOff>
                    <xdr:row>20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" name="Scroll Bar 14" r:id="rId12">
              <controlPr defaultSize="0">
                <anchor moveWithCells="1">
                  <from>
                    <xdr:col>6</xdr:col>
                    <xdr:colOff>66675</xdr:colOff>
                    <xdr:row>21</xdr:row>
                    <xdr:rowOff>9525</xdr:rowOff>
                  </from>
                  <to>
                    <xdr:col>6</xdr:col>
                    <xdr:colOff>1304925</xdr:colOff>
                    <xdr:row>21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" name="Scroll Bar 17" r:id="rId13">
              <controlPr defaultSize="0">
                <anchor moveWithCells="1">
                  <from>
                    <xdr:col>5</xdr:col>
                    <xdr:colOff>38100</xdr:colOff>
                    <xdr:row>1</xdr:row>
                    <xdr:rowOff>9525</xdr:rowOff>
                  </from>
                  <to>
                    <xdr:col>5</xdr:col>
                    <xdr:colOff>1352550</xdr:colOff>
                    <xdr:row>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" name="Scroll Bar 18" r:id="rId14">
              <controlPr defaultSize="0">
                <anchor moveWithCells="1">
                  <from>
                    <xdr:col>5</xdr:col>
                    <xdr:colOff>19050</xdr:colOff>
                    <xdr:row>2</xdr:row>
                    <xdr:rowOff>19050</xdr:rowOff>
                  </from>
                  <to>
                    <xdr:col>5</xdr:col>
                    <xdr:colOff>1343025</xdr:colOff>
                    <xdr:row>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" name="Scroll Bar 20" r:id="rId15">
              <controlPr defaultSize="0">
                <anchor moveWithCells="1">
                  <from>
                    <xdr:col>6</xdr:col>
                    <xdr:colOff>66675</xdr:colOff>
                    <xdr:row>9</xdr:row>
                    <xdr:rowOff>28575</xdr:rowOff>
                  </from>
                  <to>
                    <xdr:col>6</xdr:col>
                    <xdr:colOff>1304925</xdr:colOff>
                    <xdr:row>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5" name="Scroll Bar 21" r:id="rId16">
              <controlPr defaultSize="0">
                <anchor moveWithCells="1">
                  <from>
                    <xdr:col>6</xdr:col>
                    <xdr:colOff>66675</xdr:colOff>
                    <xdr:row>10</xdr:row>
                    <xdr:rowOff>28575</xdr:rowOff>
                  </from>
                  <to>
                    <xdr:col>6</xdr:col>
                    <xdr:colOff>1304925</xdr:colOff>
                    <xdr:row>10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7" name="Scroll Bar 23" r:id="rId17">
              <controlPr defaultSize="0">
                <anchor moveWithCells="1">
                  <from>
                    <xdr:col>6</xdr:col>
                    <xdr:colOff>66675</xdr:colOff>
                    <xdr:row>11</xdr:row>
                    <xdr:rowOff>28575</xdr:rowOff>
                  </from>
                  <to>
                    <xdr:col>6</xdr:col>
                    <xdr:colOff>1304925</xdr:colOff>
                    <xdr:row>11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9" name="Scroll Bar 25" r:id="rId18">
              <controlPr defaultSize="0">
                <anchor moveWithCells="1">
                  <from>
                    <xdr:col>6</xdr:col>
                    <xdr:colOff>66675</xdr:colOff>
                    <xdr:row>12</xdr:row>
                    <xdr:rowOff>28575</xdr:rowOff>
                  </from>
                  <to>
                    <xdr:col>6</xdr:col>
                    <xdr:colOff>1304925</xdr:colOff>
                    <xdr:row>12</xdr:row>
                    <xdr:rowOff>257175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9"/>
  <sheetViews>
    <sheetView topLeftCell="A9" workbookViewId="0">
      <selection activeCell="C19" sqref="C19"/>
    </sheetView>
  </sheetViews>
  <sheetFormatPr defaultColWidth="9" defaultRowHeight="14.25"/>
  <cols>
    <col min="1" max="1" width="11.375" customWidth="1"/>
    <col min="2" max="2" width="17.875" customWidth="1"/>
    <col min="3" max="3" width="14.875" customWidth="1"/>
    <col min="4" max="4" width="16.625" customWidth="1"/>
    <col min="5" max="5" width="23.5" customWidth="1"/>
  </cols>
  <sheetData>
    <row r="1" s="156" customFormat="1" ht="35.25" customHeight="1" spans="1:17">
      <c r="A1" s="62" t="s">
        <v>29</v>
      </c>
      <c r="B1" s="63" t="str">
        <f>目录!C7</f>
        <v>财务中心</v>
      </c>
      <c r="C1" s="64" t="s">
        <v>30</v>
      </c>
      <c r="D1" s="93"/>
      <c r="E1" s="93"/>
      <c r="F1" s="93"/>
      <c r="G1" s="93"/>
      <c r="P1" s="166"/>
      <c r="Q1" s="166"/>
    </row>
    <row r="2" s="156" customFormat="1" ht="35.25" customHeight="1" spans="1:17">
      <c r="A2" s="62" t="s">
        <v>3</v>
      </c>
      <c r="B2" s="63" t="str">
        <f>目录!D7</f>
        <v>刘晓旭</v>
      </c>
      <c r="C2" s="64"/>
      <c r="D2" s="93"/>
      <c r="E2" s="93"/>
      <c r="F2" s="93"/>
      <c r="G2" s="93"/>
      <c r="P2" s="166"/>
      <c r="Q2" s="166"/>
    </row>
    <row r="3" s="156" customFormat="1" ht="35.25" customHeight="1" spans="1:17">
      <c r="A3" s="62" t="s">
        <v>4</v>
      </c>
      <c r="B3" s="65" t="str">
        <f>目录!E7</f>
        <v>2021.9.7</v>
      </c>
      <c r="C3" s="64"/>
      <c r="D3" s="93"/>
      <c r="E3" s="93"/>
      <c r="F3" s="93"/>
      <c r="G3" s="93"/>
      <c r="P3" s="166"/>
      <c r="Q3" s="166"/>
    </row>
    <row r="4" ht="34.5" customHeight="1" spans="1:5">
      <c r="A4" s="69" t="str">
        <f>项目概况!B6&amp;"项目资金筹措表"</f>
        <v>栾川S1地块项目资金筹措表</v>
      </c>
      <c r="B4" s="69"/>
      <c r="C4" s="69"/>
      <c r="D4" s="69"/>
      <c r="E4" s="69"/>
    </row>
    <row r="5" ht="25.5" customHeight="1" spans="1:5">
      <c r="A5" s="157" t="s">
        <v>0</v>
      </c>
      <c r="B5" s="157" t="s">
        <v>31</v>
      </c>
      <c r="C5" s="157" t="s">
        <v>652</v>
      </c>
      <c r="D5" s="157" t="s">
        <v>59</v>
      </c>
      <c r="E5" s="158" t="s">
        <v>675</v>
      </c>
    </row>
    <row r="6" ht="26.25" customHeight="1" spans="1:5">
      <c r="A6" s="33">
        <v>1</v>
      </c>
      <c r="B6" s="157" t="s">
        <v>676</v>
      </c>
      <c r="C6" s="78"/>
      <c r="D6" s="75" t="s">
        <v>50</v>
      </c>
      <c r="E6" s="159"/>
    </row>
    <row r="7" ht="26.25" customHeight="1" spans="1:5">
      <c r="A7" s="33">
        <v>2</v>
      </c>
      <c r="B7" s="157" t="s">
        <v>677</v>
      </c>
      <c r="C7" s="78">
        <f>项目概况!B14</f>
        <v>6964.6382526252</v>
      </c>
      <c r="D7" s="75" t="s">
        <v>50</v>
      </c>
      <c r="E7" s="160"/>
    </row>
    <row r="8" ht="26.25" customHeight="1" spans="1:5">
      <c r="A8" s="33">
        <v>3</v>
      </c>
      <c r="B8" s="157" t="s">
        <v>678</v>
      </c>
      <c r="C8" s="80">
        <v>1000</v>
      </c>
      <c r="D8" s="75" t="s">
        <v>50</v>
      </c>
      <c r="E8" s="160"/>
    </row>
    <row r="9" ht="26.25" customHeight="1" spans="1:5">
      <c r="A9" s="33" t="s">
        <v>679</v>
      </c>
      <c r="B9" s="157" t="s">
        <v>680</v>
      </c>
      <c r="C9" s="78">
        <f>C7+C8</f>
        <v>7964.6382526252</v>
      </c>
      <c r="D9" s="75" t="s">
        <v>50</v>
      </c>
      <c r="E9" s="160"/>
    </row>
    <row r="10" ht="26.25" customHeight="1" spans="1:5">
      <c r="A10" s="33">
        <v>4</v>
      </c>
      <c r="B10" s="157" t="s">
        <v>681</v>
      </c>
      <c r="C10" s="75"/>
      <c r="D10" s="75"/>
      <c r="E10" s="160"/>
    </row>
    <row r="11" ht="26.25" customHeight="1" spans="1:5">
      <c r="A11" s="33">
        <v>5</v>
      </c>
      <c r="B11" s="157" t="s">
        <v>682</v>
      </c>
      <c r="C11" s="78">
        <v>0</v>
      </c>
      <c r="D11" s="75" t="s">
        <v>50</v>
      </c>
      <c r="E11" s="160"/>
    </row>
    <row r="12" ht="26.25" customHeight="1" spans="1:5">
      <c r="A12" s="33">
        <v>6</v>
      </c>
      <c r="B12" s="157" t="s">
        <v>683</v>
      </c>
      <c r="C12" s="161">
        <v>0.15</v>
      </c>
      <c r="D12" s="75" t="s">
        <v>684</v>
      </c>
      <c r="E12" s="160"/>
    </row>
    <row r="13" ht="26.25" customHeight="1" spans="1:5">
      <c r="A13" s="33">
        <v>7</v>
      </c>
      <c r="B13" s="157" t="s">
        <v>685</v>
      </c>
      <c r="C13" s="75">
        <v>6</v>
      </c>
      <c r="D13" s="75" t="s">
        <v>686</v>
      </c>
      <c r="E13" s="160"/>
    </row>
    <row r="14" ht="26.25" customHeight="1" spans="1:5">
      <c r="A14" s="33">
        <v>8</v>
      </c>
      <c r="B14" s="157" t="s">
        <v>687</v>
      </c>
      <c r="C14" s="162">
        <f>C11*C12/12*C13</f>
        <v>0</v>
      </c>
      <c r="D14" s="75" t="s">
        <v>50</v>
      </c>
      <c r="E14" s="160"/>
    </row>
    <row r="15" ht="26.25" customHeight="1" spans="1:5">
      <c r="A15" s="33">
        <v>9</v>
      </c>
      <c r="B15" s="157" t="s">
        <v>688</v>
      </c>
      <c r="C15" s="76">
        <f>C9</f>
        <v>7964.6382526252</v>
      </c>
      <c r="D15" s="75"/>
      <c r="E15" s="160"/>
    </row>
    <row r="16" ht="26.25" customHeight="1" spans="1:5">
      <c r="A16" s="33">
        <v>10</v>
      </c>
      <c r="B16" s="157" t="s">
        <v>689</v>
      </c>
      <c r="C16" s="161">
        <v>0.12</v>
      </c>
      <c r="D16" s="75"/>
      <c r="E16" s="160"/>
    </row>
    <row r="17" ht="26.25" customHeight="1" spans="1:5">
      <c r="A17" s="33">
        <v>11</v>
      </c>
      <c r="B17" s="157" t="s">
        <v>690</v>
      </c>
      <c r="C17" s="163">
        <v>15</v>
      </c>
      <c r="D17" s="75" t="s">
        <v>686</v>
      </c>
      <c r="E17" s="160"/>
    </row>
    <row r="18" ht="26.25" customHeight="1" spans="1:5">
      <c r="A18" s="33">
        <v>12</v>
      </c>
      <c r="B18" s="157" t="s">
        <v>691</v>
      </c>
      <c r="C18" s="164">
        <f>C15*C16/12*C17</f>
        <v>1194.69573789378</v>
      </c>
      <c r="D18" s="75" t="s">
        <v>50</v>
      </c>
      <c r="E18" s="160"/>
    </row>
    <row r="19" ht="26.25" customHeight="1" spans="1:5">
      <c r="A19" s="33">
        <v>13</v>
      </c>
      <c r="B19" s="157" t="s">
        <v>692</v>
      </c>
      <c r="C19" s="78">
        <f>C18+C14</f>
        <v>1194.69573789378</v>
      </c>
      <c r="D19" s="75"/>
      <c r="E19" s="165"/>
    </row>
  </sheetData>
  <mergeCells count="3">
    <mergeCell ref="A4:E4"/>
    <mergeCell ref="C1:C3"/>
    <mergeCell ref="E6:E19"/>
  </mergeCells>
  <hyperlinks>
    <hyperlink ref="C1:C3" location="目录!A1" display="返回目录"/>
  </hyperlinks>
  <pageMargins left="0.699305555555556" right="0.699305555555556" top="0.75" bottom="0.75" header="0.3" footer="0.3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41"/>
  <sheetViews>
    <sheetView zoomScale="90" zoomScaleNormal="90" topLeftCell="A2" workbookViewId="0">
      <selection activeCell="J43" sqref="J43"/>
    </sheetView>
  </sheetViews>
  <sheetFormatPr defaultColWidth="9" defaultRowHeight="30" customHeight="1"/>
  <cols>
    <col min="1" max="1" width="12.25" style="104" customWidth="1"/>
    <col min="2" max="2" width="15.125" style="104" customWidth="1"/>
    <col min="3" max="3" width="14.5" style="104" customWidth="1"/>
    <col min="4" max="4" width="15.125" style="104" customWidth="1"/>
    <col min="5" max="5" width="15.375" style="104" customWidth="1"/>
    <col min="6" max="6" width="13.5" style="104" customWidth="1"/>
    <col min="7" max="7" width="14.75" style="104" customWidth="1"/>
    <col min="8" max="8" width="12" style="104" customWidth="1"/>
    <col min="9" max="9" width="10.75" style="104" customWidth="1"/>
    <col min="10" max="10" width="15.375" style="104" customWidth="1"/>
    <col min="11" max="11" width="14.5" style="104" customWidth="1"/>
    <col min="12" max="12" width="16" style="104" customWidth="1"/>
    <col min="13" max="13" width="10" style="104" customWidth="1"/>
    <col min="14" max="14" width="11.875" style="105" customWidth="1"/>
    <col min="15" max="15" width="12.375" style="104" customWidth="1"/>
    <col min="16" max="16" width="13.25" style="104" customWidth="1"/>
    <col min="17" max="17" width="12.875" style="104" customWidth="1"/>
    <col min="18" max="18" width="14.125" style="104" customWidth="1"/>
    <col min="19" max="19" width="16.375" style="104" customWidth="1"/>
    <col min="20" max="16384" width="9" style="104"/>
  </cols>
  <sheetData>
    <row r="1" customFormat="1" ht="21" customHeight="1" spans="1:14">
      <c r="A1" s="62" t="s">
        <v>29</v>
      </c>
      <c r="B1" s="63" t="str">
        <f>目录!C8</f>
        <v>财务中心</v>
      </c>
      <c r="C1" s="64" t="s">
        <v>30</v>
      </c>
      <c r="D1" s="106" t="s">
        <v>693</v>
      </c>
      <c r="E1" s="107">
        <v>0.9</v>
      </c>
      <c r="F1" s="108">
        <v>0.09</v>
      </c>
      <c r="G1" s="109"/>
      <c r="N1" s="130"/>
    </row>
    <row r="2" customFormat="1" ht="21" customHeight="1" spans="1:14">
      <c r="A2" s="62" t="s">
        <v>3</v>
      </c>
      <c r="B2" s="63" t="str">
        <f>目录!D8</f>
        <v>刘晓旭</v>
      </c>
      <c r="C2" s="64"/>
      <c r="D2" s="106" t="s">
        <v>694</v>
      </c>
      <c r="E2" s="107">
        <v>0.5</v>
      </c>
      <c r="F2" s="108">
        <v>0.06</v>
      </c>
      <c r="G2" s="109"/>
      <c r="N2" s="130"/>
    </row>
    <row r="3" customFormat="1" ht="21" customHeight="1" spans="1:14">
      <c r="A3" s="62" t="s">
        <v>4</v>
      </c>
      <c r="B3" s="65" t="str">
        <f>目录!E8</f>
        <v>2021.9.7</v>
      </c>
      <c r="C3" s="64"/>
      <c r="D3" s="106" t="s">
        <v>695</v>
      </c>
      <c r="E3" s="106"/>
      <c r="F3" s="108">
        <v>0.09</v>
      </c>
      <c r="G3" s="109"/>
      <c r="N3" s="130"/>
    </row>
    <row r="4" ht="18.75" spans="1:16">
      <c r="A4" s="69" t="str">
        <f>项目概况!B6&amp;"项目税金计算"</f>
        <v>栾川S1地块项目税金计算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131"/>
    </row>
    <row r="5" ht="27" spans="1:18">
      <c r="A5" s="110" t="s">
        <v>58</v>
      </c>
      <c r="B5" s="110" t="s">
        <v>58</v>
      </c>
      <c r="C5" s="111" t="s">
        <v>60</v>
      </c>
      <c r="D5" s="111" t="s">
        <v>696</v>
      </c>
      <c r="E5" s="111" t="s">
        <v>697</v>
      </c>
      <c r="F5" s="112" t="s">
        <v>616</v>
      </c>
      <c r="G5" s="113" t="s">
        <v>698</v>
      </c>
      <c r="H5" s="114" t="s">
        <v>699</v>
      </c>
      <c r="I5" s="132" t="s">
        <v>700</v>
      </c>
      <c r="J5" s="133" t="s">
        <v>701</v>
      </c>
      <c r="K5" s="134" t="s">
        <v>702</v>
      </c>
      <c r="L5" s="135" t="s">
        <v>703</v>
      </c>
      <c r="M5" s="135" t="s">
        <v>704</v>
      </c>
      <c r="N5" s="136" t="s">
        <v>705</v>
      </c>
      <c r="O5" s="137" t="s">
        <v>706</v>
      </c>
      <c r="P5" s="135" t="s">
        <v>707</v>
      </c>
      <c r="Q5" s="150" t="s">
        <v>708</v>
      </c>
      <c r="R5" s="151" t="s">
        <v>34</v>
      </c>
    </row>
    <row r="6" ht="14.25" spans="1:19">
      <c r="A6" s="115" t="str">
        <f>经济指标!B9</f>
        <v>地上部分1</v>
      </c>
      <c r="B6" s="115" t="str">
        <f>经济指标!C9</f>
        <v>小高层</v>
      </c>
      <c r="C6" s="116">
        <f>经济指标!E9</f>
        <v>5328.71</v>
      </c>
      <c r="D6" s="117">
        <f>预计销售收入及费用情况表!D7</f>
        <v>6200</v>
      </c>
      <c r="E6" s="117">
        <f>E22/C22*10000</f>
        <v>4068.82503326298</v>
      </c>
      <c r="F6" s="118">
        <f>成本测算明细!G212</f>
        <v>388.524373579543</v>
      </c>
      <c r="G6" s="119">
        <f>G22/C22*10000</f>
        <v>145.950279145307</v>
      </c>
      <c r="H6" s="120">
        <f>D6/(1+$F$3)*0.03</f>
        <v>170.642201834862</v>
      </c>
      <c r="I6" s="138">
        <f>G6-H6</f>
        <v>-24.6919226895545</v>
      </c>
      <c r="J6" s="139">
        <f>J22/C22*10000</f>
        <v>17.5140334974369</v>
      </c>
      <c r="K6" s="140">
        <f>(E6-E6/(1+$F$1)*$F$1*$E$1)*1.3</f>
        <v>4896.40164782665</v>
      </c>
      <c r="L6" s="140">
        <f>D6/(1+$F$3)-K6</f>
        <v>791.67174666876</v>
      </c>
      <c r="M6" s="140">
        <f>L6/K6</f>
        <v>0.161684396748816</v>
      </c>
      <c r="N6" s="141">
        <f>N22/C22*10000</f>
        <v>236.44943222374</v>
      </c>
      <c r="O6" s="137">
        <f>D6/(1+$F$3)*0.035</f>
        <v>199.082568807339</v>
      </c>
      <c r="P6" s="142">
        <f>N6-O6</f>
        <v>37.3668634164005</v>
      </c>
      <c r="Q6" s="152">
        <f>N6+J6+G6</f>
        <v>399.913744866484</v>
      </c>
      <c r="R6" s="153">
        <f t="shared" ref="R6:R19" si="0">Q6*C6/10000</f>
        <v>213.102437140748</v>
      </c>
      <c r="S6" s="128"/>
    </row>
    <row r="7" ht="14.25" spans="1:19">
      <c r="A7" s="115" t="str">
        <f>经济指标!B10</f>
        <v>地上部分2</v>
      </c>
      <c r="B7" s="115" t="str">
        <f>经济指标!C10</f>
        <v>洋房</v>
      </c>
      <c r="C7" s="116">
        <f>经济指标!E10</f>
        <v>56338.32</v>
      </c>
      <c r="D7" s="117">
        <f>预计销售收入及费用情况表!H4</f>
        <v>6504.45773462893</v>
      </c>
      <c r="E7" s="117">
        <f>成本测算明细!I192</f>
        <v>3823.55943732857</v>
      </c>
      <c r="F7" s="118">
        <f>成本测算明细!I212</f>
        <v>397.820259933492</v>
      </c>
      <c r="G7" s="119">
        <f t="shared" ref="G7:G19" si="1">G23/C23*10000</f>
        <v>153.117326138379</v>
      </c>
      <c r="H7" s="120">
        <f t="shared" ref="H7:H19" si="2">D7/(1+$F$3)*0.03</f>
        <v>179.021772512723</v>
      </c>
      <c r="I7" s="138">
        <f t="shared" ref="I7:I19" si="3">G7-H7</f>
        <v>-25.9044463743444</v>
      </c>
      <c r="J7" s="139">
        <f t="shared" ref="J7:J19" si="4">J23/C23*10000</f>
        <v>18.3740791366054</v>
      </c>
      <c r="K7" s="140">
        <f t="shared" ref="K7:K19" si="5">(E7-E7/(1+$F$1)*$F$1*$E$1)*1.3</f>
        <v>4601.25037976503</v>
      </c>
      <c r="L7" s="140">
        <f t="shared" ref="L7:L19" si="6">D7/(1+$F$3)-K7</f>
        <v>1366.14203732573</v>
      </c>
      <c r="M7" s="140">
        <f t="shared" ref="M7:M19" si="7">L7/K7</f>
        <v>0.296906693739951</v>
      </c>
      <c r="N7" s="141">
        <f t="shared" ref="N7:N19" si="8">N23/C23*10000</f>
        <v>248.060538431665</v>
      </c>
      <c r="O7" s="137">
        <f>D7/(1+$F$3)*0.035</f>
        <v>208.858734598177</v>
      </c>
      <c r="P7" s="142">
        <f t="shared" ref="P7:P19" si="9">N7-O7</f>
        <v>39.2018038334879</v>
      </c>
      <c r="Q7" s="152">
        <f>N7+J7+G7</f>
        <v>419.551943706649</v>
      </c>
      <c r="R7" s="153">
        <f t="shared" si="0"/>
        <v>2363.68516611672</v>
      </c>
      <c r="S7" s="128"/>
    </row>
    <row r="8" ht="14.25" spans="1:19">
      <c r="A8" s="115" t="str">
        <f>经济指标!B11</f>
        <v>地上部分3</v>
      </c>
      <c r="B8" s="115" t="str">
        <f>经济指标!C11</f>
        <v>装配式</v>
      </c>
      <c r="C8" s="116">
        <f>经济指标!E11</f>
        <v>32304.18</v>
      </c>
      <c r="D8" s="117">
        <f>预计销售收入及费用情况表!D9</f>
        <v>7350</v>
      </c>
      <c r="E8" s="117">
        <f>成本测算明细!K192</f>
        <v>5304.0038432196</v>
      </c>
      <c r="F8" s="118">
        <f>成本测算明细!K212</f>
        <v>471.150696481538</v>
      </c>
      <c r="G8" s="119">
        <f t="shared" si="1"/>
        <v>173.021701890002</v>
      </c>
      <c r="H8" s="120">
        <f t="shared" si="2"/>
        <v>202.293577981651</v>
      </c>
      <c r="I8" s="138">
        <f t="shared" si="3"/>
        <v>-29.2718760916493</v>
      </c>
      <c r="J8" s="139">
        <f t="shared" si="4"/>
        <v>20.7626042268002</v>
      </c>
      <c r="K8" s="140">
        <f t="shared" si="5"/>
        <v>6382.80902857903</v>
      </c>
      <c r="L8" s="140">
        <f t="shared" si="6"/>
        <v>360.310237476014</v>
      </c>
      <c r="M8" s="140">
        <f t="shared" si="7"/>
        <v>0.0564501046267755</v>
      </c>
      <c r="N8" s="141">
        <f t="shared" si="8"/>
        <v>280.306988200723</v>
      </c>
      <c r="O8" s="137">
        <f>D8/(1+$F$3)*0.035</f>
        <v>236.009174311927</v>
      </c>
      <c r="P8" s="142">
        <f t="shared" si="9"/>
        <v>44.2978138887965</v>
      </c>
      <c r="Q8" s="152">
        <f>N8+J8+G8</f>
        <v>474.091294317525</v>
      </c>
      <c r="R8" s="153">
        <f t="shared" si="0"/>
        <v>1531.51305080663</v>
      </c>
      <c r="S8" s="128"/>
    </row>
    <row r="9" ht="14.25" hidden="1" spans="1:19">
      <c r="A9" s="115" t="str">
        <f>经济指标!B12</f>
        <v>地上部分4</v>
      </c>
      <c r="B9" s="115" t="str">
        <f>经济指标!C12</f>
        <v>别墅</v>
      </c>
      <c r="C9" s="116">
        <f>经济指标!E12</f>
        <v>0</v>
      </c>
      <c r="D9" s="117">
        <f>预计销售收入及费用情况表!D10</f>
        <v>0</v>
      </c>
      <c r="E9" s="117">
        <f>成本测算明细!M192</f>
        <v>1471.39386228295</v>
      </c>
      <c r="F9" s="118" t="e">
        <f>成本测算明细!#REF!</f>
        <v>#REF!</v>
      </c>
      <c r="G9" s="119" t="e">
        <f t="shared" si="1"/>
        <v>#DIV/0!</v>
      </c>
      <c r="H9" s="120">
        <f t="shared" si="2"/>
        <v>0</v>
      </c>
      <c r="I9" s="138" t="e">
        <f t="shared" si="3"/>
        <v>#DIV/0!</v>
      </c>
      <c r="J9" s="139" t="e">
        <f t="shared" si="4"/>
        <v>#DIV/0!</v>
      </c>
      <c r="K9" s="140">
        <f t="shared" si="5"/>
        <v>1770.66727445555</v>
      </c>
      <c r="L9" s="140">
        <f t="shared" si="6"/>
        <v>-1770.66727445555</v>
      </c>
      <c r="M9" s="140">
        <f t="shared" si="7"/>
        <v>-1</v>
      </c>
      <c r="N9" s="141" t="e">
        <f t="shared" si="8"/>
        <v>#DIV/0!</v>
      </c>
      <c r="O9" s="137">
        <f>D9/(1+$F$3)*0.045</f>
        <v>0</v>
      </c>
      <c r="P9" s="142" t="e">
        <f t="shared" si="9"/>
        <v>#DIV/0!</v>
      </c>
      <c r="Q9" s="152" t="e">
        <f t="shared" ref="Q9:Q19" si="10">N9+J9+G9</f>
        <v>#DIV/0!</v>
      </c>
      <c r="R9" s="153" t="e">
        <f t="shared" si="0"/>
        <v>#DIV/0!</v>
      </c>
      <c r="S9" s="128"/>
    </row>
    <row r="10" ht="14.25" hidden="1" spans="1:19">
      <c r="A10" s="115" t="str">
        <f>经济指标!B13</f>
        <v>地上部分5</v>
      </c>
      <c r="B10" s="115" t="str">
        <f>经济指标!C13</f>
        <v>商业</v>
      </c>
      <c r="C10" s="116">
        <f>经济指标!E13</f>
        <v>0</v>
      </c>
      <c r="D10" s="117">
        <f>预计销售收入及费用情况表!D11</f>
        <v>0</v>
      </c>
      <c r="E10" s="117" t="e">
        <f>E26/C26*10000</f>
        <v>#DIV/0!</v>
      </c>
      <c r="F10" s="118" t="e">
        <f>成本测算明细!#REF!</f>
        <v>#REF!</v>
      </c>
      <c r="G10" s="119" t="e">
        <f t="shared" si="1"/>
        <v>#DIV/0!</v>
      </c>
      <c r="H10" s="120">
        <f t="shared" si="2"/>
        <v>0</v>
      </c>
      <c r="I10" s="138" t="e">
        <f t="shared" si="3"/>
        <v>#DIV/0!</v>
      </c>
      <c r="J10" s="139" t="e">
        <f t="shared" si="4"/>
        <v>#DIV/0!</v>
      </c>
      <c r="K10" s="140" t="e">
        <f t="shared" si="5"/>
        <v>#DIV/0!</v>
      </c>
      <c r="L10" s="140" t="e">
        <f t="shared" si="6"/>
        <v>#DIV/0!</v>
      </c>
      <c r="M10" s="140" t="e">
        <f t="shared" si="7"/>
        <v>#DIV/0!</v>
      </c>
      <c r="N10" s="141" t="e">
        <f t="shared" si="8"/>
        <v>#DIV/0!</v>
      </c>
      <c r="O10" s="137">
        <f>D10/(1+$F$3)*0.045</f>
        <v>0</v>
      </c>
      <c r="P10" s="142" t="e">
        <f t="shared" si="9"/>
        <v>#DIV/0!</v>
      </c>
      <c r="Q10" s="152" t="e">
        <f t="shared" si="10"/>
        <v>#DIV/0!</v>
      </c>
      <c r="R10" s="153" t="e">
        <f t="shared" si="0"/>
        <v>#DIV/0!</v>
      </c>
      <c r="S10" s="128"/>
    </row>
    <row r="11" ht="14.25" hidden="1" spans="1:19">
      <c r="A11" s="115" t="str">
        <f>经济指标!B14</f>
        <v>地上部分6</v>
      </c>
      <c r="B11" s="115" t="str">
        <f>经济指标!C14</f>
        <v>办公</v>
      </c>
      <c r="C11" s="116">
        <f>经济指标!E14</f>
        <v>0</v>
      </c>
      <c r="D11" s="117">
        <f>预计销售收入及费用情况表!D12</f>
        <v>0</v>
      </c>
      <c r="E11" s="121">
        <f>成本测算明细!Q192</f>
        <v>2084.24386228295</v>
      </c>
      <c r="F11" s="118" t="e">
        <f>成本测算明细!#REF!</f>
        <v>#REF!</v>
      </c>
      <c r="G11" s="119" t="e">
        <f t="shared" si="1"/>
        <v>#DIV/0!</v>
      </c>
      <c r="H11" s="120">
        <f t="shared" si="2"/>
        <v>0</v>
      </c>
      <c r="I11" s="138" t="e">
        <f t="shared" si="3"/>
        <v>#DIV/0!</v>
      </c>
      <c r="J11" s="139" t="e">
        <f t="shared" si="4"/>
        <v>#DIV/0!</v>
      </c>
      <c r="K11" s="140">
        <f t="shared" si="5"/>
        <v>2508.16759096931</v>
      </c>
      <c r="L11" s="140">
        <f t="shared" si="6"/>
        <v>-2508.16759096931</v>
      </c>
      <c r="M11" s="140">
        <f t="shared" si="7"/>
        <v>-1</v>
      </c>
      <c r="N11" s="141" t="e">
        <f t="shared" si="8"/>
        <v>#DIV/0!</v>
      </c>
      <c r="O11" s="137">
        <f>D11/(1+$F$3)*0.045</f>
        <v>0</v>
      </c>
      <c r="P11" s="142" t="e">
        <f t="shared" si="9"/>
        <v>#DIV/0!</v>
      </c>
      <c r="Q11" s="152" t="e">
        <f t="shared" si="10"/>
        <v>#DIV/0!</v>
      </c>
      <c r="R11" s="153" t="e">
        <f t="shared" si="0"/>
        <v>#DIV/0!</v>
      </c>
      <c r="S11" s="128"/>
    </row>
    <row r="12" ht="14.25" hidden="1" spans="1:19">
      <c r="A12" s="115" t="str">
        <f>经济指标!B15</f>
        <v>地上部分7</v>
      </c>
      <c r="B12" s="115" t="str">
        <f>经济指标!C15</f>
        <v>小高层</v>
      </c>
      <c r="C12" s="116">
        <f>经济指标!E15</f>
        <v>0</v>
      </c>
      <c r="D12" s="117">
        <f>预计销售收入及费用情况表!D13</f>
        <v>0</v>
      </c>
      <c r="E12" s="121">
        <f>成本测算明细!S192</f>
        <v>1632.91694368331</v>
      </c>
      <c r="F12" s="118" t="e">
        <f>成本测算明细!#REF!</f>
        <v>#REF!</v>
      </c>
      <c r="G12" s="119" t="e">
        <f t="shared" si="1"/>
        <v>#DIV/0!</v>
      </c>
      <c r="H12" s="120">
        <f t="shared" si="2"/>
        <v>0</v>
      </c>
      <c r="I12" s="138" t="e">
        <f t="shared" si="3"/>
        <v>#DIV/0!</v>
      </c>
      <c r="J12" s="139" t="e">
        <f t="shared" si="4"/>
        <v>#DIV/0!</v>
      </c>
      <c r="K12" s="140">
        <f t="shared" si="5"/>
        <v>1965.04326149486</v>
      </c>
      <c r="L12" s="140">
        <f t="shared" si="6"/>
        <v>-1965.04326149486</v>
      </c>
      <c r="M12" s="140">
        <f t="shared" si="7"/>
        <v>-1</v>
      </c>
      <c r="N12" s="141" t="e">
        <f t="shared" si="8"/>
        <v>#DIV/0!</v>
      </c>
      <c r="O12" s="137">
        <f t="shared" ref="O12:O19" si="11">D12/(1+$F$3)*0.035</f>
        <v>0</v>
      </c>
      <c r="P12" s="142" t="e">
        <f t="shared" si="9"/>
        <v>#DIV/0!</v>
      </c>
      <c r="Q12" s="152" t="e">
        <f t="shared" si="10"/>
        <v>#DIV/0!</v>
      </c>
      <c r="R12" s="153" t="e">
        <f t="shared" si="0"/>
        <v>#DIV/0!</v>
      </c>
      <c r="S12" s="128"/>
    </row>
    <row r="13" ht="14.25" hidden="1" spans="1:19">
      <c r="A13" s="115" t="str">
        <f>经济指标!B16</f>
        <v>地上部分8</v>
      </c>
      <c r="B13" s="115" t="str">
        <f>经济指标!C16</f>
        <v>社区服务中心</v>
      </c>
      <c r="C13" s="116">
        <f>经济指标!E16</f>
        <v>0</v>
      </c>
      <c r="D13" s="117">
        <f>预计销售收入及费用情况表!D14</f>
        <v>0</v>
      </c>
      <c r="E13" s="121">
        <f>成本测算明细!U192</f>
        <v>2267.20051218719</v>
      </c>
      <c r="F13" s="118" t="e">
        <f>成本测算明细!#REF!</f>
        <v>#REF!</v>
      </c>
      <c r="G13" s="119" t="e">
        <f t="shared" si="1"/>
        <v>#DIV/0!</v>
      </c>
      <c r="H13" s="120">
        <f t="shared" si="2"/>
        <v>0</v>
      </c>
      <c r="I13" s="138" t="e">
        <f t="shared" si="3"/>
        <v>#DIV/0!</v>
      </c>
      <c r="J13" s="139" t="e">
        <f t="shared" si="4"/>
        <v>#DIV/0!</v>
      </c>
      <c r="K13" s="140">
        <f t="shared" si="5"/>
        <v>2728.33661636325</v>
      </c>
      <c r="L13" s="140">
        <f t="shared" si="6"/>
        <v>-2728.33661636325</v>
      </c>
      <c r="M13" s="140">
        <f t="shared" si="7"/>
        <v>-1</v>
      </c>
      <c r="N13" s="141" t="e">
        <f t="shared" si="8"/>
        <v>#DIV/0!</v>
      </c>
      <c r="O13" s="137">
        <f t="shared" si="11"/>
        <v>0</v>
      </c>
      <c r="P13" s="142" t="e">
        <f t="shared" si="9"/>
        <v>#DIV/0!</v>
      </c>
      <c r="Q13" s="152" t="e">
        <f t="shared" si="10"/>
        <v>#DIV/0!</v>
      </c>
      <c r="R13" s="153" t="e">
        <f t="shared" si="0"/>
        <v>#DIV/0!</v>
      </c>
      <c r="S13" s="128"/>
    </row>
    <row r="14" ht="14.25" hidden="1" spans="1:19">
      <c r="A14" s="115" t="str">
        <f>经济指标!B17</f>
        <v>地上部分9</v>
      </c>
      <c r="B14" s="115" t="str">
        <f>经济指标!C17</f>
        <v>幼儿园</v>
      </c>
      <c r="C14" s="116">
        <f>经济指标!E17</f>
        <v>0</v>
      </c>
      <c r="D14" s="117">
        <f>预计销售收入及费用情况表!D15</f>
        <v>0</v>
      </c>
      <c r="E14" s="121">
        <f>成本测算明细!W192</f>
        <v>1312.8714387128</v>
      </c>
      <c r="F14" s="118" t="e">
        <f>成本测算明细!#REF!</f>
        <v>#REF!</v>
      </c>
      <c r="G14" s="119" t="e">
        <f t="shared" si="1"/>
        <v>#DIV/0!</v>
      </c>
      <c r="H14" s="120">
        <f t="shared" si="2"/>
        <v>0</v>
      </c>
      <c r="I14" s="138" t="e">
        <f t="shared" si="3"/>
        <v>#DIV/0!</v>
      </c>
      <c r="J14" s="139" t="e">
        <f t="shared" si="4"/>
        <v>#DIV/0!</v>
      </c>
      <c r="K14" s="140">
        <f t="shared" si="5"/>
        <v>1579.90226253172</v>
      </c>
      <c r="L14" s="140">
        <f t="shared" si="6"/>
        <v>-1579.90226253172</v>
      </c>
      <c r="M14" s="140">
        <f t="shared" si="7"/>
        <v>-1</v>
      </c>
      <c r="N14" s="141" t="e">
        <f t="shared" si="8"/>
        <v>#DIV/0!</v>
      </c>
      <c r="O14" s="137">
        <f t="shared" si="11"/>
        <v>0</v>
      </c>
      <c r="P14" s="142" t="e">
        <f t="shared" si="9"/>
        <v>#DIV/0!</v>
      </c>
      <c r="Q14" s="152" t="e">
        <f t="shared" si="10"/>
        <v>#DIV/0!</v>
      </c>
      <c r="R14" s="153" t="e">
        <f t="shared" si="0"/>
        <v>#DIV/0!</v>
      </c>
      <c r="S14" s="128"/>
    </row>
    <row r="15" ht="14.25" spans="1:19">
      <c r="A15" s="115" t="str">
        <f>经济指标!B18</f>
        <v>地上部分10</v>
      </c>
      <c r="B15" s="115" t="str">
        <f>经济指标!C18</f>
        <v>配套</v>
      </c>
      <c r="C15" s="116">
        <f>经济指标!E18</f>
        <v>587.25</v>
      </c>
      <c r="D15" s="117">
        <f>预计销售收入及费用情况表!D16</f>
        <v>0</v>
      </c>
      <c r="E15" s="118">
        <f>成本测算明细!Y192</f>
        <v>4296.48284566872</v>
      </c>
      <c r="F15" s="118">
        <f>成本测算明细!Y212</f>
        <v>94.4404936860031</v>
      </c>
      <c r="G15" s="119">
        <f t="shared" si="1"/>
        <v>0</v>
      </c>
      <c r="H15" s="120">
        <f t="shared" si="2"/>
        <v>0</v>
      </c>
      <c r="I15" s="138">
        <f t="shared" si="3"/>
        <v>0</v>
      </c>
      <c r="J15" s="139">
        <f t="shared" si="4"/>
        <v>0</v>
      </c>
      <c r="K15" s="140">
        <f t="shared" si="5"/>
        <v>5170.36380611345</v>
      </c>
      <c r="L15" s="140">
        <f t="shared" si="6"/>
        <v>-5170.36380611345</v>
      </c>
      <c r="M15" s="140">
        <f t="shared" si="7"/>
        <v>-1</v>
      </c>
      <c r="N15" s="141">
        <f t="shared" si="8"/>
        <v>0</v>
      </c>
      <c r="O15" s="137">
        <f t="shared" si="11"/>
        <v>0</v>
      </c>
      <c r="P15" s="142">
        <f t="shared" si="9"/>
        <v>0</v>
      </c>
      <c r="Q15" s="152">
        <f t="shared" si="10"/>
        <v>0</v>
      </c>
      <c r="R15" s="153">
        <f t="shared" si="0"/>
        <v>0</v>
      </c>
      <c r="S15" s="128"/>
    </row>
    <row r="16" ht="14.25" hidden="1" spans="1:19">
      <c r="A16" s="115" t="str">
        <f>经济指标!B19</f>
        <v>地上部分11</v>
      </c>
      <c r="B16" s="115" t="str">
        <f>经济指标!C19</f>
        <v>社区卫生服务站</v>
      </c>
      <c r="C16" s="116">
        <f>经济指标!E19</f>
        <v>0</v>
      </c>
      <c r="D16" s="117">
        <f>预计销售收入及费用情况表!D17</f>
        <v>0</v>
      </c>
      <c r="E16" s="118">
        <f>成本测算明细!AA192</f>
        <v>3490.2914387128</v>
      </c>
      <c r="F16" s="118" t="e">
        <f>成本测算明细!#REF!</f>
        <v>#REF!</v>
      </c>
      <c r="G16" s="119" t="e">
        <f t="shared" si="1"/>
        <v>#DIV/0!</v>
      </c>
      <c r="H16" s="120">
        <f t="shared" si="2"/>
        <v>0</v>
      </c>
      <c r="I16" s="138" t="e">
        <f t="shared" si="3"/>
        <v>#DIV/0!</v>
      </c>
      <c r="J16" s="139" t="e">
        <f t="shared" si="4"/>
        <v>#DIV/0!</v>
      </c>
      <c r="K16" s="140">
        <f t="shared" si="5"/>
        <v>4200.19750473356</v>
      </c>
      <c r="L16" s="140">
        <f t="shared" si="6"/>
        <v>-4200.19750473356</v>
      </c>
      <c r="M16" s="140">
        <f t="shared" si="7"/>
        <v>-1</v>
      </c>
      <c r="N16" s="141" t="e">
        <f t="shared" si="8"/>
        <v>#DIV/0!</v>
      </c>
      <c r="O16" s="137">
        <f t="shared" si="11"/>
        <v>0</v>
      </c>
      <c r="P16" s="142" t="e">
        <f t="shared" si="9"/>
        <v>#DIV/0!</v>
      </c>
      <c r="Q16" s="152" t="e">
        <f t="shared" si="10"/>
        <v>#DIV/0!</v>
      </c>
      <c r="R16" s="153" t="e">
        <f t="shared" si="0"/>
        <v>#DIV/0!</v>
      </c>
      <c r="S16" s="128"/>
    </row>
    <row r="17" ht="14.25" hidden="1" spans="1:19">
      <c r="A17" s="115" t="str">
        <f>经济指标!B21</f>
        <v>地下部分1</v>
      </c>
      <c r="B17" s="115" t="str">
        <f>经济指标!C21</f>
        <v>储藏室</v>
      </c>
      <c r="C17" s="116">
        <f>经济指标!E21</f>
        <v>0</v>
      </c>
      <c r="D17" s="117">
        <v>0</v>
      </c>
      <c r="E17" s="118" t="e">
        <f>成本测算明细!AE192</f>
        <v>#REF!</v>
      </c>
      <c r="F17" s="118" t="e">
        <f>成本测算明细!#REF!</f>
        <v>#REF!</v>
      </c>
      <c r="G17" s="119" t="e">
        <f t="shared" si="1"/>
        <v>#DIV/0!</v>
      </c>
      <c r="H17" s="120">
        <f t="shared" si="2"/>
        <v>0</v>
      </c>
      <c r="I17" s="138" t="e">
        <f t="shared" si="3"/>
        <v>#DIV/0!</v>
      </c>
      <c r="J17" s="139" t="e">
        <f t="shared" si="4"/>
        <v>#DIV/0!</v>
      </c>
      <c r="K17" s="140" t="e">
        <f t="shared" si="5"/>
        <v>#REF!</v>
      </c>
      <c r="L17" s="140" t="e">
        <f t="shared" si="6"/>
        <v>#REF!</v>
      </c>
      <c r="M17" s="140" t="e">
        <f t="shared" si="7"/>
        <v>#REF!</v>
      </c>
      <c r="N17" s="141" t="e">
        <f t="shared" si="8"/>
        <v>#DIV/0!</v>
      </c>
      <c r="O17" s="137">
        <f t="shared" si="11"/>
        <v>0</v>
      </c>
      <c r="P17" s="142" t="e">
        <f t="shared" si="9"/>
        <v>#DIV/0!</v>
      </c>
      <c r="Q17" s="152" t="e">
        <f t="shared" si="10"/>
        <v>#DIV/0!</v>
      </c>
      <c r="R17" s="153" t="e">
        <f t="shared" si="0"/>
        <v>#DIV/0!</v>
      </c>
      <c r="S17" s="128"/>
    </row>
    <row r="18" ht="14.25" spans="1:19">
      <c r="A18" s="115" t="str">
        <f>经济指标!B22</f>
        <v>地下部分2</v>
      </c>
      <c r="B18" s="115" t="str">
        <f>经济指标!C22</f>
        <v>人防车位</v>
      </c>
      <c r="C18" s="116">
        <f>经济指标!E22</f>
        <v>6581.55</v>
      </c>
      <c r="D18" s="117">
        <f>预计销售收入及费用情况表!E21*10000/经济指标!E22</f>
        <v>1818.41663437944</v>
      </c>
      <c r="E18" s="118">
        <f>成本测算明细!AG192</f>
        <v>3936.75883909351</v>
      </c>
      <c r="F18" s="118">
        <f>成本测算明细!AG212</f>
        <v>174.253860246271</v>
      </c>
      <c r="G18" s="119">
        <f t="shared" si="1"/>
        <v>42.8061960306693</v>
      </c>
      <c r="H18" s="120">
        <f t="shared" si="2"/>
        <v>50.0481642489754</v>
      </c>
      <c r="I18" s="138">
        <f t="shared" si="3"/>
        <v>-7.24196821830608</v>
      </c>
      <c r="J18" s="139">
        <f t="shared" si="4"/>
        <v>5.13674352368032</v>
      </c>
      <c r="K18" s="140">
        <f t="shared" si="5"/>
        <v>4737.47391673299</v>
      </c>
      <c r="L18" s="140">
        <f t="shared" si="6"/>
        <v>-3069.20177510047</v>
      </c>
      <c r="M18" s="140">
        <f t="shared" si="7"/>
        <v>-0.647856184339064</v>
      </c>
      <c r="N18" s="141">
        <f t="shared" si="8"/>
        <v>69.3489646363261</v>
      </c>
      <c r="O18" s="137">
        <f t="shared" si="11"/>
        <v>58.389524957138</v>
      </c>
      <c r="P18" s="142">
        <f t="shared" si="9"/>
        <v>10.9594396791881</v>
      </c>
      <c r="Q18" s="152">
        <f t="shared" si="10"/>
        <v>117.291904190676</v>
      </c>
      <c r="R18" s="153">
        <f t="shared" si="0"/>
        <v>77.1962532026142</v>
      </c>
      <c r="S18" s="128"/>
    </row>
    <row r="19" ht="14.25" spans="1:19">
      <c r="A19" s="115" t="str">
        <f>经济指标!B23</f>
        <v>地下部分3</v>
      </c>
      <c r="B19" s="115" t="str">
        <f>经济指标!C23</f>
        <v>非人防车位</v>
      </c>
      <c r="C19" s="116">
        <f>经济指标!E23</f>
        <v>32776.96</v>
      </c>
      <c r="D19" s="117">
        <f>预计销售收入及费用情况表!I4*10000</f>
        <v>1751.65451585504</v>
      </c>
      <c r="E19" s="118">
        <f>E35/C35*10000</f>
        <v>3253.70883909351</v>
      </c>
      <c r="F19" s="118">
        <f>成本测算明细!AI212</f>
        <v>156.019212411578</v>
      </c>
      <c r="G19" s="119">
        <f t="shared" si="1"/>
        <v>41.2345912185777</v>
      </c>
      <c r="H19" s="120">
        <f t="shared" si="2"/>
        <v>48.2106747483038</v>
      </c>
      <c r="I19" s="138">
        <f t="shared" si="3"/>
        <v>-6.97608352972615</v>
      </c>
      <c r="J19" s="139">
        <f t="shared" si="4"/>
        <v>4.94815094622932</v>
      </c>
      <c r="K19" s="140">
        <f t="shared" si="5"/>
        <v>3915.49530664124</v>
      </c>
      <c r="L19" s="140">
        <f t="shared" si="6"/>
        <v>-2308.47281503111</v>
      </c>
      <c r="M19" s="140">
        <f t="shared" si="7"/>
        <v>-0.589573638644289</v>
      </c>
      <c r="N19" s="141">
        <f t="shared" si="8"/>
        <v>66.8028573751731</v>
      </c>
      <c r="O19" s="137">
        <f t="shared" si="11"/>
        <v>56.2457872063545</v>
      </c>
      <c r="P19" s="142">
        <f t="shared" si="9"/>
        <v>10.5570701688186</v>
      </c>
      <c r="Q19" s="152">
        <f t="shared" si="10"/>
        <v>112.98559953998</v>
      </c>
      <c r="R19" s="153">
        <f t="shared" si="0"/>
        <v>370.332447669795</v>
      </c>
      <c r="S19" s="128"/>
    </row>
    <row r="20" ht="14.25" spans="1:18">
      <c r="A20" s="69" t="str">
        <f>A4</f>
        <v>栾川S1地块项目税金计算</v>
      </c>
      <c r="B20" s="69"/>
      <c r="C20" s="69"/>
      <c r="D20" s="69"/>
      <c r="E20" s="69"/>
      <c r="F20" s="69"/>
      <c r="G20" s="69"/>
      <c r="H20" s="69"/>
      <c r="I20" s="69"/>
      <c r="J20" s="69"/>
      <c r="K20" s="69"/>
      <c r="L20" s="69"/>
      <c r="M20" s="69"/>
      <c r="N20" s="69"/>
      <c r="O20" s="69"/>
      <c r="P20" s="69"/>
      <c r="Q20" s="69"/>
      <c r="R20" s="127">
        <f>R6+R7+R18+R19+R8</f>
        <v>4555.82935493651</v>
      </c>
    </row>
    <row r="21" ht="27" spans="1:18">
      <c r="A21" s="110" t="s">
        <v>58</v>
      </c>
      <c r="B21" s="110" t="s">
        <v>58</v>
      </c>
      <c r="C21" s="111" t="s">
        <v>60</v>
      </c>
      <c r="D21" s="111" t="s">
        <v>709</v>
      </c>
      <c r="E21" s="111" t="s">
        <v>710</v>
      </c>
      <c r="F21" s="112" t="s">
        <v>616</v>
      </c>
      <c r="G21" s="122" t="s">
        <v>698</v>
      </c>
      <c r="H21" s="122" t="s">
        <v>706</v>
      </c>
      <c r="I21" s="122" t="s">
        <v>707</v>
      </c>
      <c r="J21" s="143" t="s">
        <v>701</v>
      </c>
      <c r="K21" s="144" t="s">
        <v>702</v>
      </c>
      <c r="L21" s="136" t="s">
        <v>703</v>
      </c>
      <c r="M21" s="135" t="s">
        <v>704</v>
      </c>
      <c r="N21" s="135" t="s">
        <v>705</v>
      </c>
      <c r="O21" s="137" t="s">
        <v>706</v>
      </c>
      <c r="P21" s="135" t="s">
        <v>707</v>
      </c>
      <c r="Q21" s="154" t="s">
        <v>708</v>
      </c>
      <c r="R21" s="128"/>
    </row>
    <row r="22" ht="14.25" spans="1:19">
      <c r="A22" s="115" t="str">
        <f t="shared" ref="A22:B22" si="12">A6</f>
        <v>地上部分1</v>
      </c>
      <c r="B22" s="115" t="str">
        <f t="shared" si="12"/>
        <v>小高层</v>
      </c>
      <c r="C22" s="117">
        <f>经济指标!E9</f>
        <v>5328.71</v>
      </c>
      <c r="D22" s="117">
        <f>$C22*D6/10000</f>
        <v>3303.8002</v>
      </c>
      <c r="E22" s="118">
        <f>成本测算明细!H192</f>
        <v>2168.15886429988</v>
      </c>
      <c r="F22" s="118">
        <f>F6*C22/10000</f>
        <v>207.033371473704</v>
      </c>
      <c r="G22" s="123">
        <f>D22/$D$36*$G$36</f>
        <v>77.7726711984392</v>
      </c>
      <c r="H22" s="123">
        <f>$C22*H6/10000</f>
        <v>90.9302807339449</v>
      </c>
      <c r="I22" s="123">
        <f>G22-H22</f>
        <v>-13.1576095355057</v>
      </c>
      <c r="J22" s="145">
        <f>G22*0.12</f>
        <v>9.3327205438127</v>
      </c>
      <c r="K22" s="146">
        <f>$C22*K6/10000</f>
        <v>2609.15044247904</v>
      </c>
      <c r="L22" s="146">
        <f>$C22*L6/10000</f>
        <v>421.858915319129</v>
      </c>
      <c r="M22" s="146"/>
      <c r="N22" s="146">
        <f>N36/D36*D22</f>
        <v>125.997045398496</v>
      </c>
      <c r="O22" s="147">
        <f>$C22*O6/10000</f>
        <v>106.085327522936</v>
      </c>
      <c r="P22" s="146">
        <f>$C22*P6/10000</f>
        <v>19.9117178755608</v>
      </c>
      <c r="Q22" s="155">
        <f>$C22*Q6/10000</f>
        <v>213.102437140748</v>
      </c>
      <c r="R22" s="128"/>
      <c r="S22" s="128"/>
    </row>
    <row r="23" ht="14.25" spans="1:19">
      <c r="A23" s="115" t="str">
        <f t="shared" ref="A23:B23" si="13">A7</f>
        <v>地上部分2</v>
      </c>
      <c r="B23" s="115" t="str">
        <f t="shared" si="13"/>
        <v>洋房</v>
      </c>
      <c r="C23" s="117">
        <f>经济指标!E10</f>
        <v>56338.32</v>
      </c>
      <c r="D23" s="117">
        <f t="shared" ref="D23:F23" si="14">$C23*D7/10000</f>
        <v>36645.022128</v>
      </c>
      <c r="E23" s="118">
        <f t="shared" si="14"/>
        <v>21541.2915119237</v>
      </c>
      <c r="F23" s="118">
        <f t="shared" si="14"/>
        <v>2241.25251066162</v>
      </c>
      <c r="G23" s="123">
        <f t="shared" ref="G23:G35" si="15">D23/$D$36*$G$36</f>
        <v>862.637291752834</v>
      </c>
      <c r="H23" s="123">
        <f t="shared" ref="H23:H35" si="16">$C23*H7/10000</f>
        <v>1008.5785906789</v>
      </c>
      <c r="I23" s="123">
        <f t="shared" ref="I23:I35" si="17">G23-H23</f>
        <v>-145.941298926066</v>
      </c>
      <c r="J23" s="145">
        <f t="shared" ref="J23:J35" si="18">G23*0.12</f>
        <v>103.51647501034</v>
      </c>
      <c r="K23" s="146">
        <f t="shared" ref="K23:L35" si="19">$C23*K7/10000</f>
        <v>25922.6716295324</v>
      </c>
      <c r="L23" s="146">
        <f t="shared" si="19"/>
        <v>7696.6147264309</v>
      </c>
      <c r="M23" s="146"/>
      <c r="N23" s="146">
        <f>D23/$D$36*$N$36</f>
        <v>1397.53139935354</v>
      </c>
      <c r="O23" s="147">
        <f t="shared" ref="O23:Q35" si="20">$C23*O7/10000</f>
        <v>1176.67502245872</v>
      </c>
      <c r="P23" s="146">
        <f t="shared" si="20"/>
        <v>220.856376894827</v>
      </c>
      <c r="Q23" s="155">
        <f t="shared" si="20"/>
        <v>2363.68516611672</v>
      </c>
      <c r="R23" s="128"/>
      <c r="S23" s="128"/>
    </row>
    <row r="24" ht="14.25" spans="1:19">
      <c r="A24" s="115" t="str">
        <f t="shared" ref="A24:B24" si="21">A8</f>
        <v>地上部分3</v>
      </c>
      <c r="B24" s="115" t="str">
        <f t="shared" si="21"/>
        <v>装配式</v>
      </c>
      <c r="C24" s="117">
        <f>经济指标!E11</f>
        <v>32304.18</v>
      </c>
      <c r="D24" s="117">
        <f t="shared" ref="D24:F24" si="22">$C24*D8/10000</f>
        <v>23743.5723</v>
      </c>
      <c r="E24" s="118">
        <f t="shared" si="22"/>
        <v>17134.1494872058</v>
      </c>
      <c r="F24" s="118">
        <f t="shared" si="22"/>
        <v>1522.0136906265</v>
      </c>
      <c r="G24" s="123">
        <f t="shared" si="15"/>
        <v>558.932420176095</v>
      </c>
      <c r="H24" s="123">
        <f t="shared" si="16"/>
        <v>653.49281559633</v>
      </c>
      <c r="I24" s="123">
        <f t="shared" si="17"/>
        <v>-94.5603954202347</v>
      </c>
      <c r="J24" s="145">
        <f t="shared" si="18"/>
        <v>67.0718904211314</v>
      </c>
      <c r="K24" s="146">
        <f t="shared" si="19"/>
        <v>20619.1411764842</v>
      </c>
      <c r="L24" s="146">
        <f t="shared" si="19"/>
        <v>1163.95267672679</v>
      </c>
      <c r="M24" s="146"/>
      <c r="N24" s="146">
        <f t="shared" ref="N24:N35" si="23">D24/$D$36*$N$36</f>
        <v>905.508740209405</v>
      </c>
      <c r="O24" s="147">
        <f t="shared" si="20"/>
        <v>762.408284862385</v>
      </c>
      <c r="P24" s="146">
        <f t="shared" si="20"/>
        <v>143.100455347018</v>
      </c>
      <c r="Q24" s="155">
        <f t="shared" si="20"/>
        <v>1531.51305080663</v>
      </c>
      <c r="R24" s="128"/>
      <c r="S24" s="128"/>
    </row>
    <row r="25" ht="14.25" hidden="1" spans="1:19">
      <c r="A25" s="115" t="str">
        <f t="shared" ref="A25:B25" si="24">A9</f>
        <v>地上部分4</v>
      </c>
      <c r="B25" s="115" t="str">
        <f t="shared" si="24"/>
        <v>别墅</v>
      </c>
      <c r="C25" s="117">
        <f>经济指标!E12</f>
        <v>0</v>
      </c>
      <c r="D25" s="117">
        <f t="shared" ref="D25:F25" si="25">$C25*D9/10000</f>
        <v>0</v>
      </c>
      <c r="E25" s="118">
        <f t="shared" si="25"/>
        <v>0</v>
      </c>
      <c r="F25" s="118" t="e">
        <f t="shared" si="25"/>
        <v>#REF!</v>
      </c>
      <c r="G25" s="123">
        <f t="shared" si="15"/>
        <v>0</v>
      </c>
      <c r="H25" s="123">
        <f t="shared" si="16"/>
        <v>0</v>
      </c>
      <c r="I25" s="123">
        <f t="shared" si="17"/>
        <v>0</v>
      </c>
      <c r="J25" s="145">
        <f t="shared" si="18"/>
        <v>0</v>
      </c>
      <c r="K25" s="146">
        <f t="shared" si="19"/>
        <v>0</v>
      </c>
      <c r="L25" s="146">
        <f t="shared" si="19"/>
        <v>0</v>
      </c>
      <c r="M25" s="146"/>
      <c r="N25" s="146">
        <f t="shared" si="23"/>
        <v>0</v>
      </c>
      <c r="O25" s="147">
        <f t="shared" si="20"/>
        <v>0</v>
      </c>
      <c r="P25" s="146" t="e">
        <f t="shared" si="20"/>
        <v>#DIV/0!</v>
      </c>
      <c r="Q25" s="155" t="e">
        <f t="shared" si="20"/>
        <v>#DIV/0!</v>
      </c>
      <c r="R25" s="128"/>
      <c r="S25" s="128"/>
    </row>
    <row r="26" ht="14.25" hidden="1" spans="1:19">
      <c r="A26" s="115" t="str">
        <f t="shared" ref="A26:B26" si="26">A10</f>
        <v>地上部分5</v>
      </c>
      <c r="B26" s="115" t="str">
        <f t="shared" si="26"/>
        <v>商业</v>
      </c>
      <c r="C26" s="117">
        <f>经济指标!E13</f>
        <v>0</v>
      </c>
      <c r="D26" s="117">
        <f t="shared" ref="D26" si="27">$C26*D10/10000</f>
        <v>0</v>
      </c>
      <c r="E26" s="118">
        <f>成本测算明细!P192</f>
        <v>0</v>
      </c>
      <c r="F26" s="118" t="e">
        <f>成本测算明细!#REF!</f>
        <v>#REF!</v>
      </c>
      <c r="G26" s="123">
        <f t="shared" si="15"/>
        <v>0</v>
      </c>
      <c r="H26" s="123">
        <f t="shared" si="16"/>
        <v>0</v>
      </c>
      <c r="I26" s="123">
        <f t="shared" si="17"/>
        <v>0</v>
      </c>
      <c r="J26" s="145">
        <f t="shared" si="18"/>
        <v>0</v>
      </c>
      <c r="K26" s="146" t="e">
        <f t="shared" si="19"/>
        <v>#DIV/0!</v>
      </c>
      <c r="L26" s="146" t="e">
        <f t="shared" si="19"/>
        <v>#DIV/0!</v>
      </c>
      <c r="M26" s="146"/>
      <c r="N26" s="146">
        <f t="shared" si="23"/>
        <v>0</v>
      </c>
      <c r="O26" s="147">
        <f t="shared" si="20"/>
        <v>0</v>
      </c>
      <c r="P26" s="146" t="e">
        <f t="shared" si="20"/>
        <v>#DIV/0!</v>
      </c>
      <c r="Q26" s="155" t="e">
        <f>$C26*Q10/10000</f>
        <v>#DIV/0!</v>
      </c>
      <c r="R26" s="128"/>
      <c r="S26" s="128"/>
    </row>
    <row r="27" ht="14.25" hidden="1" spans="1:19">
      <c r="A27" s="115" t="str">
        <f t="shared" ref="A27:B27" si="28">A11</f>
        <v>地上部分6</v>
      </c>
      <c r="B27" s="115" t="str">
        <f t="shared" si="28"/>
        <v>办公</v>
      </c>
      <c r="C27" s="117">
        <f>经济指标!E14</f>
        <v>0</v>
      </c>
      <c r="D27" s="117">
        <f t="shared" ref="D27:F27" si="29">$C27*D11/10000</f>
        <v>0</v>
      </c>
      <c r="E27" s="118">
        <f t="shared" si="29"/>
        <v>0</v>
      </c>
      <c r="F27" s="118" t="e">
        <f t="shared" si="29"/>
        <v>#REF!</v>
      </c>
      <c r="G27" s="123">
        <f t="shared" si="15"/>
        <v>0</v>
      </c>
      <c r="H27" s="123">
        <f t="shared" si="16"/>
        <v>0</v>
      </c>
      <c r="I27" s="123">
        <f t="shared" si="17"/>
        <v>0</v>
      </c>
      <c r="J27" s="145">
        <f t="shared" si="18"/>
        <v>0</v>
      </c>
      <c r="K27" s="146">
        <f t="shared" si="19"/>
        <v>0</v>
      </c>
      <c r="L27" s="146">
        <f t="shared" si="19"/>
        <v>0</v>
      </c>
      <c r="M27" s="146"/>
      <c r="N27" s="146">
        <f t="shared" si="23"/>
        <v>0</v>
      </c>
      <c r="O27" s="147">
        <f t="shared" si="20"/>
        <v>0</v>
      </c>
      <c r="P27" s="146" t="e">
        <f t="shared" si="20"/>
        <v>#DIV/0!</v>
      </c>
      <c r="Q27" s="155" t="e">
        <f t="shared" si="20"/>
        <v>#DIV/0!</v>
      </c>
      <c r="R27" s="128"/>
      <c r="S27" s="128"/>
    </row>
    <row r="28" ht="14.25" hidden="1" spans="1:19">
      <c r="A28" s="115" t="str">
        <f t="shared" ref="A28:B28" si="30">A12</f>
        <v>地上部分7</v>
      </c>
      <c r="B28" s="115" t="str">
        <f t="shared" si="30"/>
        <v>小高层</v>
      </c>
      <c r="C28" s="117">
        <f>经济指标!E15</f>
        <v>0</v>
      </c>
      <c r="D28" s="117">
        <f t="shared" ref="D28:F28" si="31">$C28*D12/10000</f>
        <v>0</v>
      </c>
      <c r="E28" s="118">
        <f t="shared" si="31"/>
        <v>0</v>
      </c>
      <c r="F28" s="118" t="e">
        <f t="shared" si="31"/>
        <v>#REF!</v>
      </c>
      <c r="G28" s="123">
        <f t="shared" si="15"/>
        <v>0</v>
      </c>
      <c r="H28" s="123">
        <f t="shared" si="16"/>
        <v>0</v>
      </c>
      <c r="I28" s="123">
        <f t="shared" si="17"/>
        <v>0</v>
      </c>
      <c r="J28" s="145">
        <f t="shared" si="18"/>
        <v>0</v>
      </c>
      <c r="K28" s="146">
        <f t="shared" si="19"/>
        <v>0</v>
      </c>
      <c r="L28" s="146">
        <f t="shared" si="19"/>
        <v>0</v>
      </c>
      <c r="M28" s="146"/>
      <c r="N28" s="146">
        <f t="shared" si="23"/>
        <v>0</v>
      </c>
      <c r="O28" s="147">
        <f t="shared" si="20"/>
        <v>0</v>
      </c>
      <c r="P28" s="146" t="e">
        <f t="shared" si="20"/>
        <v>#DIV/0!</v>
      </c>
      <c r="Q28" s="155" t="e">
        <f t="shared" si="20"/>
        <v>#DIV/0!</v>
      </c>
      <c r="R28" s="128"/>
      <c r="S28" s="128"/>
    </row>
    <row r="29" ht="14.25" hidden="1" spans="1:19">
      <c r="A29" s="115" t="str">
        <f t="shared" ref="A29:B29" si="32">A13</f>
        <v>地上部分8</v>
      </c>
      <c r="B29" s="115" t="str">
        <f t="shared" si="32"/>
        <v>社区服务中心</v>
      </c>
      <c r="C29" s="117">
        <f>经济指标!E16</f>
        <v>0</v>
      </c>
      <c r="D29" s="117">
        <f t="shared" ref="D29:F29" si="33">$C29*D13/10000</f>
        <v>0</v>
      </c>
      <c r="E29" s="118">
        <f t="shared" si="33"/>
        <v>0</v>
      </c>
      <c r="F29" s="118" t="e">
        <f t="shared" si="33"/>
        <v>#REF!</v>
      </c>
      <c r="G29" s="123">
        <f t="shared" si="15"/>
        <v>0</v>
      </c>
      <c r="H29" s="123">
        <f t="shared" si="16"/>
        <v>0</v>
      </c>
      <c r="I29" s="123">
        <f t="shared" si="17"/>
        <v>0</v>
      </c>
      <c r="J29" s="145">
        <f t="shared" si="18"/>
        <v>0</v>
      </c>
      <c r="K29" s="146">
        <f t="shared" si="19"/>
        <v>0</v>
      </c>
      <c r="L29" s="146">
        <f t="shared" si="19"/>
        <v>0</v>
      </c>
      <c r="M29" s="146"/>
      <c r="N29" s="146">
        <f t="shared" si="23"/>
        <v>0</v>
      </c>
      <c r="O29" s="147">
        <f t="shared" si="20"/>
        <v>0</v>
      </c>
      <c r="P29" s="146" t="e">
        <f t="shared" si="20"/>
        <v>#DIV/0!</v>
      </c>
      <c r="Q29" s="155" t="e">
        <f t="shared" si="20"/>
        <v>#DIV/0!</v>
      </c>
      <c r="R29" s="128"/>
      <c r="S29" s="128"/>
    </row>
    <row r="30" ht="14.25" hidden="1" spans="1:19">
      <c r="A30" s="115" t="str">
        <f t="shared" ref="A30:B30" si="34">A14</f>
        <v>地上部分9</v>
      </c>
      <c r="B30" s="115" t="str">
        <f t="shared" si="34"/>
        <v>幼儿园</v>
      </c>
      <c r="C30" s="117">
        <f>经济指标!E17</f>
        <v>0</v>
      </c>
      <c r="D30" s="117">
        <f t="shared" ref="D30:F30" si="35">$C30*D14/10000</f>
        <v>0</v>
      </c>
      <c r="E30" s="118">
        <f t="shared" si="35"/>
        <v>0</v>
      </c>
      <c r="F30" s="118" t="e">
        <f t="shared" si="35"/>
        <v>#REF!</v>
      </c>
      <c r="G30" s="123">
        <f t="shared" si="15"/>
        <v>0</v>
      </c>
      <c r="H30" s="123">
        <f t="shared" si="16"/>
        <v>0</v>
      </c>
      <c r="I30" s="123">
        <f t="shared" si="17"/>
        <v>0</v>
      </c>
      <c r="J30" s="145">
        <f t="shared" si="18"/>
        <v>0</v>
      </c>
      <c r="K30" s="146">
        <f t="shared" si="19"/>
        <v>0</v>
      </c>
      <c r="L30" s="146">
        <f t="shared" si="19"/>
        <v>0</v>
      </c>
      <c r="M30" s="146"/>
      <c r="N30" s="146">
        <f t="shared" si="23"/>
        <v>0</v>
      </c>
      <c r="O30" s="147">
        <f t="shared" si="20"/>
        <v>0</v>
      </c>
      <c r="P30" s="146" t="e">
        <f t="shared" si="20"/>
        <v>#DIV/0!</v>
      </c>
      <c r="Q30" s="155" t="e">
        <f t="shared" si="20"/>
        <v>#DIV/0!</v>
      </c>
      <c r="R30" s="128"/>
      <c r="S30" s="128"/>
    </row>
    <row r="31" ht="14.25" spans="1:19">
      <c r="A31" s="115" t="str">
        <f t="shared" ref="A31:B31" si="36">A15</f>
        <v>地上部分10</v>
      </c>
      <c r="B31" s="115" t="str">
        <f t="shared" si="36"/>
        <v>配套</v>
      </c>
      <c r="C31" s="117">
        <f>经济指标!E18</f>
        <v>587.25</v>
      </c>
      <c r="D31" s="117">
        <f t="shared" ref="D31:F31" si="37">$C31*D15/10000</f>
        <v>0</v>
      </c>
      <c r="E31" s="118">
        <f t="shared" si="37"/>
        <v>252.310955111896</v>
      </c>
      <c r="F31" s="118">
        <f t="shared" si="37"/>
        <v>5.54601799171053</v>
      </c>
      <c r="G31" s="123">
        <f t="shared" si="15"/>
        <v>0</v>
      </c>
      <c r="H31" s="123">
        <f t="shared" si="16"/>
        <v>0</v>
      </c>
      <c r="I31" s="123">
        <f t="shared" si="17"/>
        <v>0</v>
      </c>
      <c r="J31" s="145">
        <f t="shared" si="18"/>
        <v>0</v>
      </c>
      <c r="K31" s="146">
        <f t="shared" si="19"/>
        <v>303.629614514012</v>
      </c>
      <c r="L31" s="146">
        <f t="shared" si="19"/>
        <v>-303.629614514012</v>
      </c>
      <c r="M31" s="146"/>
      <c r="N31" s="146">
        <f t="shared" si="23"/>
        <v>0</v>
      </c>
      <c r="O31" s="147">
        <f t="shared" si="20"/>
        <v>0</v>
      </c>
      <c r="P31" s="146">
        <f t="shared" si="20"/>
        <v>0</v>
      </c>
      <c r="Q31" s="155">
        <f t="shared" si="20"/>
        <v>0</v>
      </c>
      <c r="R31" s="128"/>
      <c r="S31" s="128"/>
    </row>
    <row r="32" ht="14.25" hidden="1" spans="1:19">
      <c r="A32" s="115" t="str">
        <f t="shared" ref="A32:B32" si="38">A16</f>
        <v>地上部分11</v>
      </c>
      <c r="B32" s="115" t="str">
        <f t="shared" si="38"/>
        <v>社区卫生服务站</v>
      </c>
      <c r="C32" s="117">
        <f>经济指标!E19</f>
        <v>0</v>
      </c>
      <c r="D32" s="117">
        <f t="shared" ref="D32:F35" si="39">$C32*D16/10000</f>
        <v>0</v>
      </c>
      <c r="E32" s="118">
        <f t="shared" si="39"/>
        <v>0</v>
      </c>
      <c r="F32" s="118" t="e">
        <f t="shared" si="39"/>
        <v>#REF!</v>
      </c>
      <c r="G32" s="123">
        <f t="shared" si="15"/>
        <v>0</v>
      </c>
      <c r="H32" s="123">
        <f t="shared" si="16"/>
        <v>0</v>
      </c>
      <c r="I32" s="123">
        <f t="shared" si="17"/>
        <v>0</v>
      </c>
      <c r="J32" s="145">
        <f t="shared" si="18"/>
        <v>0</v>
      </c>
      <c r="K32" s="146">
        <f t="shared" si="19"/>
        <v>0</v>
      </c>
      <c r="L32" s="146">
        <f t="shared" si="19"/>
        <v>0</v>
      </c>
      <c r="M32" s="146"/>
      <c r="N32" s="146">
        <f t="shared" si="23"/>
        <v>0</v>
      </c>
      <c r="O32" s="147">
        <f t="shared" si="20"/>
        <v>0</v>
      </c>
      <c r="P32" s="146" t="e">
        <f t="shared" si="20"/>
        <v>#DIV/0!</v>
      </c>
      <c r="Q32" s="155" t="e">
        <f t="shared" si="20"/>
        <v>#DIV/0!</v>
      </c>
      <c r="R32" s="128"/>
      <c r="S32" s="128"/>
    </row>
    <row r="33" ht="14.25" hidden="1" spans="1:19">
      <c r="A33" s="115" t="str">
        <f>A17</f>
        <v>地下部分1</v>
      </c>
      <c r="B33" s="115" t="str">
        <f t="shared" ref="B33" si="40">B17</f>
        <v>储藏室</v>
      </c>
      <c r="C33" s="117">
        <v>0</v>
      </c>
      <c r="D33" s="117">
        <f>$C33*D17/10000</f>
        <v>0</v>
      </c>
      <c r="E33" s="118">
        <v>0</v>
      </c>
      <c r="F33" s="118" t="e">
        <f>$C33*F17/10000</f>
        <v>#REF!</v>
      </c>
      <c r="G33" s="123">
        <f t="shared" si="15"/>
        <v>0</v>
      </c>
      <c r="H33" s="123">
        <f t="shared" si="16"/>
        <v>0</v>
      </c>
      <c r="I33" s="123">
        <f t="shared" si="17"/>
        <v>0</v>
      </c>
      <c r="J33" s="145">
        <f t="shared" si="18"/>
        <v>0</v>
      </c>
      <c r="K33" s="146" t="e">
        <f t="shared" si="19"/>
        <v>#REF!</v>
      </c>
      <c r="L33" s="146" t="e">
        <f t="shared" si="19"/>
        <v>#REF!</v>
      </c>
      <c r="M33" s="146"/>
      <c r="N33" s="146">
        <f t="shared" si="23"/>
        <v>0</v>
      </c>
      <c r="O33" s="147">
        <f t="shared" si="20"/>
        <v>0</v>
      </c>
      <c r="P33" s="146" t="e">
        <f t="shared" si="20"/>
        <v>#DIV/0!</v>
      </c>
      <c r="Q33" s="155" t="e">
        <f t="shared" si="20"/>
        <v>#DIV/0!</v>
      </c>
      <c r="R33" s="128"/>
      <c r="S33" s="128"/>
    </row>
    <row r="34" ht="14.25" spans="1:19">
      <c r="A34" s="115" t="str">
        <f t="shared" ref="A34:B34" si="41">A18</f>
        <v>地下部分2</v>
      </c>
      <c r="B34" s="115" t="str">
        <f t="shared" si="41"/>
        <v>人防车位</v>
      </c>
      <c r="C34" s="117">
        <f>经济指标!E22</f>
        <v>6581.55</v>
      </c>
      <c r="D34" s="117">
        <f t="shared" si="39"/>
        <v>1196.8</v>
      </c>
      <c r="E34" s="118">
        <f t="shared" si="39"/>
        <v>2590.99751374359</v>
      </c>
      <c r="F34" s="118">
        <f>$C34*F18/10000</f>
        <v>114.686049390384</v>
      </c>
      <c r="G34" s="123">
        <f t="shared" si="15"/>
        <v>28.1731119485652</v>
      </c>
      <c r="H34" s="123">
        <f t="shared" si="16"/>
        <v>32.9394495412844</v>
      </c>
      <c r="I34" s="123">
        <f t="shared" si="17"/>
        <v>-4.76633759271923</v>
      </c>
      <c r="J34" s="145">
        <f t="shared" si="18"/>
        <v>3.38077343382782</v>
      </c>
      <c r="K34" s="146">
        <f t="shared" si="19"/>
        <v>3117.9921456674</v>
      </c>
      <c r="L34" s="146">
        <f t="shared" si="19"/>
        <v>-2020.01049429125</v>
      </c>
      <c r="M34" s="146"/>
      <c r="N34" s="146">
        <f t="shared" si="23"/>
        <v>45.6423678202212</v>
      </c>
      <c r="O34" s="147">
        <f t="shared" si="20"/>
        <v>38.4293577981651</v>
      </c>
      <c r="P34" s="146">
        <f t="shared" si="20"/>
        <v>7.21301002205605</v>
      </c>
      <c r="Q34" s="155">
        <f t="shared" si="20"/>
        <v>77.1962532026142</v>
      </c>
      <c r="R34" s="128"/>
      <c r="S34" s="128"/>
    </row>
    <row r="35" ht="14.25" spans="1:19">
      <c r="A35" s="115" t="str">
        <f t="shared" ref="A35:B35" si="42">A19</f>
        <v>地下部分3</v>
      </c>
      <c r="B35" s="115" t="str">
        <f t="shared" si="42"/>
        <v>非人防车位</v>
      </c>
      <c r="C35" s="117">
        <f>经济指标!E23</f>
        <v>32776.96</v>
      </c>
      <c r="D35" s="117">
        <f t="shared" si="39"/>
        <v>5741.391</v>
      </c>
      <c r="E35" s="118">
        <f>成本测算明细!AJ192</f>
        <v>10664.6684470614</v>
      </c>
      <c r="F35" s="118">
        <f>F19*C35/10000</f>
        <v>511.383548444578</v>
      </c>
      <c r="G35" s="123">
        <f t="shared" si="15"/>
        <v>135.154454698767</v>
      </c>
      <c r="H35" s="123">
        <f t="shared" si="16"/>
        <v>158.019935779817</v>
      </c>
      <c r="I35" s="123">
        <f t="shared" si="17"/>
        <v>-22.8654810810499</v>
      </c>
      <c r="J35" s="145">
        <f t="shared" si="18"/>
        <v>16.218534563852</v>
      </c>
      <c r="K35" s="146">
        <f t="shared" si="19"/>
        <v>12833.8033045968</v>
      </c>
      <c r="L35" s="146">
        <f t="shared" si="19"/>
        <v>-7566.47211193622</v>
      </c>
      <c r="M35" s="146"/>
      <c r="N35" s="146">
        <f t="shared" si="23"/>
        <v>218.959458407176</v>
      </c>
      <c r="O35" s="147">
        <f t="shared" si="20"/>
        <v>184.356591743119</v>
      </c>
      <c r="P35" s="146">
        <f t="shared" si="20"/>
        <v>34.6028666640562</v>
      </c>
      <c r="Q35" s="155">
        <f t="shared" si="20"/>
        <v>370.332447669795</v>
      </c>
      <c r="R35" s="128"/>
      <c r="S35" s="128"/>
    </row>
    <row r="36" ht="14.25" spans="1:18">
      <c r="A36" s="124" t="s">
        <v>113</v>
      </c>
      <c r="B36" s="124"/>
      <c r="C36" s="125">
        <f>C22+C23+C24+C31+C33+C34+C35</f>
        <v>133916.97</v>
      </c>
      <c r="D36" s="125">
        <f>D22+D23+D24+D30+D31+D32+D34+D35</f>
        <v>70630.585628</v>
      </c>
      <c r="E36" s="125">
        <f>E22+E23+E24+E31+E34+E35</f>
        <v>54351.5767793462</v>
      </c>
      <c r="F36" s="125">
        <f>F22+F23+F24+F31+F34+F35</f>
        <v>4601.9151885885</v>
      </c>
      <c r="G36" s="125">
        <f>G37</f>
        <v>1662.6699497747</v>
      </c>
      <c r="H36" s="125">
        <f t="shared" ref="H36:M36" si="43">H22+H23+H24+H31+H33+H34+H35</f>
        <v>1943.96107233028</v>
      </c>
      <c r="I36" s="125">
        <f t="shared" si="43"/>
        <v>-281.291122555576</v>
      </c>
      <c r="J36" s="125">
        <f t="shared" si="43"/>
        <v>199.520393972964</v>
      </c>
      <c r="K36" s="125">
        <f>K22+K23+K24+K31+K34+K35</f>
        <v>65406.3883132739</v>
      </c>
      <c r="L36" s="125">
        <f>L22+L23+L24+L31+L34+L35</f>
        <v>-607.685902264665</v>
      </c>
      <c r="M36" s="125">
        <f t="shared" si="43"/>
        <v>0</v>
      </c>
      <c r="N36" s="125">
        <f>MAX(O36,N37,L40)</f>
        <v>2693.63901118884</v>
      </c>
      <c r="O36" s="125">
        <f>O22+O23+O24+O30+O31+O32+O34+O35</f>
        <v>2267.95458438533</v>
      </c>
      <c r="P36" s="125">
        <f>P22+P23+P34+P35+P24</f>
        <v>425.684426803518</v>
      </c>
      <c r="Q36" s="125">
        <f>Q22+Q23+Q34+Q35+Q24</f>
        <v>4555.82935493651</v>
      </c>
      <c r="R36" s="128"/>
    </row>
    <row r="37" s="102" customFormat="1" customHeight="1" spans="5:14">
      <c r="E37" s="126">
        <f>D36-E36-F36-G37-N36-J36</f>
        <v>7121.26430512877</v>
      </c>
      <c r="G37" s="126">
        <f>(D36/(1+F3)*F3-E36/(1+F1)*E1*F1-F36/(1+F2)*E2*F2)</f>
        <v>1662.6699497747</v>
      </c>
      <c r="N37" s="126">
        <f>IF(L36&lt;0,0,IF((VLOOKUP(M36,'1'!A1:C4,2,TRUE)*L36-VLOOKUP(M36,'1'!A1:C4,3,TRUE)*K36)&gt;0,(VLOOKUP(M36,'1'!A1:C4,2,TRUE)*L36-VLOOKUP(M36,'1'!A1:C4,3,TRUE)*K36),0))</f>
        <v>0</v>
      </c>
    </row>
    <row r="38" s="103" customFormat="1" customHeight="1" spans="2:17">
      <c r="B38" s="103" t="s">
        <v>34</v>
      </c>
      <c r="C38" s="127">
        <f>IF(C36=经济指标!E7,0,1)</f>
        <v>0</v>
      </c>
      <c r="D38" s="127">
        <f>IF(D36=预计销售收入及费用情况表!E28,0,1)</f>
        <v>0</v>
      </c>
      <c r="E38" s="127">
        <f>E36-成本测算明细!D192</f>
        <v>0</v>
      </c>
      <c r="F38" s="127">
        <f>成本测算明细!D212</f>
        <v>4601.9151885885</v>
      </c>
      <c r="H38" s="127">
        <f>D36/(1+F3)*0.03-H36</f>
        <v>0</v>
      </c>
      <c r="I38" s="148">
        <f>H36+I36-G36</f>
        <v>3.63797880709171e-12</v>
      </c>
      <c r="J38" s="148">
        <f>G36*0.12</f>
        <v>199.520393972964</v>
      </c>
      <c r="K38" s="127">
        <f>(E36-E36*E1*F1/(1+F1))*1.3-K36</f>
        <v>-7.27595761418343e-11</v>
      </c>
      <c r="L38" s="127">
        <f>D36/(1+F3)-K36-L36</f>
        <v>-3.18323145620525e-11</v>
      </c>
      <c r="N38" s="149"/>
      <c r="P38" s="103">
        <f>O36+P36-N36</f>
        <v>5.91171556152403e-12</v>
      </c>
      <c r="Q38" s="127">
        <f>Q36-R20</f>
        <v>0</v>
      </c>
    </row>
    <row r="39" customHeight="1" spans="5:15">
      <c r="E39" s="128"/>
      <c r="F39" s="128">
        <f>预计销售收入及费用情况表!H28+预计销售收入及费用情况表!I28+项目资金筹措!C19</f>
        <v>4601.9151885885</v>
      </c>
      <c r="G39" s="128">
        <f>D36/1.09*0.03</f>
        <v>1943.96107233028</v>
      </c>
      <c r="J39" s="128"/>
      <c r="K39" s="128">
        <f>K22+K23+K24+K31</f>
        <v>49454.5928630097</v>
      </c>
      <c r="L39" s="128">
        <f>L22+L23+L24+L31</f>
        <v>8978.79670396281</v>
      </c>
      <c r="M39" s="104">
        <f>L39/K39</f>
        <v>0.181556376954397</v>
      </c>
      <c r="O39" s="129">
        <f>N36+J36+G37+项目利润情况表!B19</f>
        <v>6336.14543121871</v>
      </c>
    </row>
    <row r="40" customHeight="1" spans="6:12">
      <c r="F40" s="129">
        <f>成本测算明细!AM209+成本测算明细!AM210+成本测算明细!AM211</f>
        <v>4601.9151885885</v>
      </c>
      <c r="J40" s="128"/>
      <c r="L40" s="129">
        <f>L39*0.3</f>
        <v>2693.63901118884</v>
      </c>
    </row>
    <row r="41" customHeight="1" spans="6:12">
      <c r="F41" s="129">
        <f>F40-F36</f>
        <v>0</v>
      </c>
      <c r="H41" s="128"/>
      <c r="L41" s="128">
        <f>L39+L34+L35</f>
        <v>-607.685902264665</v>
      </c>
    </row>
  </sheetData>
  <mergeCells count="3">
    <mergeCell ref="A4:O4"/>
    <mergeCell ref="A20:Q20"/>
    <mergeCell ref="C1:C3"/>
  </mergeCells>
  <hyperlinks>
    <hyperlink ref="C1:C3" location="目录!A1" display="返回目录"/>
  </hyperlinks>
  <pageMargins left="0.707638888888889" right="0.707638888888889" top="0.747916666666667" bottom="0.747916666666667" header="0.313888888888889" footer="0.313888888888889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www.ftpdown.com</Company>
  <Application>Microsoft Excel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目录</vt:lpstr>
      <vt:lpstr>项目概况</vt:lpstr>
      <vt:lpstr>经济指标</vt:lpstr>
      <vt:lpstr>成本测算明细</vt:lpstr>
      <vt:lpstr>税率</vt:lpstr>
      <vt:lpstr>收入及土地测算</vt:lpstr>
      <vt:lpstr>预计销售收入及费用情况表</vt:lpstr>
      <vt:lpstr>项目资金筹措</vt:lpstr>
      <vt:lpstr>税金计算表</vt:lpstr>
      <vt:lpstr>项目利润情况表</vt:lpstr>
      <vt:lpstr>销售计划表</vt:lpstr>
      <vt:lpstr>工程及开发计划</vt:lpstr>
      <vt:lpstr>管理费用</vt:lpstr>
      <vt:lpstr>现金流预测</vt:lpstr>
      <vt:lpstr>数据源（不可删除）</vt:lpstr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huaming</dc:creator>
  <cp:lastModifiedBy>张磊</cp:lastModifiedBy>
  <cp:revision>1</cp:revision>
  <dcterms:created xsi:type="dcterms:W3CDTF">2007-11-01T01:46:00Z</dcterms:created>
  <cp:lastPrinted>2020-11-11T07:53:00Z</cp:lastPrinted>
  <dcterms:modified xsi:type="dcterms:W3CDTF">2022-01-20T03:57:51Z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2052-11.1.0.11294</vt:lpwstr>
  </property>
  <property fmtid="{D5CDD505-2E9C-101B-9397-08002B2CF9AE}" pid="3" name="KSORubyTemplateID" linkTarget="0">
    <vt:lpwstr>14</vt:lpwstr>
  </property>
  <property fmtid="{D5CDD505-2E9C-101B-9397-08002B2CF9AE}" pid="4" name="ICV">
    <vt:lpwstr>B93A19F36BC740E5AAF44740D9E842CB</vt:lpwstr>
  </property>
</Properties>
</file>