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6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土建类(合同内调整项)" sheetId="95" r:id="rId9"/>
    <sheet name="软装摆件(合同内调整项)" sheetId="89" r:id="rId10"/>
    <sheet name="安装类(合同内调整项）" sheetId="98" r:id="rId11"/>
    <sheet name="土建类(设计变更）" sheetId="85" r:id="rId12"/>
    <sheet name="绿化苗木-依实结算" sheetId="87" r:id="rId13"/>
    <sheet name="软装摆件(设计变更金额)" sheetId="96" r:id="rId14"/>
    <sheet name="安装类 (变更1104-2)" sheetId="97" r:id="rId15"/>
    <sheet name="安装类(变更1104-3)" sheetId="92" r:id="rId16"/>
    <sheet name="增加化粪池（变更单SSWY-BG056)" sheetId="94" r:id="rId17"/>
    <sheet name="雾森系统(变更1104-3)" sheetId="93" r:id="rId1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10" hidden="1">'安装类(合同内调整项）'!$A$2:$I$46</definedName>
    <definedName name="_xlnm._FilterDatabase" localSheetId="11" hidden="1">'土建类(设计变更）'!$A$3:$O$147</definedName>
    <definedName name="_xlnm._FilterDatabase" localSheetId="12" hidden="1">'绿化苗木-依实结算'!$A$3:$IS$134</definedName>
    <definedName name="_xlnm.Print_Area" localSheetId="4">'1结算审批表'!$A$1:$D$15</definedName>
    <definedName name="_xlnm.Print_Area" localSheetId="6">'3工程结算汇总表'!$A$1:$G$34</definedName>
    <definedName name="_xlnm.Print_Area" localSheetId="5">'2资料存档目录'!$A$1:$F$28</definedName>
    <definedName name="_xlnm.Print_Area" localSheetId="9">'软装摆件(合同内调整项)'!$A$1:$I$9</definedName>
    <definedName name="_xlnm.Print_Area" localSheetId="11">'土建类(设计变更）'!$A$1:$I$147</definedName>
    <definedName name="_xlnm.Print_Titles" localSheetId="11">'土建类(设计变更）'!$1:$3</definedName>
    <definedName name="_xlnm._FilterDatabase" localSheetId="15" hidden="1">'安装类(变更1104-3)'!$A$2:$I$15</definedName>
    <definedName name="_xlnm._FilterDatabase" localSheetId="8" hidden="1">'土建类(合同内调整项)'!$A$3:$O$19</definedName>
    <definedName name="_xlnm.Print_Area" localSheetId="8">'土建类(合同内调整项)'!$A$1:$I$19</definedName>
    <definedName name="_xlnm.Print_Titles" localSheetId="8">'土建类(合同内调整项)'!$1:$3</definedName>
    <definedName name="_xlnm.Print_Area" localSheetId="13">'软装摆件(设计变更金额)'!$A$1:$J$7</definedName>
    <definedName name="_xlnm._FilterDatabase" localSheetId="9" hidden="1">'软装摆件(合同内调整项)'!$A$1:$I$9</definedName>
    <definedName name="_xlnm.Print_Titles" localSheetId="15">'安装类(变更1104-3)'!$1:$4</definedName>
    <definedName name="_xlnm.Print_Area" localSheetId="17">'雾森系统(变更1104-3)'!$A$1:$I$8</definedName>
    <definedName name="_xlnm.Print_Area" localSheetId="14">'安装类 (变更1104-2)'!$A$1:$I$67</definedName>
    <definedName name="_xlnm._FilterDatabase" localSheetId="14" hidden="1">'安装类 (变更1104-2)'!$A$2:$I$66</definedName>
    <definedName name="_xlnm.Print_Area" localSheetId="16">'增加化粪池（变更单SSWY-BG056)'!$A$1:$H$8</definedName>
    <definedName name="_xlnm.Print_Titles" localSheetId="14">'安装类 (变更1104-2)'!$1:$4</definedName>
    <definedName name="_xlnm.Print_Area" localSheetId="7">'4结算明细汇总表'!$A$1:$D$43</definedName>
    <definedName name="_xlnm.Print_Titles" localSheetId="7">'4结算明细汇总表'!$1:$2</definedName>
    <definedName name="_xlnm.Print_Titles" localSheetId="12">'绿化苗木-依实结算'!$1:$1</definedName>
    <definedName name="_xlnm.Print_Area" localSheetId="12">'绿化苗木-依实结算'!$A$1:$L$134</definedName>
    <definedName name="_xlnm.Print_Titles" localSheetId="10">'安装类(合同内调整项）'!$1:$4</definedName>
  </definedNames>
  <calcPr calcId="144525" fullPrecision="0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F9D856B635DC46CDBA66DA378AE00C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77575" y="5873750"/>
          <a:ext cx="9334500" cy="50196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<sst xmlns="http://schemas.openxmlformats.org/spreadsheetml/2006/main" count="2759" uniqueCount="1199">
  <si>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</si>
  <si>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</si>
  <si>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</si>
  <si>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</si>
  <si>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</si>
  <si>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</si>
  <si>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</si>
  <si>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</si>
  <si>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</si>
  <si>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</si>
  <si>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</si>
  <si>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</si>
  <si>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</si>
  <si>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</si>
  <si>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</si>
  <si>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</si>
  <si>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</si>
  <si>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</si>
  <si>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</si>
  <si>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</si>
  <si>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</si>
  <si>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</si>
  <si>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</si>
  <si>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</si>
  <si>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</si>
  <si>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</si>
  <si>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</si>
  <si>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</si>
  <si>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</si>
  <si>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</si>
  <si>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</si>
  <si>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</si>
  <si>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</si>
  <si>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</si>
  <si>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</si>
  <si>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</si>
  <si>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</si>
  <si>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</si>
  <si>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</si>
  <si>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</si>
  <si>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</si>
  <si>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</si>
  <si>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</si>
  <si>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</si>
  <si>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</si>
  <si>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</si>
  <si>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</si>
  <si>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</si>
  <si>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</si>
  <si>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</si>
  <si>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</si>
  <si>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</si>
  <si>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</si>
  <si>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</si>
  <si>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</si>
  <si>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</si>
  <si>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</si>
  <si>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</si>
  <si>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</si>
  <si>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</si>
  <si>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</si>
  <si>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</si>
  <si>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</si>
  <si>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</si>
  <si>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</si>
  <si>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</si>
  <si>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</si>
  <si>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</si>
  <si>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</si>
  <si>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</si>
  <si>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</si>
  <si>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</si>
  <si>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</si>
  <si>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</si>
  <si>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</si>
  <si>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</si>
  <si>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</si>
  <si>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</si>
  <si>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</si>
  <si>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</si>
  <si>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</si>
  <si>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</si>
  <si>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</si>
  <si>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</si>
  <si>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</si>
  <si>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</si>
  <si>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</si>
  <si>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</si>
  <si>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</si>
  <si>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</si>
  <si>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</si>
  <si>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</si>
  <si>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</si>
  <si>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</si>
  <si>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</si>
  <si>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</si>
  <si>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</si>
  <si>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</si>
  <si>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</si>
  <si>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</si>
  <si>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</si>
  <si>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</si>
  <si>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</si>
  <si>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</si>
  <si>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</si>
  <si>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</si>
  <si>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</si>
  <si>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</si>
  <si>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</si>
  <si>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</si>
  <si>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</si>
  <si>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</si>
  <si>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</si>
  <si>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</si>
  <si>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</si>
  <si>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</si>
  <si>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</si>
  <si>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</si>
  <si>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</si>
  <si>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</si>
  <si>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</si>
  <si>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</si>
  <si>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</si>
  <si>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</si>
  <si>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</si>
  <si>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</si>
  <si>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</si>
  <si>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</si>
  <si>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</si>
  <si>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</si>
  <si>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</si>
  <si>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</si>
  <si>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</si>
  <si>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</si>
  <si>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</si>
  <si>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</si>
  <si>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</si>
  <si>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</si>
  <si>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</si>
  <si>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</si>
  <si>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</si>
  <si>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</si>
  <si>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</si>
  <si>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</si>
  <si>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</si>
  <si>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</si>
  <si>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</si>
  <si>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</si>
  <si>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</si>
  <si>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</si>
  <si>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</si>
  <si>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</si>
  <si>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</si>
  <si>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</si>
  <si>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</si>
  <si>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</si>
  <si>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</si>
  <si>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</si>
  <si>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</si>
  <si>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</si>
  <si>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</si>
  <si>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</si>
  <si>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</si>
  <si>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</si>
  <si>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</si>
  <si>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</si>
  <si>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</si>
  <si>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</si>
  <si>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</si>
  <si>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</si>
  <si>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</si>
  <si>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</si>
  <si>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</si>
  <si>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</si>
  <si>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</si>
  <si>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</si>
  <si>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</si>
  <si>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</si>
  <si>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</si>
  <si>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</si>
  <si>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</si>
  <si>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</si>
  <si>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</si>
  <si>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</si>
  <si>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</si>
  <si>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</si>
  <si>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</si>
  <si>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</si>
  <si>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</si>
  <si>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</si>
  <si>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</si>
  <si>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</si>
  <si>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</si>
  <si>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</si>
  <si>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</si>
  <si>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</si>
  <si>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</si>
  <si>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</si>
  <si>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</si>
  <si>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</si>
  <si>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</si>
  <si>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</si>
  <si>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</si>
  <si>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</si>
  <si>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</si>
  <si>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</si>
  <si>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</si>
  <si>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</si>
  <si>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</si>
  <si>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</si>
  <si>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</si>
  <si>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</si>
  <si>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</si>
  <si>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</si>
  <si>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</si>
  <si>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</si>
  <si>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</si>
  <si>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</si>
  <si>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</si>
  <si>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</si>
  <si>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</si>
  <si>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</si>
  <si>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</si>
  <si>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</si>
  <si>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</si>
  <si>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</si>
  <si>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</si>
  <si>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</si>
  <si>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</si>
  <si>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</si>
  <si>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</si>
  <si>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</si>
  <si>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</si>
  <si>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</si>
  <si>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</si>
  <si>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</si>
  <si>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</si>
  <si>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</si>
  <si>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</si>
  <si>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</si>
  <si>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</si>
  <si>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</si>
  <si>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</si>
  <si>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</si>
  <si>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</si>
  <si>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</si>
  <si>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</si>
  <si>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</si>
  <si>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</si>
  <si>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</si>
  <si>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</si>
  <si>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</si>
  <si>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</si>
  <si>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</si>
  <si>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</si>
  <si>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</si>
  <si>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</si>
  <si>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</si>
  <si>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</si>
  <si>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</si>
  <si>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</si>
  <si>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</si>
  <si>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</si>
  <si>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</si>
  <si>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</si>
  <si>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</si>
  <si>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</si>
  <si>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</si>
  <si>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</si>
  <si>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</si>
  <si>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</si>
  <si>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</si>
  <si>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</si>
  <si>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</si>
  <si>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</si>
  <si>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</si>
  <si>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</si>
  <si>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</si>
  <si>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</si>
  <si>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</si>
  <si>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</si>
  <si>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</si>
  <si>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</si>
  <si>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</si>
  <si>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</si>
  <si>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</si>
  <si>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</si>
  <si>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</si>
  <si>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</si>
  <si>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</si>
  <si>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</si>
  <si>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</si>
  <si>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</si>
  <si>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</si>
  <si>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</si>
  <si>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</si>
  <si>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</si>
  <si>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</si>
  <si>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</si>
  <si>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</si>
  <si>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</si>
  <si>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</si>
  <si>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</si>
  <si>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</si>
  <si>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</si>
  <si>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</si>
  <si>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</si>
  <si>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</si>
  <si>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</si>
  <si>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</si>
  <si>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</si>
  <si>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</si>
  <si>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</si>
  <si>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</si>
  <si>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</si>
  <si>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</si>
  <si>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</si>
  <si>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</si>
  <si>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</si>
  <si>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</si>
  <si>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</si>
  <si>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</si>
  <si>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</si>
  <si>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</si>
  <si>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</si>
  <si>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</si>
  <si>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</si>
  <si>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</si>
  <si>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</si>
  <si>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</si>
  <si>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</si>
  <si>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</si>
  <si>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</si>
  <si>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</si>
  <si>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</si>
  <si>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</si>
  <si>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</si>
  <si>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</si>
  <si>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</si>
  <si>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</si>
  <si>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</si>
  <si>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</si>
  <si>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宜阳山水文苑景观示范区工程施工合同</t>
    </r>
    <r>
      <rPr>
        <b/>
        <sz val="14"/>
        <rFont val="楷体_GB2312"/>
        <charset val="134"/>
      </rPr>
      <t>结算审批表</t>
    </r>
  </si>
  <si>
    <t>项目名称</t>
  </si>
  <si>
    <t>宜阳山水文苑</t>
  </si>
  <si>
    <t>合同编号</t>
  </si>
  <si>
    <t>SSWY.01-JP-016</t>
  </si>
  <si>
    <t>合同名称</t>
  </si>
  <si>
    <t>宜阳山水文苑景观示范区工程施工合同</t>
  </si>
  <si>
    <t>合同金额</t>
  </si>
  <si>
    <r>
      <rPr>
        <u/>
        <sz val="12"/>
        <rFont val="楷体_GB2312"/>
        <charset val="134"/>
      </rPr>
      <t>3600000.00</t>
    </r>
    <r>
      <rPr>
        <sz val="12"/>
        <rFont val="楷体_GB2312"/>
        <charset val="134"/>
      </rPr>
      <t>元</t>
    </r>
  </si>
  <si>
    <t>施工单位名称</t>
  </si>
  <si>
    <t>洛阳向荣园林工程有限公司</t>
  </si>
  <si>
    <t>乙方送审价</t>
  </si>
  <si>
    <t>3523540.6元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</si>
  <si>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</si>
  <si>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</si>
  <si>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</si>
  <si>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</si>
  <si>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</si>
  <si>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</si>
  <si>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</si>
  <si>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</si>
  <si>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</si>
  <si>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</si>
  <si>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</si>
  <si>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</si>
  <si>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</si>
  <si>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</si>
  <si>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</si>
  <si>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</si>
  <si>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</si>
  <si>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</si>
  <si>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</si>
  <si>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</si>
  <si>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宜阳山水文苑景观示范区工程施工合同结算审批表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</si>
  <si>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</si>
  <si>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</si>
  <si>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</si>
  <si>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</si>
  <si>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</si>
  <si>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</si>
  <si>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</si>
  <si>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</si>
  <si>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</si>
  <si>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宜阳山水文苑景观示范区工程施工合同结算汇总表</t>
  </si>
  <si>
    <t>第4页</t>
  </si>
  <si>
    <t>宜阳山水文苑景观示范区工程施工合同结算价明细汇总表</t>
  </si>
  <si>
    <t>1份2页</t>
  </si>
  <si>
    <t>第5~6页</t>
  </si>
  <si>
    <t>结算通知书（合同编号：SSWY.01-JP-016）</t>
  </si>
  <si>
    <t>第7页</t>
  </si>
  <si>
    <t>结算申请报告（合同编号：SSWY.01-JP-016）</t>
  </si>
  <si>
    <t>第8页</t>
  </si>
  <si>
    <t>工程验收单（合同编号：SSWY.01-JP-016）</t>
  </si>
  <si>
    <t>第9~18页</t>
  </si>
  <si>
    <t>授权委托书（合同编号：SSWY.01-JP-016）</t>
  </si>
  <si>
    <t>第19~21页</t>
  </si>
  <si>
    <t>工程往来账目明细（合同编号：SSWY.01-JP-016）</t>
  </si>
  <si>
    <t>第22页</t>
  </si>
  <si>
    <t>电费结清证明（合同编号：SSWY.01-JP-016）</t>
  </si>
  <si>
    <t>1份3页</t>
  </si>
  <si>
    <t>第23页</t>
  </si>
  <si>
    <t>宜阳山水文苑景观示范区工程施工合同量价确认单</t>
  </si>
  <si>
    <t>1份25页</t>
  </si>
  <si>
    <t>第24~61页</t>
  </si>
  <si>
    <t>签字版</t>
  </si>
  <si>
    <t>宜阳山水文苑景观示范区工程施工合同（含审批表）（合同编号：SSWY.01-JP-016）</t>
  </si>
  <si>
    <t>1份18页</t>
  </si>
  <si>
    <t>第62~135页</t>
  </si>
  <si>
    <t>复印件</t>
  </si>
  <si>
    <r>
      <rPr>
        <sz val="11"/>
        <color rgb="FF006100"/>
        <rFont val="宋体"/>
        <charset val="134"/>
        <scheme val="minor"/>
      </rPr>
      <t>宜阳山水文苑景观示范区工程施工合同扣款单</t>
    </r>
    <r>
      <rPr>
        <sz val="11"/>
        <rFont val="宋体"/>
        <charset val="134"/>
      </rPr>
      <t>（编号：</t>
    </r>
    <r>
      <rPr>
        <sz val="11"/>
        <rFont val="宋体"/>
        <charset val="134"/>
        <scheme val="minor"/>
      </rPr>
      <t>工作联系单011、罚款通知单002、罚款通知单003、罚款通知单004</t>
    </r>
    <r>
      <rPr>
        <sz val="11"/>
        <rFont val="宋体"/>
        <charset val="134"/>
      </rPr>
      <t>）</t>
    </r>
  </si>
  <si>
    <t>1份19页</t>
  </si>
  <si>
    <t>第136~139页</t>
  </si>
  <si>
    <r>
      <rPr>
        <sz val="11"/>
        <color rgb="FF006100"/>
        <rFont val="宋体"/>
        <charset val="134"/>
        <scheme val="minor"/>
      </rPr>
      <t>宜阳山水文苑景观示范区工程施工合同签证单</t>
    </r>
    <r>
      <rPr>
        <sz val="11"/>
        <color rgb="FF006100"/>
        <rFont val="宋体"/>
        <charset val="134"/>
      </rPr>
      <t>（编号：</t>
    </r>
    <r>
      <rPr>
        <sz val="11"/>
        <color rgb="FF006100"/>
        <rFont val="宋体"/>
        <charset val="134"/>
        <scheme val="minor"/>
      </rPr>
      <t>YYSSWY-QZ-0001、YYSSWY-QZ-0002、YYSSWY-QZ-0003、YYSSWY-QZ-0004、YYSSWY-QZ-0005、YYSSWY-QZ-0006、YYSSWY-QZ-0007</t>
    </r>
    <r>
      <rPr>
        <sz val="11"/>
        <color rgb="FF006100"/>
        <rFont val="宋体"/>
        <charset val="134"/>
      </rPr>
      <t>）</t>
    </r>
  </si>
  <si>
    <t>1份7页</t>
  </si>
  <si>
    <t>第140~258页</t>
  </si>
  <si>
    <t>YYSSWY-QZ-0007作废</t>
  </si>
  <si>
    <t>认质认价通知单</t>
  </si>
  <si>
    <t>第259`263页</t>
  </si>
  <si>
    <t>施工方报送的结算资料</t>
  </si>
  <si>
    <t>1份41页</t>
  </si>
  <si>
    <t>第264~303页</t>
  </si>
  <si>
    <t>向荣建设工程有限公司变更信息</t>
  </si>
  <si>
    <t>第304页</t>
  </si>
  <si>
    <t>设计修改通知单</t>
  </si>
  <si>
    <t>5份</t>
  </si>
  <si>
    <t>原件、复印件</t>
  </si>
  <si>
    <t>竣工图纸</t>
  </si>
  <si>
    <t>6份</t>
  </si>
  <si>
    <t>蓝图</t>
  </si>
  <si>
    <t>造价师：</t>
  </si>
  <si>
    <t>日期：</t>
  </si>
  <si>
    <t>工程结算汇总表</t>
  </si>
  <si>
    <t>合同编号：SSWY.01-JP-016                          合同金额：3600000元</t>
  </si>
  <si>
    <t>合同名称：宜阳山水文苑景观示范区工程施工合同</t>
  </si>
  <si>
    <t>甲    方：洛阳莘子园置业有限公司</t>
  </si>
  <si>
    <t>乙    方：洛阳向荣园林工程有限公司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</si>
  <si>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</si>
  <si>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</si>
  <si>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</si>
  <si>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</si>
  <si>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</si>
  <si>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</si>
  <si>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设计变更</t>
  </si>
  <si>
    <t>签证单</t>
  </si>
  <si>
    <t>扣款项目</t>
  </si>
  <si>
    <t>二</t>
  </si>
  <si>
    <t>其他费用合计</t>
  </si>
  <si>
    <t>审减追加额</t>
  </si>
  <si>
    <t>协商结算舍尾数金额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</si>
  <si>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</si>
  <si>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</si>
  <si>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</si>
  <si>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</si>
  <si>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</si>
  <si>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</si>
  <si>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</si>
  <si>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</si>
  <si>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</si>
  <si>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……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</si>
  <si>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</si>
  <si>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</si>
  <si>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</si>
  <si>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</si>
  <si>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</si>
  <si>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</si>
  <si>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</si>
  <si>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</si>
  <si>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</si>
  <si>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</si>
  <si>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</si>
  <si>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宜阳山水文苑景观示范区工程施工合同
结算价明细汇总表</t>
  </si>
  <si>
    <t>工程造价（元）</t>
  </si>
  <si>
    <t>详见确认单</t>
  </si>
  <si>
    <t>原合同金额</t>
  </si>
  <si>
    <t>土建类</t>
  </si>
  <si>
    <t>固定总价包干</t>
  </si>
  <si>
    <t>绿化苗木</t>
  </si>
  <si>
    <t>固定综合单价包干依实结算</t>
  </si>
  <si>
    <t>软装摆件</t>
  </si>
  <si>
    <t>安装部分</t>
  </si>
  <si>
    <t>雾森系统</t>
  </si>
  <si>
    <t>合同内调整金额</t>
  </si>
  <si>
    <t>安装部分小计(3.1+3.2+3.3)</t>
  </si>
  <si>
    <t>安装类 (变更1104-2)</t>
  </si>
  <si>
    <t>安装类(变更1104-3)</t>
  </si>
  <si>
    <t>增加化粪池（变更单SSWY-BG056)</t>
  </si>
  <si>
    <t>详见签证单</t>
  </si>
  <si>
    <t>中浩德控股集团有限公司总部移树</t>
  </si>
  <si>
    <t>编号：YYSSWY-QZ-0001.签证金额为4500元，考虑合同清单优惠率后，金额为4486.05元</t>
  </si>
  <si>
    <t>景观示范区A区、B区多余土方清运；示范区售楼部东面窗景广告围挡；售楼部门头增加牌匾一套</t>
  </si>
  <si>
    <t>编号：YYSSWY-QZ-0002.签证金额为19100元，考虑合同清单优惠率后，金额为18830.69元</t>
  </si>
  <si>
    <t>吊车及人工转运；示范区C区广告围挡；景观示范区树牌</t>
  </si>
  <si>
    <t>编号：YYSSWY-QZ-0003.签证金额为42400元，考虑合同清单优惠率后，金额为41802.16元</t>
  </si>
  <si>
    <t>景石5块；草坪和砾石分隔带不锈钢板；黑色砾石散铺；移栽白蜡B1棵，丛生石楠B1棵，红枫2棵，花石榴1棵，草坪50方；插泥灯、LED电视装饰灯、电缆YJV-3*4-PE25-C(WL3、WL4)49米、电缆YJV-3*6-PE32-FC(WL10)31米，电气手孔井1个；De63给水管26.4m，D32快速水阀1个，检修门井1座</t>
  </si>
  <si>
    <t>编号：YYSSWY-QZ-0004。签证金额为32000元，考虑合同清单优惠率后，金额为31900.8元</t>
  </si>
  <si>
    <t>因市政官网施工，部分展示区景观拆除</t>
  </si>
  <si>
    <t>编号：YYSSWY-QZ-0005。签证金额为53400元，考虑合同清单优惠率后，金额为53223.78元</t>
  </si>
  <si>
    <t>售楼部增加电缆</t>
  </si>
  <si>
    <t>编号：YYSSWY-QZ-0006。签证金额为44291.47元，考虑合同清单优惠率后，金额为44145.31元</t>
  </si>
  <si>
    <t>扣款</t>
  </si>
  <si>
    <t>详见扣款单</t>
  </si>
  <si>
    <t>工作联系单(编号：011)</t>
  </si>
  <si>
    <t>工作联系单(编号：罚款通知单002)</t>
  </si>
  <si>
    <t>工作联系单(编号：罚款通知单003)</t>
  </si>
  <si>
    <t>工作联系单(编号：罚款通知单004)</t>
  </si>
  <si>
    <t>合计（1+2+3+4）</t>
  </si>
  <si>
    <t>报送金额</t>
  </si>
  <si>
    <t>结算金额的5%</t>
  </si>
  <si>
    <t>合计+审减追加额（五+六）</t>
  </si>
  <si>
    <t>审减额</t>
  </si>
  <si>
    <t>八</t>
  </si>
  <si>
    <t>经双方友好协商一致，本合同最终结算总价</t>
  </si>
  <si>
    <t>舍尾数金额73.65元</t>
  </si>
  <si>
    <t>中浩德山水文苑示范区项目景观工程清单(土建类合同内调整项)</t>
  </si>
  <si>
    <t>项目特征</t>
  </si>
  <si>
    <t>单位</t>
  </si>
  <si>
    <t>工程量</t>
  </si>
  <si>
    <t>综合单价（元）</t>
  </si>
  <si>
    <t>合价（元）</t>
  </si>
  <si>
    <t>其中：主材</t>
  </si>
  <si>
    <t>土建类合同内调整项</t>
  </si>
  <si>
    <t>原土打夯</t>
  </si>
  <si>
    <t>1.土壤类别：综合
2.打夯机械，综合考虑，含地形整平；
3.其它满足规范和设计图纸要求</t>
  </si>
  <si>
    <t>m2</t>
  </si>
  <si>
    <t>按原清单单价</t>
  </si>
  <si>
    <t>荔枝面芝麻灰花岗岩（入口台阶）</t>
  </si>
  <si>
    <t>1.面层：550*900*30荔枝面芝麻灰花岗岩（平面）、100*180*1500厚荔枝面芝麻黑花岗岩（立面）、100*900*180荔枝面芝麻黑花岗岩，300*600*30芝麻黑花岗岩；
2.30厚1:2.5无碱水泥沙浆结合层                                 3.其他满足规范和设计图纸要求</t>
  </si>
  <si>
    <t>混凝土集水坑（含水景）</t>
  </si>
  <si>
    <t>1.C25P6抗渗含混凝土；
2.含基础、侧墙；
3.含混凝土运输、浇筑、养护等为满足工艺的相关辅助措施；
4.模板制作、安装、拆除、运输等相关措施，含砖胎模；
5.其他满足规范和图纸设计要求</t>
  </si>
  <si>
    <t>m3</t>
  </si>
  <si>
    <t>树脂造型</t>
  </si>
  <si>
    <t>1.树脂造型，专业公司二次深化设计；                               2.背衬5厚钢板喷深灰色氟碳漆，底部不锈钢板打印山水造型图案；                3.龙骨：D70*50*3矩管，横向三道，竖向间距1.43m，
4.其他满足规范和设计图纸要求</t>
  </si>
  <si>
    <t>原清单，现场未施工</t>
  </si>
  <si>
    <t>挡土墙混凝土</t>
  </si>
  <si>
    <t>1.C30P6混凝土；
2.混凝土拌合料要求：符合规范要求
3.模板安拆费用计入综合单价，支模方式综合考虑
4.其它满足规范和设计图纸要求</t>
  </si>
  <si>
    <t>米白色真石漆</t>
  </si>
  <si>
    <t>1.米白色真石漆；
2.其他满足规范和图纸设计要求</t>
  </si>
  <si>
    <t>按原清单单价，现场未施工</t>
  </si>
  <si>
    <t>荔枝面芝麻灰花岗岩</t>
  </si>
  <si>
    <t>1.面层：300*600*30荔枝面芝麻灰花岗岩
2.30厚1:2.5无碱水泥沙浆           结合层                                 3.其他满足规范和设计图纸要求</t>
  </si>
  <si>
    <t>挖一般土方</t>
  </si>
  <si>
    <t>1.土壤类别：综合
2.挖土深度：详设计
3.开挖方式：人工、机械综合考虑
4.多余土方运送场内指定位置
5.其它满足规范和设计图纸要求</t>
  </si>
  <si>
    <t>土方回填</t>
  </si>
  <si>
    <t>1.密实度要求：满足设计要求 
2.填方材料品种：满足设计要求的合格土方 
3.填方粒径要求：符合设计要求
4.填方来源、运距：投标人根据现场实际情况自行考虑
5.其它满足规范和设计图纸要求</t>
  </si>
  <si>
    <t>级配碎石垫层</t>
  </si>
  <si>
    <t>1.垫层材料种类：150厚级配碎石
2.其他满足规范和设计图纸要求</t>
  </si>
  <si>
    <t>C20混凝土</t>
  </si>
  <si>
    <t>1.混凝土强度等级:100厚C20混凝土
2.混凝土拌合料要求：符合规范要求
3.模板安拆费用计入综合单价，支模方式综合考虑
4.其它满足规范和设计图纸要求</t>
  </si>
  <si>
    <t>铁艺门</t>
  </si>
  <si>
    <t>1.铁艺门，外包3mm钢板，氟碳喷涂
2.成品制作、安装及为满足图纸效果而进行的必要措施；                         3.其他满足规范和图纸设计要求；</t>
  </si>
  <si>
    <t>3厚不锈钢钛金精工字</t>
  </si>
  <si>
    <t>1.背发光,钢胶粘固定；
2.膨胀螺栓、钢板等预埋措施
3.包括诗词、LOGO等图纸设计字；
4.其他满足规范和图纸设计要求；</t>
  </si>
  <si>
    <t>项</t>
  </si>
  <si>
    <t>按双方协商按原清单相似项价格计入</t>
  </si>
  <si>
    <t>合计</t>
  </si>
  <si>
    <t>软装摆件类合同内调整项</t>
  </si>
  <si>
    <t>合同内调整项</t>
  </si>
  <si>
    <t>中式茶台</t>
  </si>
  <si>
    <r>
      <rPr>
        <sz val="9"/>
        <rFont val="宋体"/>
        <charset val="134"/>
      </rPr>
      <t>桌子</t>
    </r>
    <r>
      <rPr>
        <sz val="9"/>
        <rFont val="Arial"/>
        <charset val="0"/>
      </rPr>
      <t>3000x1200x730</t>
    </r>
    <r>
      <rPr>
        <sz val="9"/>
        <rFont val="宋体"/>
        <charset val="134"/>
      </rPr>
      <t>、椅子</t>
    </r>
    <r>
      <rPr>
        <sz val="9"/>
        <rFont val="Arial"/>
        <charset val="0"/>
      </rPr>
      <t>600x600x900</t>
    </r>
  </si>
  <si>
    <t>套</t>
  </si>
  <si>
    <t>实木</t>
  </si>
  <si>
    <t>垃圾桶</t>
  </si>
  <si>
    <t>350x350x750</t>
  </si>
  <si>
    <t>个</t>
  </si>
  <si>
    <t>玫瑰金不锈钢</t>
  </si>
  <si>
    <t>移动岗亭</t>
  </si>
  <si>
    <t>1500x1700x2700</t>
  </si>
  <si>
    <r>
      <rPr>
        <sz val="9"/>
        <rFont val="Arial"/>
        <charset val="0"/>
      </rPr>
      <t>80x80x2</t>
    </r>
    <r>
      <rPr>
        <sz val="9"/>
        <rFont val="宋体"/>
        <charset val="0"/>
      </rPr>
      <t>钢管、钢化玻璃、镀锌板</t>
    </r>
  </si>
  <si>
    <r>
      <rPr>
        <sz val="9"/>
        <rFont val="宋体"/>
        <charset val="0"/>
      </rPr>
      <t>样板间引导</t>
    </r>
    <r>
      <rPr>
        <sz val="9"/>
        <rFont val="Arial"/>
        <charset val="0"/>
      </rPr>
      <t>(</t>
    </r>
    <r>
      <rPr>
        <sz val="9"/>
        <rFont val="宋体"/>
        <charset val="0"/>
      </rPr>
      <t>二级</t>
    </r>
    <r>
      <rPr>
        <sz val="9"/>
        <rFont val="Arial"/>
        <charset val="0"/>
      </rPr>
      <t>)</t>
    </r>
  </si>
  <si>
    <t>600x50x1000</t>
  </si>
  <si>
    <t>铝板喷紫铜色氟碳漆、石材</t>
  </si>
  <si>
    <t>合计(一)</t>
  </si>
  <si>
    <t>元</t>
  </si>
  <si>
    <t>中浩德山水文苑示范区项目景观（安装类合同内调整项）</t>
  </si>
  <si>
    <t>综合单价（元）其中：</t>
  </si>
  <si>
    <t>景观电气</t>
  </si>
  <si>
    <t>草坪灯安装</t>
  </si>
  <si>
    <t>1、名称：草坪灯；
2、规格、大小、型号：LED灯,色温3000K,15W/220V， H=800mm；
3、含基础、预留、调试、接地；
4、安装方式：地面安装；
5、灯体描述:黑色；
6、其他：详见图纸设计，相关图集，规范等。</t>
  </si>
  <si>
    <t>树投灯安装</t>
  </si>
  <si>
    <t>1、名称：树投灯；
2、规格、大小、型号：LED灯,色温3000K,10W/220V ；
3、含基础、预留、调试、接地；
4、安装方式：埋地安装；
5、灯体描述:不锈钢灯体； 
6、其他：详见图纸设计，相关图集，规范等。</t>
  </si>
  <si>
    <t>嵌入式水下灯安装</t>
  </si>
  <si>
    <t>1、名称：嵌入式水下灯；
2、规格、大小、型号：LED灯,色温3000K,6W/12V ；
3、含基础、预留、调试、接地；                       
4、安装方式：池底嵌入安装；
5、灯体描述:不锈钢灯体； 
6、其他：详见图纸设计，相关图集，规范等。</t>
  </si>
  <si>
    <t>柱头灯安装</t>
  </si>
  <si>
    <t>1、名称：柱头灯；
2、规格、大小、型号：LED灯,色温3000K,15W/220V；
3、含基础、预留、调试、接地；                        
4、安装方式：预留基座安装；
5、其他：详见图纸设计，相关图集，规范等。</t>
  </si>
  <si>
    <t>环形水下灯安装</t>
  </si>
  <si>
    <t>1、名称：环形水下灯；
2、规格、大小、型号：LED灯,色温3000K,9W/12V ；
3、含基础、预留、调试、接地；
4、安装方式：涌泉套装绑定安装；
5、灯体描述:不锈钢灯体； 
6、其他：详见图纸设计，相关图集，规范等。</t>
  </si>
  <si>
    <t>LED端子板</t>
  </si>
  <si>
    <t>1、名称：LED端子板
2、规格：满足图纸
3、其他：详见图纸设计，相关图集15D502，规范等。</t>
  </si>
  <si>
    <t>电气分部小计</t>
  </si>
  <si>
    <t>景观给排水</t>
  </si>
  <si>
    <t>（一）</t>
  </si>
  <si>
    <t>景观给水管</t>
  </si>
  <si>
    <t>水表井（尺寸与图纸不符，做法未按图纸做）</t>
  </si>
  <si>
    <t>1、名称：水表井
2、砖砌体：75号水泥砂浆或50号混合砂浆砌筑
3、附件：阀门另计，井盖与井圈等满足规范及图纸要求 
4、具体参照图集S145-17-5
5、其他：详见图纸设计、相关图集、规范等</t>
  </si>
  <si>
    <t>座</t>
  </si>
  <si>
    <t>成品阀门箱</t>
  </si>
  <si>
    <t>1、名称：VB1419成品阀门箱
2、规格：顶部440x330,底部530x400mm,高度335mm
3、附件:不含阀门
4、含M10砖砌体、100mm厚C15砼基础具体做法详见图纸大样图
5、其他：详见图纸设计、相关图集、规范等</t>
  </si>
  <si>
    <t>主材价：阀门箱</t>
  </si>
  <si>
    <t>1、名称：VB910成品阀门箱
2、附件:不含阀门
3、含M10砖砌体、100mm厚C15砼基础具体做法详见图纸大样图
4、其他：详见图纸设计、相关图集、规范等</t>
  </si>
  <si>
    <t>球阀（阀门箱内）</t>
  </si>
  <si>
    <t>1、名称：球阀（阀门箱内）
2、材质：不锈钢
3、规格：DN50
4、连接方式：螺纹连接
5、其他：详见图纸设计、相关图集、规范等</t>
  </si>
  <si>
    <t>主材价：球阀</t>
  </si>
  <si>
    <t>分部小计</t>
  </si>
  <si>
    <t>（七）</t>
  </si>
  <si>
    <t>雨水</t>
  </si>
  <si>
    <t>挖土方</t>
  </si>
  <si>
    <t>1、类型：沟槽挖土方
2、挖土深度：2m以内
3、其他：详见图纸设计、相关图集、规范等</t>
  </si>
  <si>
    <t>回填土</t>
  </si>
  <si>
    <t>1、类型：回填、夯实
2、其他：详见图纸设计、相关图集、规范等</t>
  </si>
  <si>
    <t>成品线性排水沟(偏缝式)</t>
  </si>
  <si>
    <t>1、名称：成品线性排水沟(偏缝式)
2、规格：De160(沟体尺寸200W*250H)  
3、包含相关混凝土基础等，具体参照图集07J306页38
4、其他：详见图纸设计、相关图集、规范等</t>
  </si>
  <si>
    <t>m</t>
  </si>
  <si>
    <t>平箅式雨水口</t>
  </si>
  <si>
    <t>1、名称：平箅式雨水口
2、规格：De225
3、参照图集16S518页8
4、其他：详见图纸设计、相关图集、规范等</t>
  </si>
  <si>
    <t>主材价：平箅式雨水口</t>
  </si>
  <si>
    <t>绿地排水口</t>
  </si>
  <si>
    <t>1、名称：绿地排水口
2、规格：De225
3、其他：详见图纸设计、相关图集、规范等</t>
  </si>
  <si>
    <t>卵石排水口</t>
  </si>
  <si>
    <t>1、名称:卵石排水口
2、规格：De160
3、其他：详见图纸设计、相关图集、规范等</t>
  </si>
  <si>
    <t>给排水分部小计</t>
  </si>
  <si>
    <t>室外管网电气</t>
  </si>
  <si>
    <t>电线管敷设三孔梅花管PC32</t>
  </si>
  <si>
    <t>1、名称：电线管；
2、材质、规格：三孔梅花管PC32；
3、敷设方式：埋地敷设；
4、其他：详见图纸设计，相关图集，规范等。</t>
  </si>
  <si>
    <t>埋地敷设电线</t>
  </si>
  <si>
    <t>1、名称：消防进线；
2、规格、型号：NHRVS-2*2.5mm2；
3、敷设方式:穿管敷设；
4、其它：详见图纸设计，相关图集，规范等。</t>
  </si>
  <si>
    <t>1、名称：消防进线；
2、规格、型号：NHBV-2*4mm2；
3、敷设方式:穿管敷设；
4、其它：详见图纸设计，相关图集，规范等。</t>
  </si>
  <si>
    <t>埋地敷设电缆</t>
  </si>
  <si>
    <t>1、名称：弱电进线；
2、规格、型号：6芯多模光纤；
3、含光纤接头；
4、敷设方式:穿管敷设；
5、其它：详见图纸设计，相关图集，规范等。</t>
  </si>
  <si>
    <t>1、名称：弱电进线；
2、规格、型号：25对三类大对数电缆；
3、含电缆头；
4、敷设方式:穿管敷设；
5、其它：详见图纸设计，相关图集，规范等。</t>
  </si>
  <si>
    <t>电缆手孔井</t>
  </si>
  <si>
    <t>1、名称：电缆手孔井            
2、规格：1680*1380*1600；
3、其它：详见图纸设计，相关图集08D800-7、P60-61，规范等。</t>
  </si>
  <si>
    <t>电缆沟的开挖、回填</t>
  </si>
  <si>
    <t>1、名称：电缆沟开挖、回填；
2、其他：详见图纸设计，相关图集，规范等。</t>
  </si>
  <si>
    <t>室外管网电气分部小计</t>
  </si>
  <si>
    <t>室外管网雨污水</t>
  </si>
  <si>
    <t>污水管 PE双壁波纹管DN300</t>
  </si>
  <si>
    <t>1、名称：PE双壁波纹管De300；
2、规格：De300；
3、连接方式：承插式连接；
4、安装方式：埋地安装；
5、压力试验及吹、洗设计要求:满足规范及设计要求；
6、其他：详见图纸设计、相关图集、规范等。</t>
  </si>
  <si>
    <t>雨水管 PE双壁波纹管DN500</t>
  </si>
  <si>
    <t>1、名称：PE双壁波纹管DN500；
2、规格：DN500；
3、连接方式：承插式连接；
4、安装方式：埋地安装；
5、压力试验及吹、洗设计要求:满足规范及设计要求；
6、其他：详见图纸设计、相关图集、规范等。</t>
  </si>
  <si>
    <t>雨水管 PE双壁波纹管DN400（变管材）</t>
  </si>
  <si>
    <t>1、名称：PE双壁波纹管DN400；
2、规格：DN400；
3、连接方式：承插式连接；
4、安装方式：埋地安装；
5、压力试验及吹、洗设计要求:满足规范及设计要求；
6、其他：详见图纸设计、相关图集、规范等。</t>
  </si>
  <si>
    <t>PE排水管（合同单价）</t>
  </si>
  <si>
    <t>1、名称：PE排水管
2、规格：De110
3、连接方式：热熔连接，含相关配件
4、压力试验及吹、洗设计要求:满足规范及设计要求
5、附件：管口设不锈钢网罩
6、其他：详见图纸设计、相关图集、规范等</t>
  </si>
  <si>
    <t>污水井</t>
  </si>
  <si>
    <t>1、名称：圆形砌筑污水检查井φ700；
2、井深：详见图纸；
3、含井盖、基础，详细井盖选用及基础做法参考08SS523；
4、其他：详见图纸设计、检查井做法参考相关图集02S515、规范等。</t>
  </si>
  <si>
    <t>室外管网雨污水分部小计</t>
  </si>
  <si>
    <t xml:space="preserve"> 总合计</t>
  </si>
  <si>
    <t>优惠后合价（元）</t>
  </si>
  <si>
    <t>下浮率0.33%</t>
  </si>
  <si>
    <t>中浩德山水文苑示范区项目景观工程清单（土建类设计变更）</t>
  </si>
  <si>
    <t>设计号ZL-19-1104编号BG-001</t>
  </si>
  <si>
    <t>水景不锈钢篦子设计-40*4改为-30*4</t>
  </si>
  <si>
    <t>不锈钢篦子</t>
  </si>
  <si>
    <t>1.-40*4不锈钢篦子；
2.3*3镀锌钢丝网；
3.含相关辅材及为满足施工需要而进行的必要措施                               4.其他满足规范和图纸设计要求</t>
  </si>
  <si>
    <t>1.-30*4不锈钢篦子；
2.3*3镀锌钢丝网；
3.含相关辅材及为满足施工需要而进行的必要措施                               4.其他满足规范和图纸设计要求</t>
  </si>
  <si>
    <t>A区两侧迎宾墙仿黄洞石瓷砖压顶，改为2厚不锈钢喷深咖色氟碳漆压顶</t>
  </si>
  <si>
    <t>仿黄洞石瓷砖</t>
  </si>
  <si>
    <t>1.12厚哑光面仿黄洞石瓷砖，综合考虑各种规格，满足图纸设计
2.30厚1:2.5无碱水泥沙浆结合层                                 3.其他满足规范和设计图纸要求</t>
  </si>
  <si>
    <t>不锈钢喷深咖色氟碳漆压顶</t>
  </si>
  <si>
    <t>1.2厚不锈钢喷深咖色氟碳漆压顶
2.其他满足规范和图纸设计要求；</t>
  </si>
  <si>
    <t>参考原清单2厚钢板造型单价</t>
  </si>
  <si>
    <t>宽度在AD1.8-① 图</t>
  </si>
  <si>
    <t>入口跌水幕墙由钢制改为夹绢玻璃</t>
  </si>
  <si>
    <t>碎石垫层</t>
  </si>
  <si>
    <t>1.200厚级配碎石
2.其他满足规范和图纸设计要求</t>
  </si>
  <si>
    <t>C20混凝土垫层</t>
  </si>
  <si>
    <t>1.100厚C20混凝土
2.其他满足规范和图纸设计要求</t>
  </si>
  <si>
    <t>砖基础</t>
  </si>
  <si>
    <t>1.MU7.5砖砌体
2.其他满足规范和图纸设计要求</t>
  </si>
  <si>
    <t>砖墙</t>
  </si>
  <si>
    <t>混凝土压顶</t>
  </si>
  <si>
    <t>1.C25混凝土压顶
2.含混凝土运输、浇筑、养护等为满足工艺的相关辅助措施；
3.模板制作、安装、拆除、运输等相关措施；
4.其他满足规范和图纸设计要求</t>
  </si>
  <si>
    <t>1.面层：300*600*12仿黄洞石瓷砖
2.粘接层：20厚1:2.5无碱水泥沙浆粘接层
3.找坡层：8厚1:2.5无碱水泥沙浆找平层；
4.其他满足规范和图纸设计要求；</t>
  </si>
  <si>
    <t>山形图案</t>
  </si>
  <si>
    <t>1.5厚不锈钢山形图案，深咖色氟碳饰面                        2.面积按最外层图纸设计面积计算
3.其他满足规范和图纸设计要求</t>
  </si>
  <si>
    <t>回形文一</t>
  </si>
  <si>
    <t>1.3厚不锈钢字体，深咖色氟碳漆饰面；                           2.膨胀螺栓、钢板等预埋措施
3.其他满足规范和图纸设计要求；</t>
  </si>
  <si>
    <t>回形文（造型钢板）</t>
  </si>
  <si>
    <t>1.3厚不锈钢字体，深咖色氟碳漆饰面；                           2.2厚造型钢板，氟碳喷涂；
3.膨胀螺栓、钢板等预埋措施
4.其他满足规范和图纸设计要求；</t>
  </si>
  <si>
    <t>构造柱</t>
  </si>
  <si>
    <t>1.C25混凝土
2.含混凝土运输、浇筑、养护等为满足工艺的相关辅助措施；
3.模板制作、安装、拆除、运输等相关措施；
4.其他满足规范和图纸设计要求</t>
  </si>
  <si>
    <t>圈梁</t>
  </si>
  <si>
    <t>夹绢玻璃</t>
  </si>
  <si>
    <t>1.8+8夹绢玻璃
2.含φ40*60*3钢管等骨架及埋件
3.其他满足规范和图纸设计要求</t>
  </si>
  <si>
    <t>按认质认价价格计入</t>
  </si>
  <si>
    <t>雕塑鹤</t>
  </si>
  <si>
    <t>1.鹤雕塑为玻璃钢材质，底座钢板一圈密焊，提前做好防水；                       
2.其他满足规范和设计图纸要求</t>
  </si>
  <si>
    <t>设计号ZL-19-1104编号BG-01（后场A、B、C取消，改为后场做法）</t>
  </si>
  <si>
    <t>后场A、B、C取消</t>
  </si>
  <si>
    <t>后院A（图纸CP1.1；垫层、碎石散铺统一考虑计入铺装部分；）</t>
  </si>
  <si>
    <t>1.1.1</t>
  </si>
  <si>
    <t>圆形水景</t>
  </si>
  <si>
    <t>1.1.1.1</t>
  </si>
  <si>
    <t>混凝土集水坑</t>
  </si>
  <si>
    <t>1.C25P6抗渗含混凝土
2.含基础、侧墙；
3.含混凝土运输、浇筑、养护等为满足工艺的相关辅助措施；
4.模板制作、安装、拆除、运输等相关措施；
5.其他满足规范和图纸设计要求</t>
  </si>
  <si>
    <t>1.1.1.2</t>
  </si>
  <si>
    <t>钢筋</t>
  </si>
  <si>
    <t>1.HPB300直径10以内；
2.钢筋制作、安装及为满足施工而进行的必要辅助措施；
3.其他满足规范和图纸设计要求</t>
  </si>
  <si>
    <t>T</t>
  </si>
  <si>
    <t>1.1.1.3</t>
  </si>
  <si>
    <t>细石混凝土</t>
  </si>
  <si>
    <t>1.C30细石混凝土保护层；
3.含混凝土运输、浇筑、养护等为满足工艺的相关辅助措施；                    4.模板制作、安装、拆除、运输等相关措施；
5.其他满足规范和图纸设计要求</t>
  </si>
  <si>
    <t>1.1.1.4</t>
  </si>
  <si>
    <t>水泥砂浆找平层</t>
  </si>
  <si>
    <t>1.20厚1:2.5水泥砂浆找平层；
2.其他满足规范和图纸设计要求</t>
  </si>
  <si>
    <t>1.1.1.5</t>
  </si>
  <si>
    <t>防水卷材</t>
  </si>
  <si>
    <t>1.4厚SBS防水卷材
2.其他满足规范和图纸设计要求</t>
  </si>
  <si>
    <t>1.1.1.6</t>
  </si>
  <si>
    <t>1.-40*4不锈钢篦子；
2.3*3镀锌钢丝网 ；
3.含相关辅材及为满足施工需要而进行的必要措施                               4.其他满足规范和图纸设计要求</t>
  </si>
  <si>
    <t>1.1.1.7</t>
  </si>
  <si>
    <t>不锈钢板</t>
  </si>
  <si>
    <t>1.2厚不锈钢板                       2.龙骨：D50*3不锈钢矩形钢管；含相关辅材及为满足施工需要而进行的必要措施               3.其他满足规范和图纸设计要求</t>
  </si>
  <si>
    <t>1.1.1.8</t>
  </si>
  <si>
    <t>止水条</t>
  </si>
  <si>
    <t>1.遇水膨胀橡胶止水条、CPS防水密封膏；
2.其他满足规范和图纸设计要求</t>
  </si>
  <si>
    <t>1.1.1.9</t>
  </si>
  <si>
    <t>光面黑金沙花岗岩</t>
  </si>
  <si>
    <t>1.30厚光面黑金砂花岗岩、弧形加工；                         2.成品支撑起支撑；
3.其他满足规范和图纸设计要求</t>
  </si>
  <si>
    <t>1.1.2</t>
  </si>
  <si>
    <t>铺装</t>
  </si>
  <si>
    <t>1.1.2.1</t>
  </si>
  <si>
    <t>1.1.2.2</t>
  </si>
  <si>
    <t>1.1.2.3</t>
  </si>
  <si>
    <t>1.1.2.4</t>
  </si>
  <si>
    <t>1.1.2.5</t>
  </si>
  <si>
    <t>1.1.2.6</t>
  </si>
  <si>
    <t>400*400荔枝面芝麻灰花岗岩</t>
  </si>
  <si>
    <t>1.面层：400*400*30荔枝面芝麻灰花岗岩、200*400*30荔枝面芝麻灰花岗岩                      2.30厚1:2.5无碱水泥沙浆结合层
3.依据图纸设计综合考虑两种规格花岗岩需求量
4.其它满足规范和设计图纸要求</t>
  </si>
  <si>
    <t>1.1.2.7</t>
  </si>
  <si>
    <t>100*200荔枝面芝麻黑花岗岩</t>
  </si>
  <si>
    <t>1.100*200*30荔枝面芝麻黑花岗岩  2.30厚1:2.5无碱水泥沙浆结合层
3.其它满足规范和设计图纸要求</t>
  </si>
  <si>
    <t>1.1.2.8</t>
  </si>
  <si>
    <t>砾石面层</t>
  </si>
  <si>
    <t>1.面层：60厚φ5-10黑色砾石
2.采用-50*5不锈钢板分割，形状位置、依据图纸要求
3.其他满足规范和设计图纸要求</t>
  </si>
  <si>
    <t>1.1.2.9</t>
  </si>
  <si>
    <t>汀步</t>
  </si>
  <si>
    <t>1.400*900*50荔枝面芝麻灰花岗岩
2.30厚1:3干硬性水泥砂浆
3.其他满足规范和设计图纸要求</t>
  </si>
  <si>
    <t>1.1.2.10</t>
  </si>
  <si>
    <t>景石</t>
  </si>
  <si>
    <t>1.规格尺寸：综合考虑，满足图纸设计要求
2.采购、运输、安装等为满足效果相关措施；</t>
  </si>
  <si>
    <t>块</t>
  </si>
  <si>
    <t>1.1.2.11</t>
  </si>
  <si>
    <t>1.1.2.12</t>
  </si>
  <si>
    <t>1.规格型号：HRB400直径10以内
2.钢筋制作、安装及为满足图纸设计而进行的必要措施
3.其它满足规范和设计图纸要求</t>
  </si>
  <si>
    <t>后院B（样板院DP1.1）</t>
  </si>
  <si>
    <t>1.2.1</t>
  </si>
  <si>
    <t>1.2.1.1</t>
  </si>
  <si>
    <t>1.2.1.2</t>
  </si>
  <si>
    <t>1.土壤类别：综合
2.挖土深度：详设计
3.开挖方式：人工、机械综合考虑 
4.多余土方运送场内指定位置
5.其它满足规范和设计图纸要求</t>
  </si>
  <si>
    <t>1.2.1.3</t>
  </si>
  <si>
    <t>1.2.1.4</t>
  </si>
  <si>
    <t>1.2.1.5</t>
  </si>
  <si>
    <t>1.2.1.6</t>
  </si>
  <si>
    <t>1.面层：60厚φ5-10黑色、白色砾石，综合考虑不同颜色
2.采用-60*5不锈钢板分割，形状位置、依据图纸要求
3.其他满足规范和设计图纸要求</t>
  </si>
  <si>
    <t>1.2.1.7</t>
  </si>
  <si>
    <t>布锤石</t>
  </si>
  <si>
    <t>1.φ800布锤石80厚；
2.购买、运输、安装等为满足图纸而进行的必要措施；
3.其他满足规范和设计图纸要求</t>
  </si>
  <si>
    <t>1.2.1.8</t>
  </si>
  <si>
    <t>1.2.2</t>
  </si>
  <si>
    <t>小跌水</t>
  </si>
  <si>
    <t>1.2.2.1</t>
  </si>
  <si>
    <t>1.C25P6抗渗含混凝土；
2.含基础、侧墙；
3.含混凝土运输、浇筑、养护等为满足工艺的相关辅助措施；
4.模板制作、安装、拆除、运输等相关措施，综合考虑木模、砖胎膜；
5.其他满足规范和图纸设计要求</t>
  </si>
  <si>
    <t>1.2.2.2</t>
  </si>
  <si>
    <t>1.2.2.3</t>
  </si>
  <si>
    <t>1.20厚1:2.5水泥砂浆找平层
2.其他满足规范和图纸设计要求</t>
  </si>
  <si>
    <t>1.2.2.4</t>
  </si>
  <si>
    <t>1.2.2.5</t>
  </si>
  <si>
    <t>1.垫层材料种类：300厚级配碎石
2.其他满足规范和设计图纸要求</t>
  </si>
  <si>
    <t>1.2.2.6</t>
  </si>
  <si>
    <t>1.2.2.7</t>
  </si>
  <si>
    <t>水钵</t>
  </si>
  <si>
    <t>1.成品光面花岗岩水钵D460
2.购买、运输、安装等为满足图纸设计进行的必要措施 
3.其他满足规范和图纸设计要求</t>
  </si>
  <si>
    <t>1.2.3</t>
  </si>
  <si>
    <t>1.2.3.1</t>
  </si>
  <si>
    <t>砖砌体</t>
  </si>
  <si>
    <t>1.MU7.5砖砌体
2.含C30混凝土预制块；
3.其他满足规范和图纸设计要求</t>
  </si>
  <si>
    <t>1.2.3.2</t>
  </si>
  <si>
    <t>1.2.3.3</t>
  </si>
  <si>
    <t>找平层</t>
  </si>
  <si>
    <t>1.10厚1:2.5无碱水泥沙浆；
2.其他满足规范和图纸设计要求</t>
  </si>
  <si>
    <t>1.2.3.4</t>
  </si>
  <si>
    <t>25厚光面黄金麻</t>
  </si>
  <si>
    <t>1.25厚光面黄金麻
2.依据图纸设计进行拉槽
3.20厚1:2.5无碱水泥沙浆粘接层
4.其他满足规范和图纸设计要求</t>
  </si>
  <si>
    <t>1.2.3.5</t>
  </si>
  <si>
    <t>55厚光面黄金麻</t>
  </si>
  <si>
    <t>1.55厚光面黄金麻
2.依据图纸设计进行拉槽
3.20厚1:2.5无碱水泥沙浆粘接层
4.其他满足规范和图纸设计要求</t>
  </si>
  <si>
    <t>1.2.3.6</t>
  </si>
  <si>
    <t>不锈钢标识</t>
  </si>
  <si>
    <t>1.300*300*2厚立面不锈钢标识喷咖色漆，钢胶粘固定；                  2.其他满足规范和图纸设计要求</t>
  </si>
  <si>
    <t>1.2.3.7</t>
  </si>
  <si>
    <t>围墙顶灯</t>
  </si>
  <si>
    <t>1.3厚米黄色仿云石透光板
2.含相关辅材及为满足图纸要求而进行必要措施
3.其他满足规范和图纸设计要求</t>
  </si>
  <si>
    <t>1.2.3.8</t>
  </si>
  <si>
    <t>1.D40*3厚矩管外喷深咖色漆，D30*2.5厚矩管外喷深咖色漆；
2.含相关辅材及为满足图纸要求而进行必要措施
3.其他满足规范和图纸设计要求</t>
  </si>
  <si>
    <t>后院C（EP1.1）</t>
  </si>
  <si>
    <t>1.3.1</t>
  </si>
  <si>
    <t>1.3.1.1</t>
  </si>
  <si>
    <t>1.3.1.2</t>
  </si>
  <si>
    <t>1.3.1.3</t>
  </si>
  <si>
    <t>1.3.1.4</t>
  </si>
  <si>
    <t>光面芝麻黑花岗岩</t>
  </si>
  <si>
    <t>1.150*600*30光面芝麻黑花岗岩
2.30厚1:2.5无碱水泥沙浆结合层
3.其它满足规范和设计图纸要求</t>
  </si>
  <si>
    <t>1.3.1.5</t>
  </si>
  <si>
    <t>1.300*600*30荔枝面芝麻灰花岗岩
2.30厚1:2.5无碱水泥沙浆结合层
3.其它满足规范和设计图纸要求</t>
  </si>
  <si>
    <t>1.3.1.6</t>
  </si>
  <si>
    <t>荔枝面芝麻黑花岗岩</t>
  </si>
  <si>
    <t>1.300*600*30荔枝面芝麻黑花岗岩
2.30厚1:2.5无碱水泥沙浆结合层
3.其它满足规范和设计图纸要求</t>
  </si>
  <si>
    <t>1.3.1.7</t>
  </si>
  <si>
    <t>1.面层：60厚φ5-10黑色、白色砾石，综合考虑不同颜色 ；
2.采用-60*5不锈钢板分割，形状位置、依据图纸要求
3.其他满足规范和设计图纸要求</t>
  </si>
  <si>
    <t>1.3.1.8</t>
  </si>
  <si>
    <t xml:space="preserve">整块石            </t>
  </si>
  <si>
    <t>1.80厚机切面芝麻白整块石
2.直径综合考虑；
3.购买、运输、安装及为满足图纸施工需要而进行的辅助措施
4.其他满足规范和设计图纸要求</t>
  </si>
  <si>
    <t>1.3.1.9</t>
  </si>
  <si>
    <t>1.规格尺寸：综合考虑，满足图纸设计要求
2.采购、运输、安装等为满足效果相关措施；
3.其他满足规范和设计图纸要求</t>
  </si>
  <si>
    <t>1.3.1.10</t>
  </si>
  <si>
    <t>黑色瓦片</t>
  </si>
  <si>
    <t>1.100*120*5厚黑色瓦片，弧形交错拼接                               2.水泥砂浆固定
3.其他满足规范和设计图纸要求</t>
  </si>
  <si>
    <t>1.3.1.11</t>
  </si>
  <si>
    <t>木平台</t>
  </si>
  <si>
    <t>1.120*L*40防腐木，留缝5mm；100*L*30防腐木挡板；
2.40厚50*L防腐木龙骨@450 ；
3.其它满足规范和设计图纸要求</t>
  </si>
  <si>
    <t>1.3.2</t>
  </si>
  <si>
    <t>格栅围墙</t>
  </si>
  <si>
    <t>1.3.2.1</t>
  </si>
  <si>
    <t>1.3.2.2</t>
  </si>
  <si>
    <t>1.3.2.3</t>
  </si>
  <si>
    <t>1.3.2.4</t>
  </si>
  <si>
    <t>1.3.2.5</t>
  </si>
  <si>
    <t>矩管花架</t>
  </si>
  <si>
    <t>1.D160*80*4厚矩管
2.含辅材及制作、安装及为满足图纸而进行的相关措施                         3.其他满足规范和设计图纸要求</t>
  </si>
  <si>
    <t>1.3.2.6</t>
  </si>
  <si>
    <t>花架基础C25钢筋混凝土</t>
  </si>
  <si>
    <t>1.C25混凝土；
2.混凝土拌合料要求：符合规范要求
3.模板安拆费用计入综合单价，支模方式综合考虑
4.其它满足规范和设计图纸要求</t>
  </si>
  <si>
    <t>1.3.2.7</t>
  </si>
  <si>
    <t>挑空桌台</t>
  </si>
  <si>
    <t>1.3厚不锈钢板，磨砂面包边                                      2.其他满足规范和设计图纸要求</t>
  </si>
  <si>
    <t>1.3.2.8</t>
  </si>
  <si>
    <t>挑空桌台骨架</t>
  </si>
  <si>
    <t>1.D50*4方钢管
2.其他满足规范和设计图纸要求</t>
  </si>
  <si>
    <t>1.3.2.9</t>
  </si>
  <si>
    <t>1.20厚50*L红雪松防腐木，15厚20*L红雪松防腐木，间隔布置；
2.其他满足规范和设计图纸要求</t>
  </si>
  <si>
    <t>1.3.2.10</t>
  </si>
  <si>
    <t>格栅围墙骨架</t>
  </si>
  <si>
    <t>1.D50*4方钢管，                                       2.含预埋铁件；
3.其他满足规范和设计图纸要求</t>
  </si>
  <si>
    <t>改为后场做法</t>
  </si>
  <si>
    <t>1.100*200*30荔枝面芝麻黑花岗岩
2.30厚1:2.5无碱水泥沙浆结合层
3.其它满足规范和设计图纸要求</t>
  </si>
  <si>
    <t>1.面层：400*400*30荔枝面芝麻灰花岗岩、200*400*30荔枝面芝麻灰花岗岩
2.30厚1:2.5无碱水泥沙浆结合层
3.依据图纸设计综合考虑两种规格花岗岩需求量；
4.其它满足规范和设计图纸要求</t>
  </si>
  <si>
    <t>台阶芝麻灰花岗岩</t>
  </si>
  <si>
    <t>1.台阶面层：50厚400*500荔枝面芝麻灰花岗岩、50厚400*600荔枝面芝麻灰花岗岩、50厚350*500荔枝面芝麻灰花岗岩、50厚350*600荔枝面芝麻灰花岗岩台阶
2.30厚1:2.5无碱水泥沙浆结合层                                 3.其他满足规范和设计图纸要求</t>
  </si>
  <si>
    <t>按30厚荔枝面芝麻灰花岗岩价格折算(190+主材由30厚换算为50厚，石材主材价每增加1个厚为1元，再增加管理费、利润、税金等20%)</t>
  </si>
  <si>
    <t>100厚c20混凝土</t>
  </si>
  <si>
    <t>设计号ZL-19-1104编号BG-1.0</t>
  </si>
  <si>
    <t>AD-1.1  1原水景内循环水与涌泉改为砾石铺装与雾森效果</t>
  </si>
  <si>
    <t>福鼎黑花岗岩</t>
  </si>
  <si>
    <t>1.30厚福鼎黑花岗岩，综合考虑各种规格及周边封边用石材；                                 2.万能支撑起支撑；
3.其他满足规范和设计图纸要求</t>
  </si>
  <si>
    <t>1.面层：60厚φ5-10黑色砾石；
2.其他满足规范和设计图纸要求；</t>
  </si>
  <si>
    <t>按原清单单价双方协商价</t>
  </si>
  <si>
    <t>滤水无纺布</t>
  </si>
  <si>
    <t>1.滤水无纺布一层
2.其他满足规范和设计图纸要求；</t>
  </si>
  <si>
    <t>按双方协商价格计入</t>
  </si>
  <si>
    <t>50厚粗砂垫层</t>
  </si>
  <si>
    <t>1.50厚粗砂垫层
2.其他满足规范和设计图纸要求；</t>
  </si>
  <si>
    <t>种植池砌砖</t>
  </si>
  <si>
    <t>AD-1.1  3原水景景池外围侧立面回形纹钢板造型图案取消</t>
  </si>
  <si>
    <t>回形</t>
  </si>
  <si>
    <t>1.3厚不锈钢字体，深咖色氟碳漆饰面；                            2.其他满足规范和图纸设计要求；</t>
  </si>
  <si>
    <t>AD-1.1  4主入口地面LOGO加入回形纹钢板造型</t>
  </si>
  <si>
    <t>回形文石材雕刻雕刻</t>
  </si>
  <si>
    <t>1.地面石雕回形文，专业厂家二次深化设计；
2.其他满足规范和设计图纸要求</t>
  </si>
  <si>
    <t>回形纹不锈钢雕刻</t>
  </si>
  <si>
    <t>1.地面石不锈钢雕刻回形文，专业厂家二次深化设计；
2.其他满足规范和设计图纸要求</t>
  </si>
  <si>
    <t>现场确认回形纹下是否有石材,暂按有</t>
  </si>
  <si>
    <t>1.30厚荔枝面芝麻灰花岗岩
2.30厚1:2.5无碱水泥沙浆结合层                                 3.其他满足规范和设计图纸要求</t>
  </si>
  <si>
    <t>原台阶造型为芝麻灰+芝麻黑现改为50厚荔枝面芝麻灰花岗岩</t>
  </si>
  <si>
    <t>荔枝面芝麻灰花岗岩（出入口外登堂其他台阶）</t>
  </si>
  <si>
    <t>1.面层：350*600*30荔枝面芝麻灰花岗岩（平面）、180*900*100厚荔枝面芝麻黑花岗岩（立面
2.30厚1:2.5无碱水泥沙浆结合层                                 3.其他满足规范和设计图纸要求</t>
  </si>
  <si>
    <t>荔枝面芝麻灰花岗岩（台阶）</t>
  </si>
  <si>
    <t>1.面层：350*600*30荔枝面芝麻灰花岗岩（平面）、100*600*180厚荔枝面芝麻黑花岗岩（立面）、100*600*180荔枝面芝麻黑花岗岩
2.30厚1:2.5无碱水泥沙浆结合层                                 3.其他满足规范和设计图纸要求</t>
  </si>
  <si>
    <t>1.面层：550*900*50荔枝面芝麻灰花岗岩（平面）、100*180*1500厚荔枝面芝麻黑花岗岩（立面）、100*900*180荔枝面芝麻黑花岗岩，300*600*30芝麻黑花岗岩；
2.30厚1:2.5无碱水泥沙浆结合层                                 
3.其他满足规范和设计图纸要求</t>
  </si>
  <si>
    <t>1.面层：350*600*50荔枝面芝麻灰花岗岩（平面）、180*900*100厚荔枝面芝麻黑花岗岩（立面）
2.30厚1:2.5无碱水泥沙浆结合层                                 3.其他满足规范和设计图纸要求</t>
  </si>
  <si>
    <t>1.面层：350*600*50荔枝面芝麻灰花岗岩（平面）、100*600*180厚荔枝面芝麻黑花岗岩（立面）、100*600*180荔枝面芝麻黑花岗岩
2.30厚1:2.5无碱水泥沙浆结合层                                 3.其他满足规范和设计图纸要求</t>
  </si>
  <si>
    <t>AD-2.1  1中央水景两侧种植池外围侧立面回形纹钢板造型图案取消</t>
  </si>
  <si>
    <t>现场确认是否为过道高差侧面是否未做。</t>
  </si>
  <si>
    <t>AD-2.1  4中央水景两侧种植池竖向高度有调整</t>
  </si>
  <si>
    <t>1.面层：350*600*30荔枝面芝麻灰花岗岩（平面）、180*900*100厚荔枝面芝麻黑花岗岩（立面)
2.30厚1:2.5无碱水泥沙浆结合层                                 3.其他满足规范和设计图纸要求</t>
  </si>
  <si>
    <t>1.12厚哑光面仿黄洞石瓷砖，综合考虑各种规格，满足图纸设计         2.30厚1:2.5无碱水泥沙浆结合层                                 3.其他满足规范和设计图纸要求</t>
  </si>
  <si>
    <t>AD-4.1  1原地雕详图取消改为种植池侧立面图纸</t>
  </si>
  <si>
    <t>地雕</t>
  </si>
  <si>
    <t>1.地面石雕，花纹由石材厂家二次深化设计；材质为50mm厚芝麻灰花岗岩，下凹15mm厚；
2.其他满足规范和设计图纸要求</t>
  </si>
  <si>
    <t>1.30厚100*600荔枝面芝麻黑花岗岩
2.30厚1:2.5无碱水泥沙浆结合层
3.其它满足规范和设计图纸要求</t>
  </si>
  <si>
    <t>景石变更</t>
  </si>
  <si>
    <t>1.规格尺寸：综合考虑，满足图纸设计要求
2.含景石基础
3.采购、运输、安装等为满足效果相关措施；</t>
  </si>
  <si>
    <t>雪浪石</t>
  </si>
  <si>
    <t>1.规格尺寸：综合考虑，满足图纸设计要求
2.含雪浪石基础
3.采购、运输、安装等为满足效果相关措施；</t>
  </si>
  <si>
    <t>按认质认价单(编号2021-ZC-009)计入</t>
  </si>
  <si>
    <t>合计(一+二+三+四)</t>
  </si>
  <si>
    <t>绿植苗木部分</t>
  </si>
  <si>
    <t>综合单价</t>
  </si>
  <si>
    <t>合价</t>
  </si>
  <si>
    <t>规格</t>
  </si>
  <si>
    <t>说明</t>
  </si>
  <si>
    <t>干径(cm)</t>
  </si>
  <si>
    <t>高度(m)</t>
  </si>
  <si>
    <t>冠幅(m)</t>
  </si>
  <si>
    <t>分枝点(m)</t>
  </si>
  <si>
    <t>乔木</t>
  </si>
  <si>
    <t>朴树B</t>
  </si>
  <si>
    <t>株</t>
  </si>
  <si>
    <t>25-27</t>
  </si>
  <si>
    <t>9-10</t>
  </si>
  <si>
    <t>5.0-5.5</t>
  </si>
  <si>
    <t>F=2.5-3.0</t>
  </si>
  <si>
    <t>成活价，全冠，冠型饱满完整,枝繁叶茂。</t>
  </si>
  <si>
    <t>丛生朴树</t>
  </si>
  <si>
    <t>每分枝12</t>
  </si>
  <si>
    <t>不小于6.0</t>
  </si>
  <si>
    <t>— —</t>
  </si>
  <si>
    <t>成活价，点景树，4-5分枝，冠型饱满完整,枝繁叶茂。</t>
  </si>
  <si>
    <t>国槐A</t>
  </si>
  <si>
    <t>10-11</t>
  </si>
  <si>
    <t>国槐B</t>
  </si>
  <si>
    <t>7.5-8.5</t>
  </si>
  <si>
    <t>4.5-5.0</t>
  </si>
  <si>
    <t>F=2.0-2.5</t>
  </si>
  <si>
    <t>4-4.5</t>
  </si>
  <si>
    <t>原清单为P=4.5-5.0</t>
  </si>
  <si>
    <t>白蜡A</t>
  </si>
  <si>
    <t>8-9</t>
  </si>
  <si>
    <t>F=2.5-2.8</t>
  </si>
  <si>
    <t>成活价，冠型饱满完整,枝繁叶茂。</t>
  </si>
  <si>
    <t>图纸为3株</t>
  </si>
  <si>
    <t>白蜡B</t>
  </si>
  <si>
    <t>6-7</t>
  </si>
  <si>
    <t>3.5-4.0</t>
  </si>
  <si>
    <t>F=1.8-2.2</t>
  </si>
  <si>
    <t>特选二乔玉兰</t>
  </si>
  <si>
    <t>基径18-20</t>
  </si>
  <si>
    <t>4.0-4.5</t>
  </si>
  <si>
    <t>F＜0.3</t>
  </si>
  <si>
    <t>低分枝，冠型饱满完整,枝繁叶茂。</t>
  </si>
  <si>
    <t>山杏</t>
  </si>
  <si>
    <t>基径13-15</t>
  </si>
  <si>
    <t>3.5-4</t>
  </si>
  <si>
    <t>F&lt;0.5</t>
  </si>
  <si>
    <t>成活价，，低分枝，冠型饱满完整,枝繁叶茂。</t>
  </si>
  <si>
    <t>日本晚樱</t>
  </si>
  <si>
    <t>基径15</t>
  </si>
  <si>
    <t>图纸为5株</t>
  </si>
  <si>
    <t>北美海棠</t>
  </si>
  <si>
    <t>基径12-13</t>
  </si>
  <si>
    <t>3-3.5</t>
  </si>
  <si>
    <t>图纸为4株</t>
  </si>
  <si>
    <t>丛生红叶李</t>
  </si>
  <si>
    <t>成活价，丛生树，冠型饱满完整,枝繁叶茂。</t>
  </si>
  <si>
    <t>红枫</t>
  </si>
  <si>
    <t>基径9-10</t>
  </si>
  <si>
    <t>2-2.2</t>
  </si>
  <si>
    <t>1.8-2</t>
  </si>
  <si>
    <t>F=0.3-0.6</t>
  </si>
  <si>
    <t>成活价，分层明显，冠型饱满完整,枝繁叶茂。</t>
  </si>
  <si>
    <t>花石榴A</t>
  </si>
  <si>
    <t>3.0-3.5</t>
  </si>
  <si>
    <t>成活价，低分枝，丛生状，冠型饱满完整,枝繁叶茂。</t>
  </si>
  <si>
    <t>桩景石榴</t>
  </si>
  <si>
    <t>低分枝，丛生状，冠型饱满完整,枝繁叶茂。</t>
  </si>
  <si>
    <t>协商按认质认价中花石榴B价格计入</t>
  </si>
  <si>
    <t>花石榴B</t>
  </si>
  <si>
    <t>原清单为H=2.2-2.5m</t>
  </si>
  <si>
    <t>丛生紫薇</t>
  </si>
  <si>
    <t>2.2-2.5</t>
  </si>
  <si>
    <t>成活价，多枝丛生状，冠型饱满完整,枝繁叶茂。</t>
  </si>
  <si>
    <t>丛生紫薇A+B图纸总量为6株</t>
  </si>
  <si>
    <t>原清单为P=2.5</t>
  </si>
  <si>
    <t>大叶女贞</t>
  </si>
  <si>
    <t>原清单为H=5-5.5</t>
  </si>
  <si>
    <t>丛生石楠A</t>
  </si>
  <si>
    <t>成活价，丛生状，冠型饱满完整,枝繁叶茂。</t>
  </si>
  <si>
    <t>长势不佳，按合同价*0.85计入</t>
  </si>
  <si>
    <t>丛生石楠B</t>
  </si>
  <si>
    <t>2.8-3</t>
  </si>
  <si>
    <t>笼子桂花</t>
  </si>
  <si>
    <t>2.0-2.2</t>
  </si>
  <si>
    <t>原清单为P=2.0-2.2</t>
  </si>
  <si>
    <t>桂花A</t>
  </si>
  <si>
    <t>F&lt;0.8</t>
  </si>
  <si>
    <t>桂花B</t>
  </si>
  <si>
    <t>基径12</t>
  </si>
  <si>
    <t>丛生桂花</t>
  </si>
  <si>
    <t>冠型饱满完整,枝繁叶茂。</t>
  </si>
  <si>
    <t>协商按笼子桂花价格计入</t>
  </si>
  <si>
    <t>图纸总量为0株</t>
  </si>
  <si>
    <t>造型罗汉松A</t>
  </si>
  <si>
    <t>2.5-3</t>
  </si>
  <si>
    <t>成活价，特选造型树，造型飘逸</t>
  </si>
  <si>
    <t>原清单H=2.5</t>
  </si>
  <si>
    <t>造型罗汉松B</t>
  </si>
  <si>
    <t>原清单H=1.5，P=1.5-1.8</t>
  </si>
  <si>
    <t>紫竹</t>
  </si>
  <si>
    <t>m²</t>
  </si>
  <si>
    <t>D:2.5-3</t>
  </si>
  <si>
    <t>自然冠幅</t>
  </si>
  <si>
    <t>成活价，带竹园土，每平方25株,品字形种植</t>
  </si>
  <si>
    <t>独杆月季</t>
  </si>
  <si>
    <t>D：3.5</t>
  </si>
  <si>
    <t>1.2-1.5</t>
  </si>
  <si>
    <t>1-1.2</t>
  </si>
  <si>
    <t>冠型饱满完整，枝繁叶茂</t>
  </si>
  <si>
    <t>图纸数量为0株</t>
  </si>
  <si>
    <t>灌木</t>
  </si>
  <si>
    <t>高度(cm)</t>
  </si>
  <si>
    <t>冠幅(cm)</t>
  </si>
  <si>
    <t>分枝点(cm)</t>
  </si>
  <si>
    <t>丛生木槿</t>
  </si>
  <si>
    <t>丛</t>
  </si>
  <si>
    <t>丛生，10分枝以上，冠幅饱满</t>
  </si>
  <si>
    <t>协商按金叶女贞球B价格折算计入</t>
  </si>
  <si>
    <t>丛生，11分枝以上，冠幅饱满</t>
  </si>
  <si>
    <t>大叶黄杨球A</t>
  </si>
  <si>
    <t>冠形饱满，不脱脚</t>
  </si>
  <si>
    <t>原清单为H=180-200，P=220-250</t>
  </si>
  <si>
    <t>大叶黄杨球B</t>
  </si>
  <si>
    <t>红叶石楠球A</t>
  </si>
  <si>
    <t>成活价，球形，冠形饱满，不脱脚</t>
  </si>
  <si>
    <t>原清单为H=180，P=220</t>
  </si>
  <si>
    <t>红叶石楠球B</t>
  </si>
  <si>
    <t>红叶石楠球</t>
  </si>
  <si>
    <t>金叶女贞球A</t>
  </si>
  <si>
    <t>金叶女贞球B</t>
  </si>
  <si>
    <t>原清单为H=120，P=150</t>
  </si>
  <si>
    <t>海桐球A</t>
  </si>
  <si>
    <t>按认质认价价格计入，规格按设计变更后规格计入</t>
  </si>
  <si>
    <t>半死</t>
  </si>
  <si>
    <t>海桐球B</t>
  </si>
  <si>
    <t>图纸数量为11株</t>
  </si>
  <si>
    <t>原清单为H=100，P=120</t>
  </si>
  <si>
    <t>龟甲冬青球</t>
  </si>
  <si>
    <t>小叶黄杨球</t>
  </si>
  <si>
    <t>协商按海桐球B价格折算</t>
  </si>
  <si>
    <t>地被</t>
  </si>
  <si>
    <t>佛甲草</t>
  </si>
  <si>
    <t>15-20</t>
  </si>
  <si>
    <t>成活价，100株/m2；袋苗，密植，以不露土为准</t>
  </si>
  <si>
    <t>毛杜鹃</t>
  </si>
  <si>
    <t>20-25</t>
  </si>
  <si>
    <t>成活价，81株/m2；袋装毛球，密植，以不露土为准</t>
  </si>
  <si>
    <t>瓜子黄杨</t>
  </si>
  <si>
    <t>金森女贞</t>
  </si>
  <si>
    <t>30-35</t>
  </si>
  <si>
    <t>25-30</t>
  </si>
  <si>
    <t>成活价，64株/m2；袋装毛球，密植，以不露土为准</t>
  </si>
  <si>
    <t>图纸数量为95m2</t>
  </si>
  <si>
    <t>金边黄杨</t>
  </si>
  <si>
    <t>35-40</t>
  </si>
  <si>
    <t>成活价，49株/m2；袋装毛球，密植，以不露土为准</t>
  </si>
  <si>
    <t>图纸数量为51m2</t>
  </si>
  <si>
    <t>红叶石楠</t>
  </si>
  <si>
    <t>图纸数量为153m2</t>
  </si>
  <si>
    <t>海桐</t>
  </si>
  <si>
    <t>45-50</t>
  </si>
  <si>
    <t>洒金珊瑚</t>
  </si>
  <si>
    <t>袋装毛球，密植，以不露土为准</t>
  </si>
  <si>
    <t>大叶黄杨</t>
  </si>
  <si>
    <t>密植，以不露土为准</t>
  </si>
  <si>
    <t>协商按金森女贞价格计入</t>
  </si>
  <si>
    <t>图纸数量为0</t>
  </si>
  <si>
    <t>金边菖蒲</t>
  </si>
  <si>
    <t>八角金盘</t>
  </si>
  <si>
    <t>50-60</t>
  </si>
  <si>
    <t>40-50</t>
  </si>
  <si>
    <t>成活价，25株/m2；密植，以不露土为准</t>
  </si>
  <si>
    <t>细叶芒</t>
  </si>
  <si>
    <t>图纸数量为1m2</t>
  </si>
  <si>
    <t>细叶麦冬</t>
  </si>
  <si>
    <t>10-15</t>
  </si>
  <si>
    <t>成活价，满种，不露土；</t>
  </si>
  <si>
    <t>细叶麦冬镶边</t>
  </si>
  <si>
    <t>协商按细叶麦冬价格计入</t>
  </si>
  <si>
    <t>时花</t>
  </si>
  <si>
    <t>成活价，100株/m2；备选品种：常夏石竹，矮牵牛，三色堇，万寿菊等</t>
  </si>
  <si>
    <t>图纸数量为46+21</t>
  </si>
  <si>
    <t>草坪</t>
  </si>
  <si>
    <t>——</t>
  </si>
  <si>
    <t>成活价，满铺；矮生百慕大混播黑麦草</t>
  </si>
  <si>
    <t>绿化用地整理</t>
  </si>
  <si>
    <t>绿化用地整理，堆土丘</t>
  </si>
  <si>
    <t>平衡考虑场地内所需土方，包含绿化用地、铺装用地所需土方</t>
  </si>
  <si>
    <t>按合同优惠率计算最终合价</t>
  </si>
  <si>
    <t>软装摆件类设计变更金额</t>
  </si>
  <si>
    <t>休闲座椅</t>
  </si>
  <si>
    <r>
      <rPr>
        <sz val="11"/>
        <rFont val="宋体"/>
        <charset val="0"/>
      </rPr>
      <t>桌子</t>
    </r>
    <r>
      <rPr>
        <sz val="11"/>
        <rFont val="Arial"/>
        <charset val="0"/>
      </rPr>
      <t>800x800x750</t>
    </r>
    <r>
      <rPr>
        <sz val="11"/>
        <rFont val="宋体"/>
        <charset val="0"/>
      </rPr>
      <t>、椅子</t>
    </r>
    <r>
      <rPr>
        <sz val="11"/>
        <rFont val="Arial"/>
        <charset val="0"/>
      </rPr>
      <t>580x680x900</t>
    </r>
  </si>
  <si>
    <r>
      <rPr>
        <sz val="11"/>
        <rFont val="宋体"/>
        <charset val="134"/>
      </rPr>
      <t>镀锌钢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、</t>
    </r>
    <r>
      <rPr>
        <sz val="11"/>
        <rFont val="Arial"/>
        <charset val="134"/>
      </rPr>
      <t>PE</t>
    </r>
    <r>
      <rPr>
        <sz val="11"/>
        <rFont val="宋体"/>
        <charset val="134"/>
      </rPr>
      <t>藤</t>
    </r>
  </si>
  <si>
    <t>设计修改通知单ZL-19-1104，编号BG-01</t>
  </si>
  <si>
    <t>中浩德山水文苑示范区项目景观（水电安装）变更设计号ZL-19-1104-002</t>
  </si>
  <si>
    <t>LED软灯带</t>
  </si>
  <si>
    <t>1、名称：LED软灯带；
2、规格、大小、型号：LED灯,色温3000K,5W/米，220V ；                   3、安装方式：灯槽预留安装； 
4、其他：详见图纸设计，相关图集，规范等。</t>
  </si>
  <si>
    <t>（二）</t>
  </si>
  <si>
    <t>入口对称水景</t>
  </si>
  <si>
    <t>PE给水管</t>
  </si>
  <si>
    <t>1、名称：PE给水管
2、规格：De63
3、压力等级：PN1.25MPa
4、连接方式：热熔连接，含相关配件
5、压力试验及吹、洗设计要求:满足规范及设计要求
6、其他：详见图纸设计、相关图集、规范等</t>
  </si>
  <si>
    <t>主材价：PE管</t>
  </si>
  <si>
    <t>热镀锌钢管</t>
  </si>
  <si>
    <t>1、名称：热镀锌钢管
2、规格：DN50
3、连接方式：螺纹连接，含相关配件
4、压力试验及吹、洗设计要求:满足规范及设计要求
5、其他：详见图纸设计、相关图集、规范等</t>
  </si>
  <si>
    <t>主材价：热镀锌钢管</t>
  </si>
  <si>
    <t>1、名称：热镀锌钢管
2、规格：DN25
3、连接方式：螺纹连接，含相关配件
4、压力试验及吹、洗设计要求:满足规范及设计要求
5、其他：详见图纸设计、相关图集、规范等</t>
  </si>
  <si>
    <t>潜水泵</t>
  </si>
  <si>
    <t>1、名称：潜水泵
2、设备型号：QSP 25-9-1.1
3、参数:流量25m3/h，扬程9米，功率1.1KW
4、安装方式:卧式暗装
5、其他：详见图纸设计、相关图集、规范等</t>
  </si>
  <si>
    <t>台</t>
  </si>
  <si>
    <t>主材价：潜水泵</t>
  </si>
  <si>
    <t>调节球阀</t>
  </si>
  <si>
    <t>1、名称：调节球阀
2、材质：不锈钢
3、规格：DN25
4、连接方式：螺纹连接
5、其他：详见图纸设计、相关图集、规范等</t>
  </si>
  <si>
    <t>主材价：调节球阀</t>
  </si>
  <si>
    <t>泄水阀</t>
  </si>
  <si>
    <t>1、名称：泄水阀
2、材质：不锈钢
3、规格：DN50
4、连接方式：螺纹连接
5、其他：详见图纸设计、相关图集、规范等</t>
  </si>
  <si>
    <t>主材价：泄水阀</t>
  </si>
  <si>
    <t>止回阀</t>
  </si>
  <si>
    <t>1、名称：止回阀
2、材质：满足规范及图纸要求
3、规格：DN50
4、连接方式：螺纹连接
5、其他：详见图纸设计、相关图集、规范等</t>
  </si>
  <si>
    <t>主材价：止回阀</t>
  </si>
  <si>
    <t>涌泉喷头</t>
  </si>
  <si>
    <t>1、名称：涌泉喷头
2、型号：PJY-DN25
3、材质：不锈钢
4、参数:流量3.5~8m3/h，压力50~150KPa，喷高0.3~0.5m，喷洒直径0.2~0.4m</t>
  </si>
  <si>
    <t>主材价：涌泉喷头</t>
  </si>
  <si>
    <t>PE排水管</t>
  </si>
  <si>
    <t>主材价：PE排水管</t>
  </si>
  <si>
    <t>放空阀门井</t>
  </si>
  <si>
    <t>1、名称：放空阀门井
2、垫层、基础材质及厚度:100mm厚C10混凝土垫层
3、砌筑材料品种、规格、强度等级:砖砌体（MU10级砖），井室深1.5m
4、砂浆强度等级、配合比:M10水泥砂浆
5、底板:200mm厚C25混凝土底板
6、附件：位于车行道或铺砌地面的阀门井，采用具有足够承载力和稳定性良好的井盖及井座,井盖与井座与路面平,其他不行车的人行道,绿化带采用轻型井盖及井座,井盖面应高出设计地面50mm,做法详S143-S147。 位于草坪中的井盖承载力不小于2KN/M2,道路中的雨篦子承载力不小于100KN/M2，满足规范及图纸要求。
7、具体做法：参照图集05S502第16页
8、其他：详见图纸设计、相关图集、规范等</t>
  </si>
  <si>
    <t>蝶阀</t>
  </si>
  <si>
    <t>1、名称：蝶阀
2、材质：不锈钢
3、规格：DN100
4、连接方式：法兰连接
5、其他：详见图纸设计、相关图集、规范等</t>
  </si>
  <si>
    <t>主材价：蝶阀</t>
  </si>
  <si>
    <t>溢水口</t>
  </si>
  <si>
    <t>1、名称：溢水口
2、规格：DN100
3、材质：不锈钢
4、其他：详见图纸设计、相关图集、规范等</t>
  </si>
  <si>
    <t>主材价：溢水口</t>
  </si>
  <si>
    <t>（四）</t>
  </si>
  <si>
    <t>铁艺小跌水水景</t>
  </si>
  <si>
    <t>浮球阀</t>
  </si>
  <si>
    <t>1、名称：浮球阀
2、规格：DN50
3、连接方式：螺纹连接
4、其他：详见图纸设计、相关图集、规范等</t>
  </si>
  <si>
    <t>主材价：浮球阀</t>
  </si>
  <si>
    <t>1、名称：止回阀
2、材质：满足规范及图纸要求
3、规格：DN25
4、连接方式：螺纹连接
5、其他：详见图纸设计、相关图集、规范等</t>
  </si>
  <si>
    <t>微型潜水泵</t>
  </si>
  <si>
    <t>1、名称：微型潜水泵
2、参数:流量9m3/h，扬程6米，功率195W
3、卧式暗装
4、其他：详见图纸设计、相关图集、规范等</t>
  </si>
  <si>
    <t>主材价：微型潜水泵</t>
  </si>
  <si>
    <t>1、名称：PE排水管
2、规格：De63
3、连接方式：热熔连接，含相关配件
4、压力试验及吹、洗设计要求:满足规范及设计要求
5、附件：管口设不锈钢网罩
6、其他：详见图纸设计、相关图集、规范等</t>
  </si>
  <si>
    <t>1、名称：放空阀门井
2、垫层、基础材质及厚度:100mm厚C10混凝土垫层
3、砌筑材料品种、规格、强度等级:砖砌体（MU10级砖），井室深1.5m
4、砂浆强度等级、配合比:M10水泥砂浆
5、底板:200mm厚C25混凝土底板
6、附件：位于车行道或铺砌地面的阀门井，采用具有足够承载力和稳定性良好的井盖及井座,井盖与井座与路面平,其他不行车的人行道,绿化带采用轻型井盖及井座,井盖面应高出设计地面50mm,做法详S143-S147。位于草坪中的井盖承载力不小于2KN/M2,道路中的雨篦子承载力不小于100KN/M2，满足规范及图纸要求。
7、具体做法：参照图集05S502第16页
8、其他：详见图纸设计、相关图集、规范等</t>
  </si>
  <si>
    <t>（五）</t>
  </si>
  <si>
    <t>圆形水景一</t>
  </si>
  <si>
    <t>1、名称：热镀锌钢管
2、规格：DN100
3、连接方式：焊接法兰连接
4、附件：、法兰、三通、弯头等管道附件
5、压力试验及吹、洗设计要求:满足规范及设计要求
6、其他：详见图纸设计、相关图集、规范等</t>
  </si>
  <si>
    <t>1、名称：热镀锌钢管
2、规格：DN100
3、连接方式：焊接法兰连接，两端封堵，水平双侧开孔φ20@200
4、附件：、法兰、三通、弯头等管道附件
5、压力试验及吹、洗设计要求:满足规范及设计要求
6、其他：详见图纸设计、相关图集、规范等</t>
  </si>
  <si>
    <t>1、名称：调节球阀
2、材质：不锈钢
3、规格：DN50
4、连接方式：螺纹连接
5、其他：详见图纸设计、相关图集、规范等</t>
  </si>
  <si>
    <t>1、名称：止回阀
2、材质：不锈钢
3、规格：DN25
4、连接方式：螺纹连接
5、其他：详见图纸设计、相关图集、规范等</t>
  </si>
  <si>
    <t>主材价：不锈钢止回阀</t>
  </si>
  <si>
    <t>1、名称：止回阀
2、材质：不锈钢
3、规格：DN100
4、连接方式：法兰连接
5、其他：详见图纸设计、相关图集、规范等</t>
  </si>
  <si>
    <t>1、名称：潜水泵
2、设备型号：QSP 65-10-3
3、参数:流量65m3/h，扬程10米，功率3KW，重量47kg，尺寸（直径*长度）162mm*590mm
4、卧式暗装
5、其他：详见图纸设计、相关图集、规范等</t>
  </si>
  <si>
    <t>1、名称：PE排水管
2、规格：De90
3、连接方式：热熔连接，含相关配件
4、压力试验及吹、洗设计要求:满足规范及设计要求
5、附件：管口设不锈钢网罩
6、其他：详见图纸设计、相关图集、规范等</t>
  </si>
  <si>
    <t>泄水球阀</t>
  </si>
  <si>
    <t>1、名称：泄水球阀
2、材质：不锈钢
3、规格：DN50，PN1.25MPa
4、连接方式：螺纹连接
5、其他：详见图纸设计、相关图集、规范等</t>
  </si>
  <si>
    <t>主材价：泄水球阀</t>
  </si>
  <si>
    <t>闸阀</t>
  </si>
  <si>
    <t>1、名称：闸阀
2、材质：满足规范及图纸要求
3、规格：DN100，水池放空时打开
4、连接方式：法兰连接
5、其他：详见图纸设计、相关图集、规范等</t>
  </si>
  <si>
    <t>主材价：闸阀</t>
  </si>
  <si>
    <t>.</t>
  </si>
  <si>
    <t>（六）</t>
  </si>
  <si>
    <t>圆形水景二</t>
  </si>
  <si>
    <t>中浩德山水文苑示范区项目景观（水电安装）变更设计号ZL-19-1104-003</t>
  </si>
  <si>
    <t>合同含税主材单价（元）</t>
  </si>
  <si>
    <t>改材质后已认价含税主材单价（元）</t>
  </si>
  <si>
    <t>主材含税差价（元）</t>
  </si>
  <si>
    <t>电线管敷设PE25</t>
  </si>
  <si>
    <t>1、名称：电线管；
2、材质、规格：PE25；
3、敷设方式：埋地敷设；
4、其他：详见图纸设计，相关图集，规范等。</t>
  </si>
  <si>
    <t>改材质为PVC25，综合定额考虑后仅调整材料费</t>
  </si>
  <si>
    <t>电线管敷设PE32</t>
  </si>
  <si>
    <t>1、名称：电线管；
2、材质、规格：PE32；
3、敷设方式：埋地敷设；
4、其他：详见图纸设计，相关图集，规范等。</t>
  </si>
  <si>
    <t>改材质为PVC32，综合定额考虑后仅调整材料费</t>
  </si>
  <si>
    <t>电线管敷设PE40</t>
  </si>
  <si>
    <t>1、名称：电线管；
2、材质、规格：PE40；
3、敷设方式：埋地敷设；
4、其他：详见图纸设计，相关图集，规范等。</t>
  </si>
  <si>
    <t>改材质为PVC40，综合定额考虑后仅调整材料费</t>
  </si>
  <si>
    <t>小计（元）</t>
  </si>
  <si>
    <t>合同综合单价（元）</t>
  </si>
  <si>
    <t>主材单价（元）</t>
  </si>
  <si>
    <t>1、名称：PE排水管
2、规格：De160
3、连接方式：热熔连接，含相关配件
4、压力试验及吹、洗设计要求:满足规范及设计要求
5、其他：详见图纸设计、相关图集、规范等</t>
  </si>
  <si>
    <t>PE排水管（更换为UPVC110)</t>
  </si>
  <si>
    <t>1、名称：UPVC排水管
2、规格：De110
3、连接方式：热熔连接，含相关配件
4、压力试验及吹、洗设计要求:满足规范及设计要求
5、其他：详见图纸设计、相关图集、规范等</t>
  </si>
  <si>
    <t>除认质认价材外，已优惠15%</t>
  </si>
  <si>
    <t>宜阳山水文苑示范区增加化粪池费用明细（变更单SSWY-BG056)</t>
  </si>
  <si>
    <t>清单描述</t>
  </si>
  <si>
    <t>数量</t>
  </si>
  <si>
    <t>化粪池主材及安装费</t>
  </si>
  <si>
    <t>1.名称：玻璃钢化粪池安装
2.规格：6立方
3.未详尽处满足图纸设计、相关规范要求</t>
  </si>
  <si>
    <t>价格已执行合同优惠率</t>
  </si>
  <si>
    <t>化粪池回填砂</t>
  </si>
  <si>
    <t>1.300厚中粗砂垫层及顶部回填
2.未详尽处满足图纸设计、相关规范要求</t>
  </si>
  <si>
    <t>化粪池土方挖填（原合同单价）</t>
  </si>
  <si>
    <t>1、名称：开挖、回填；
2、其他：详见图纸设计，相关图集，规范等</t>
  </si>
  <si>
    <t>原土打夯（原合同单价）</t>
  </si>
  <si>
    <t>圆形砌筑污水检查井φ700（原合同单价）</t>
  </si>
  <si>
    <t>1、名称：圆形砌筑污水检查井φ700；
2、井深：详见图纸；
3、含井盖、基础，详细井盖选用及基础做法参考08SS523；
4、其他：详见图纸设计、检查井做法参考相关图集02S515、规范等</t>
  </si>
  <si>
    <t>中浩德山水文苑示范区项目雾森系统（安装）变更设计号ZL-19-1104-003</t>
  </si>
  <si>
    <t>雾森系统动力</t>
  </si>
  <si>
    <t>雾森系统动力分部小计</t>
  </si>
  <si>
    <t>总合计</t>
  </si>
</sst>
</file>

<file path=xl/styles.xml><?xml version="1.0" encoding="utf-8"?>
<styleSheet xmlns="http://schemas.openxmlformats.org/spreadsheetml/2006/main">
  <numFmts count="12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_);[Red]\(0.00\)"/>
    <numFmt numFmtId="178" formatCode="0.00_);\(0.00\)"/>
    <numFmt numFmtId="179" formatCode="0.0_ "/>
    <numFmt numFmtId="180" formatCode="[DBNum2][$RMB]General;[Red][DBNum2][$RMB]General"/>
    <numFmt numFmtId="181" formatCode="0.000_ "/>
    <numFmt numFmtId="182" formatCode="0.00&quot;元&quot;"/>
    <numFmt numFmtId="183" formatCode="0_ "/>
  </numFmts>
  <fonts count="71">
    <font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name val="Arial"/>
      <charset val="0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b/>
      <sz val="8"/>
      <name val="宋体"/>
      <charset val="134"/>
      <scheme val="minor"/>
    </font>
    <font>
      <b/>
      <sz val="12"/>
      <name val="宋体"/>
      <charset val="134"/>
    </font>
    <font>
      <sz val="9"/>
      <name val="Arial"/>
      <charset val="0"/>
    </font>
    <font>
      <sz val="9"/>
      <name val="宋体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Arial"/>
      <charset val="134"/>
    </font>
    <font>
      <sz val="10.5"/>
      <name val="楷体_GB2312"/>
      <charset val="134"/>
    </font>
    <font>
      <sz val="11"/>
      <color rgb="FF006100"/>
      <name val="宋体"/>
      <charset val="134"/>
    </font>
    <font>
      <sz val="12"/>
      <color rgb="FF000000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1" fillId="10" borderId="2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20" borderId="28" applyNumberFormat="0" applyFont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2" fillId="15" borderId="26" applyNumberFormat="0" applyAlignment="0" applyProtection="0">
      <alignment vertical="center"/>
    </xf>
    <xf numFmtId="0" fontId="58" fillId="15" borderId="25" applyNumberFormat="0" applyAlignment="0" applyProtection="0">
      <alignment vertical="center"/>
    </xf>
    <xf numFmtId="0" fontId="57" fillId="22" borderId="29" applyNumberFormat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54" applyFont="1" applyFill="1" applyBorder="1" applyAlignment="1">
      <alignment horizontal="center" vertical="center" wrapText="1"/>
    </xf>
    <xf numFmtId="58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5" xfId="54" applyFont="1" applyFill="1" applyBorder="1" applyAlignment="1">
      <alignment horizontal="left" vertical="center" wrapText="1"/>
    </xf>
    <xf numFmtId="0" fontId="3" fillId="0" borderId="5" xfId="54" applyFont="1" applyFill="1" applyBorder="1" applyAlignment="1">
      <alignment horizontal="left" vertical="center" wrapText="1"/>
    </xf>
    <xf numFmtId="0" fontId="3" fillId="0" borderId="5" xfId="54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54" applyFont="1" applyFill="1" applyBorder="1" applyAlignment="1">
      <alignment horizontal="left" vertical="center" wrapText="1"/>
    </xf>
    <xf numFmtId="0" fontId="10" fillId="0" borderId="5" xfId="54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58" fontId="2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78" fontId="3" fillId="0" borderId="0" xfId="0" applyNumberFormat="1" applyFont="1" applyFill="1" applyBorder="1" applyAlignment="1">
      <alignment horizontal="left" vertical="center" wrapText="1"/>
    </xf>
    <xf numFmtId="178" fontId="10" fillId="0" borderId="0" xfId="0" applyNumberFormat="1" applyFont="1" applyFill="1" applyBorder="1" applyAlignment="1">
      <alignment horizontal="left" vertical="center" wrapText="1"/>
    </xf>
    <xf numFmtId="178" fontId="3" fillId="0" borderId="5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7" fontId="15" fillId="0" borderId="8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vertical="center"/>
    </xf>
    <xf numFmtId="0" fontId="19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7" fontId="19" fillId="0" borderId="0" xfId="0" applyNumberFormat="1" applyFont="1" applyFill="1" applyBorder="1" applyAlignment="1">
      <alignment wrapText="1"/>
    </xf>
    <xf numFmtId="177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7" fontId="20" fillId="0" borderId="8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 wrapText="1"/>
    </xf>
    <xf numFmtId="177" fontId="19" fillId="0" borderId="2" xfId="14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177" fontId="21" fillId="0" borderId="2" xfId="14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wrapText="1"/>
    </xf>
    <xf numFmtId="177" fontId="19" fillId="0" borderId="2" xfId="0" applyNumberFormat="1" applyFont="1" applyFill="1" applyBorder="1" applyAlignment="1">
      <alignment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179" fontId="21" fillId="0" borderId="2" xfId="0" applyNumberFormat="1" applyFont="1" applyFill="1" applyBorder="1" applyAlignment="1">
      <alignment horizontal="center" vertical="center" wrapText="1"/>
    </xf>
    <xf numFmtId="177" fontId="19" fillId="0" borderId="0" xfId="14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wrapText="1"/>
    </xf>
    <xf numFmtId="177" fontId="20" fillId="0" borderId="11" xfId="0" applyNumberFormat="1" applyFont="1" applyFill="1" applyBorder="1" applyAlignment="1">
      <alignment wrapText="1"/>
    </xf>
    <xf numFmtId="177" fontId="20" fillId="0" borderId="11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76" fontId="0" fillId="0" borderId="0" xfId="0" applyNumberForma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176" fontId="20" fillId="0" borderId="8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7" fontId="24" fillId="0" borderId="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5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5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181" fontId="22" fillId="0" borderId="0" xfId="0" applyNumberFormat="1" applyFont="1" applyFill="1" applyBorder="1" applyAlignment="1">
      <alignment horizontal="center" vertical="center" wrapText="1"/>
    </xf>
    <xf numFmtId="0" fontId="3" fillId="0" borderId="13" xfId="5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177" fontId="19" fillId="2" borderId="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176" fontId="3" fillId="0" borderId="13" xfId="5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5" fillId="0" borderId="0" xfId="0" applyFo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5" fillId="0" borderId="0" xfId="52" applyFont="1" applyAlignment="1">
      <alignment horizontal="center" vertical="center" wrapText="1"/>
    </xf>
    <xf numFmtId="0" fontId="25" fillId="0" borderId="0" xfId="52" applyFont="1" applyAlignment="1">
      <alignment horizontal="center" vertical="center"/>
    </xf>
    <xf numFmtId="0" fontId="25" fillId="0" borderId="0" xfId="52" applyFont="1" applyFill="1" applyAlignment="1">
      <alignment horizontal="center" vertical="center"/>
    </xf>
    <xf numFmtId="0" fontId="0" fillId="0" borderId="7" xfId="52" applyFont="1" applyBorder="1" applyAlignment="1">
      <alignment horizontal="center" vertical="center"/>
    </xf>
    <xf numFmtId="0" fontId="0" fillId="0" borderId="8" xfId="52" applyFont="1" applyBorder="1" applyAlignment="1">
      <alignment horizontal="center" vertical="center"/>
    </xf>
    <xf numFmtId="0" fontId="0" fillId="0" borderId="8" xfId="52" applyFont="1" applyFill="1" applyBorder="1" applyAlignment="1">
      <alignment horizontal="center" vertical="center"/>
    </xf>
    <xf numFmtId="0" fontId="0" fillId="0" borderId="12" xfId="52" applyFont="1" applyBorder="1" applyAlignment="1">
      <alignment horizontal="center" vertical="center"/>
    </xf>
    <xf numFmtId="0" fontId="25" fillId="0" borderId="9" xfId="52" applyFont="1" applyBorder="1" applyAlignment="1">
      <alignment horizontal="center" vertical="center"/>
    </xf>
    <xf numFmtId="0" fontId="25" fillId="0" borderId="2" xfId="52" applyFont="1" applyBorder="1" applyAlignment="1">
      <alignment horizontal="center" vertical="center" wrapText="1"/>
    </xf>
    <xf numFmtId="176" fontId="25" fillId="0" borderId="2" xfId="52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22" fillId="0" borderId="9" xfId="52" applyFont="1" applyBorder="1" applyAlignment="1">
      <alignment horizontal="center" vertical="center"/>
    </xf>
    <xf numFmtId="0" fontId="0" fillId="0" borderId="2" xfId="52" applyFont="1" applyBorder="1" applyAlignment="1">
      <alignment horizontal="center" vertical="center" wrapText="1"/>
    </xf>
    <xf numFmtId="176" fontId="0" fillId="0" borderId="2" xfId="52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1" fillId="0" borderId="9" xfId="52" applyFont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 wrapText="1"/>
    </xf>
    <xf numFmtId="0" fontId="25" fillId="0" borderId="2" xfId="52" applyFont="1" applyBorder="1" applyAlignment="1">
      <alignment horizontal="center" vertical="center"/>
    </xf>
    <xf numFmtId="0" fontId="32" fillId="0" borderId="13" xfId="52" applyFont="1" applyFill="1" applyBorder="1" applyAlignment="1">
      <alignment horizontal="center" vertical="center" wrapText="1"/>
    </xf>
    <xf numFmtId="0" fontId="0" fillId="0" borderId="9" xfId="52" applyFont="1" applyBorder="1" applyAlignment="1">
      <alignment horizontal="center" vertical="center"/>
    </xf>
    <xf numFmtId="0" fontId="33" fillId="0" borderId="13" xfId="52" applyFont="1" applyFill="1" applyBorder="1" applyAlignment="1">
      <alignment horizontal="center" vertical="center" wrapText="1"/>
    </xf>
    <xf numFmtId="176" fontId="25" fillId="0" borderId="2" xfId="52" applyNumberFormat="1" applyFont="1" applyFill="1" applyBorder="1" applyAlignment="1">
      <alignment horizontal="center" vertical="center"/>
    </xf>
    <xf numFmtId="0" fontId="25" fillId="0" borderId="13" xfId="52" applyFont="1" applyBorder="1" applyAlignment="1">
      <alignment horizontal="center" vertical="center"/>
    </xf>
    <xf numFmtId="0" fontId="22" fillId="0" borderId="9" xfId="5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176" fontId="34" fillId="0" borderId="2" xfId="33" applyNumberFormat="1" applyFont="1" applyFill="1" applyBorder="1" applyAlignment="1">
      <alignment horizontal="center" vertical="center" wrapText="1"/>
    </xf>
    <xf numFmtId="0" fontId="22" fillId="0" borderId="13" xfId="52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13" xfId="52" applyFont="1" applyBorder="1" applyAlignment="1">
      <alignment horizontal="center" vertical="center"/>
    </xf>
    <xf numFmtId="0" fontId="22" fillId="0" borderId="13" xfId="52" applyFont="1" applyFill="1" applyBorder="1" applyAlignment="1">
      <alignment horizontal="center" vertical="center"/>
    </xf>
    <xf numFmtId="0" fontId="22" fillId="0" borderId="13" xfId="52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5" fillId="0" borderId="10" xfId="52" applyFont="1" applyBorder="1" applyAlignment="1">
      <alignment horizontal="center" vertical="center"/>
    </xf>
    <xf numFmtId="0" fontId="25" fillId="0" borderId="11" xfId="52" applyFont="1" applyBorder="1" applyAlignment="1">
      <alignment horizontal="center" vertical="center" wrapText="1"/>
    </xf>
    <xf numFmtId="176" fontId="25" fillId="0" borderId="11" xfId="52" applyNumberFormat="1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justify" vertical="center"/>
    </xf>
    <xf numFmtId="0" fontId="0" fillId="0" borderId="0" xfId="52">
      <alignment vertical="center"/>
    </xf>
    <xf numFmtId="0" fontId="0" fillId="0" borderId="0" xfId="52" applyFill="1">
      <alignment vertical="center"/>
    </xf>
    <xf numFmtId="0" fontId="0" fillId="0" borderId="0" xfId="0" applyFill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justify" vertical="center" wrapText="1"/>
    </xf>
    <xf numFmtId="176" fontId="38" fillId="0" borderId="2" xfId="0" applyNumberFormat="1" applyFont="1" applyFill="1" applyBorder="1" applyAlignment="1">
      <alignment horizontal="justify" vertical="center" wrapText="1"/>
    </xf>
    <xf numFmtId="182" fontId="38" fillId="0" borderId="2" xfId="0" applyNumberFormat="1" applyFont="1" applyFill="1" applyBorder="1" applyAlignment="1">
      <alignment horizontal="justify" vertical="center" wrapText="1"/>
    </xf>
    <xf numFmtId="180" fontId="38" fillId="0" borderId="2" xfId="0" applyNumberFormat="1" applyFont="1" applyFill="1" applyBorder="1" applyAlignment="1">
      <alignment horizontal="justify" vertical="center" wrapText="1"/>
    </xf>
    <xf numFmtId="183" fontId="38" fillId="0" borderId="2" xfId="0" applyNumberFormat="1" applyFont="1" applyFill="1" applyBorder="1" applyAlignment="1">
      <alignment horizontal="justify" vertical="center" wrapText="1"/>
    </xf>
    <xf numFmtId="0" fontId="39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40" fillId="0" borderId="16" xfId="33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41" fillId="0" borderId="7" xfId="33" applyFont="1" applyFill="1" applyBorder="1" applyAlignment="1">
      <alignment horizontal="center" vertical="center" wrapText="1"/>
    </xf>
    <xf numFmtId="0" fontId="41" fillId="0" borderId="8" xfId="33" applyFont="1" applyFill="1" applyBorder="1" applyAlignment="1">
      <alignment horizontal="center" vertical="center" wrapText="1"/>
    </xf>
    <xf numFmtId="0" fontId="41" fillId="0" borderId="12" xfId="33" applyFont="1" applyFill="1" applyBorder="1" applyAlignment="1">
      <alignment horizontal="center" vertical="center" wrapText="1"/>
    </xf>
    <xf numFmtId="0" fontId="41" fillId="0" borderId="17" xfId="33" applyFont="1" applyFill="1" applyBorder="1" applyAlignment="1">
      <alignment horizontal="center" vertical="center" wrapText="1"/>
    </xf>
    <xf numFmtId="0" fontId="41" fillId="0" borderId="18" xfId="33" applyFont="1" applyFill="1" applyBorder="1" applyAlignment="1">
      <alignment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left" vertical="center" wrapText="1"/>
    </xf>
    <xf numFmtId="0" fontId="42" fillId="0" borderId="13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2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justify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38" fillId="0" borderId="13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 vertical="center" wrapText="1"/>
    </xf>
    <xf numFmtId="182" fontId="45" fillId="0" borderId="13" xfId="0" applyNumberFormat="1" applyFont="1" applyFill="1" applyBorder="1" applyAlignment="1">
      <alignment horizontal="center" vertical="center" wrapText="1"/>
    </xf>
    <xf numFmtId="0" fontId="38" fillId="0" borderId="2" xfId="0" applyNumberFormat="1" applyFont="1" applyFill="1" applyBorder="1" applyAlignment="1">
      <alignment horizontal="left" wrapText="1"/>
    </xf>
    <xf numFmtId="0" fontId="38" fillId="0" borderId="13" xfId="0" applyNumberFormat="1" applyFont="1" applyFill="1" applyBorder="1" applyAlignment="1">
      <alignment horizontal="left" wrapText="1"/>
    </xf>
    <xf numFmtId="0" fontId="46" fillId="0" borderId="2" xfId="0" applyNumberFormat="1" applyFont="1" applyFill="1" applyBorder="1" applyAlignment="1">
      <alignment horizontal="left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1" xfId="0" applyNumberFormat="1" applyFont="1" applyFill="1" applyBorder="1" applyAlignment="1">
      <alignment horizontal="left" wrapText="1"/>
    </xf>
    <xf numFmtId="0" fontId="38" fillId="0" borderId="14" xfId="0" applyNumberFormat="1" applyFont="1" applyFill="1" applyBorder="1" applyAlignment="1">
      <alignment horizontal="left" wrapText="1"/>
    </xf>
    <xf numFmtId="0" fontId="38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1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0" xfId="0" applyFill="1">
      <alignment vertical="center"/>
    </xf>
    <xf numFmtId="0" fontId="0" fillId="0" borderId="20" xfId="0" applyBorder="1">
      <alignment vertical="center"/>
    </xf>
    <xf numFmtId="0" fontId="0" fillId="4" borderId="20" xfId="0" applyFill="1" applyBorder="1">
      <alignment vertical="center"/>
    </xf>
    <xf numFmtId="0" fontId="0" fillId="0" borderId="22" xfId="0" applyBorder="1">
      <alignment vertical="center"/>
    </xf>
    <xf numFmtId="0" fontId="0" fillId="4" borderId="23" xfId="0" applyFill="1" applyBorder="1">
      <alignment vertical="center"/>
    </xf>
    <xf numFmtId="0" fontId="0" fillId="0" borderId="23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 2 2 3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0 2 2 2 2 2" xfId="52"/>
    <cellStyle name="常规 3 2 4" xfId="53"/>
    <cellStyle name="常规 7" xfId="54"/>
  </cellStyles>
  <tableStyles count="0" defaultTableStyle="TableStyleMedium9" defaultPivotStyle="PivotStyleLight16"/>
  <colors>
    <mruColors>
      <color rgb="007F9698"/>
      <color rgb="00006100"/>
      <color rgb="00FFFF00"/>
      <color rgb="0000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0/cellImage" Target="cellimages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</row>
    <row r="2" spans="1:28">
      <c r="A2" s="321" t="s">
        <v>1</v>
      </c>
      <c r="B2" s="321" t="s">
        <v>2</v>
      </c>
      <c r="C2" s="321" t="s">
        <v>3</v>
      </c>
      <c r="D2" s="321" t="s">
        <v>4</v>
      </c>
      <c r="E2" s="321" t="s">
        <v>5</v>
      </c>
      <c r="F2" s="321" t="s">
        <v>6</v>
      </c>
      <c r="G2" s="321" t="s">
        <v>7</v>
      </c>
      <c r="H2" s="321" t="s">
        <v>8</v>
      </c>
      <c r="I2" s="321" t="s">
        <v>9</v>
      </c>
      <c r="J2" s="321" t="s">
        <v>10</v>
      </c>
      <c r="K2" s="321" t="s">
        <v>11</v>
      </c>
      <c r="L2" s="321" t="s">
        <v>12</v>
      </c>
      <c r="M2" s="321" t="s">
        <v>13</v>
      </c>
      <c r="N2" s="321" t="s">
        <v>14</v>
      </c>
      <c r="O2" s="321" t="s">
        <v>15</v>
      </c>
      <c r="P2" s="321" t="s">
        <v>16</v>
      </c>
      <c r="Q2" s="321" t="s">
        <v>17</v>
      </c>
      <c r="R2" s="321" t="s">
        <v>18</v>
      </c>
      <c r="S2" s="321" t="s">
        <v>19</v>
      </c>
      <c r="T2" s="321" t="s">
        <v>20</v>
      </c>
      <c r="U2" s="321" t="s">
        <v>21</v>
      </c>
      <c r="V2" s="321" t="s">
        <v>22</v>
      </c>
      <c r="W2" s="321" t="s">
        <v>23</v>
      </c>
      <c r="X2" s="321" t="s">
        <v>24</v>
      </c>
      <c r="Y2" s="321" t="s">
        <v>25</v>
      </c>
      <c r="Z2" s="321" t="s">
        <v>26</v>
      </c>
      <c r="AA2" s="321" t="s">
        <v>27</v>
      </c>
      <c r="AB2" s="321" t="s">
        <v>28</v>
      </c>
    </row>
    <row r="3" spans="1:28">
      <c r="A3" s="321" t="s">
        <v>29</v>
      </c>
      <c r="B3" s="321" t="s">
        <v>30</v>
      </c>
      <c r="C3" s="321"/>
      <c r="D3" s="321"/>
      <c r="E3" s="321"/>
      <c r="F3" s="321"/>
      <c r="G3" s="321">
        <v>1</v>
      </c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>
        <f>SUM(E3:AA3)</f>
        <v>1</v>
      </c>
    </row>
    <row r="4" spans="1:28">
      <c r="A4" s="321" t="s">
        <v>31</v>
      </c>
      <c r="B4" s="321" t="s">
        <v>32</v>
      </c>
      <c r="C4" s="321"/>
      <c r="D4" s="321"/>
      <c r="E4" s="321">
        <v>1</v>
      </c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>
        <f t="shared" ref="AB4:AB67" si="0">SUM(E4:AA4)</f>
        <v>1</v>
      </c>
    </row>
    <row r="5" spans="1:28">
      <c r="A5" s="321" t="s">
        <v>33</v>
      </c>
      <c r="B5" s="321" t="s">
        <v>34</v>
      </c>
      <c r="C5" s="321"/>
      <c r="D5" s="321"/>
      <c r="E5" s="321">
        <v>1</v>
      </c>
      <c r="F5" s="321">
        <v>1</v>
      </c>
      <c r="G5" s="321">
        <v>1</v>
      </c>
      <c r="H5" s="321">
        <v>2</v>
      </c>
      <c r="I5" s="321">
        <v>2</v>
      </c>
      <c r="J5" s="321">
        <v>2</v>
      </c>
      <c r="K5" s="321">
        <v>2</v>
      </c>
      <c r="L5" s="321">
        <v>2</v>
      </c>
      <c r="M5" s="321">
        <v>2</v>
      </c>
      <c r="N5" s="321">
        <v>2</v>
      </c>
      <c r="O5" s="321">
        <v>2</v>
      </c>
      <c r="P5" s="321">
        <v>2</v>
      </c>
      <c r="Q5" s="321">
        <v>2</v>
      </c>
      <c r="R5" s="321">
        <v>2</v>
      </c>
      <c r="S5" s="321">
        <v>2</v>
      </c>
      <c r="T5" s="321">
        <v>2</v>
      </c>
      <c r="U5" s="321">
        <v>2</v>
      </c>
      <c r="V5" s="321">
        <v>2</v>
      </c>
      <c r="W5" s="321">
        <v>2</v>
      </c>
      <c r="X5" s="321">
        <v>2</v>
      </c>
      <c r="Y5" s="321">
        <v>2</v>
      </c>
      <c r="Z5" s="321">
        <v>2</v>
      </c>
      <c r="AA5" s="321">
        <v>1</v>
      </c>
      <c r="AB5" s="321">
        <f t="shared" si="0"/>
        <v>42</v>
      </c>
    </row>
    <row r="6" spans="1:28">
      <c r="A6" s="321" t="s">
        <v>35</v>
      </c>
      <c r="B6" s="321" t="s">
        <v>36</v>
      </c>
      <c r="C6" s="321"/>
      <c r="D6" s="321"/>
      <c r="E6" s="321">
        <v>1</v>
      </c>
      <c r="F6" s="321">
        <v>1</v>
      </c>
      <c r="G6" s="321">
        <v>1</v>
      </c>
      <c r="H6" s="321"/>
      <c r="I6" s="321">
        <v>1</v>
      </c>
      <c r="J6" s="321">
        <v>1</v>
      </c>
      <c r="K6" s="321">
        <v>1</v>
      </c>
      <c r="L6" s="321">
        <v>1</v>
      </c>
      <c r="M6" s="321">
        <v>1</v>
      </c>
      <c r="N6" s="321">
        <v>1</v>
      </c>
      <c r="O6" s="321">
        <v>1</v>
      </c>
      <c r="P6" s="321">
        <v>1</v>
      </c>
      <c r="Q6" s="321">
        <v>1</v>
      </c>
      <c r="R6" s="321">
        <v>1</v>
      </c>
      <c r="S6" s="321">
        <v>1</v>
      </c>
      <c r="T6" s="321">
        <v>1</v>
      </c>
      <c r="U6" s="321">
        <v>1</v>
      </c>
      <c r="V6" s="321">
        <v>1</v>
      </c>
      <c r="W6" s="321">
        <v>1</v>
      </c>
      <c r="X6" s="321">
        <v>1</v>
      </c>
      <c r="Y6" s="321">
        <v>1</v>
      </c>
      <c r="Z6" s="321">
        <v>1</v>
      </c>
      <c r="AA6" s="321"/>
      <c r="AB6" s="321">
        <f t="shared" si="0"/>
        <v>21</v>
      </c>
    </row>
    <row r="7" spans="1:28">
      <c r="A7" s="321" t="s">
        <v>37</v>
      </c>
      <c r="B7" s="321" t="s">
        <v>38</v>
      </c>
      <c r="C7" s="321"/>
      <c r="D7" s="321"/>
      <c r="E7" s="321">
        <v>1</v>
      </c>
      <c r="F7" s="321">
        <v>1</v>
      </c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>
        <f t="shared" si="0"/>
        <v>2</v>
      </c>
    </row>
    <row r="8" spans="1:28">
      <c r="A8" s="321" t="s">
        <v>39</v>
      </c>
      <c r="B8" s="321" t="s">
        <v>40</v>
      </c>
      <c r="C8" s="321"/>
      <c r="D8" s="321"/>
      <c r="E8" s="321">
        <v>1</v>
      </c>
      <c r="F8" s="321"/>
      <c r="G8" s="321">
        <v>4</v>
      </c>
      <c r="H8" s="321">
        <v>2</v>
      </c>
      <c r="I8" s="321">
        <v>2</v>
      </c>
      <c r="J8" s="321">
        <v>2</v>
      </c>
      <c r="K8" s="321">
        <v>2</v>
      </c>
      <c r="L8" s="321">
        <v>2</v>
      </c>
      <c r="M8" s="321">
        <v>2</v>
      </c>
      <c r="N8" s="321">
        <v>2</v>
      </c>
      <c r="O8" s="321">
        <v>2</v>
      </c>
      <c r="P8" s="321">
        <v>2</v>
      </c>
      <c r="Q8" s="321">
        <v>2</v>
      </c>
      <c r="R8" s="321">
        <v>2</v>
      </c>
      <c r="S8" s="321">
        <v>2</v>
      </c>
      <c r="T8" s="321">
        <v>2</v>
      </c>
      <c r="U8" s="321">
        <v>2</v>
      </c>
      <c r="V8" s="321">
        <v>2</v>
      </c>
      <c r="W8" s="321">
        <v>2</v>
      </c>
      <c r="X8" s="321">
        <v>2</v>
      </c>
      <c r="Y8" s="321">
        <v>2</v>
      </c>
      <c r="Z8" s="321">
        <v>2</v>
      </c>
      <c r="AA8" s="321"/>
      <c r="AB8" s="321">
        <f t="shared" si="0"/>
        <v>43</v>
      </c>
    </row>
    <row r="9" spans="1:28">
      <c r="A9" s="321" t="s">
        <v>41</v>
      </c>
      <c r="B9" s="321" t="s">
        <v>42</v>
      </c>
      <c r="C9" s="321"/>
      <c r="D9" s="321"/>
      <c r="E9" s="321"/>
      <c r="F9" s="321">
        <v>1</v>
      </c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>
        <f t="shared" si="0"/>
        <v>1</v>
      </c>
    </row>
    <row r="10" spans="1:28">
      <c r="A10" s="321" t="s">
        <v>43</v>
      </c>
      <c r="B10" s="321" t="s">
        <v>44</v>
      </c>
      <c r="C10" s="321"/>
      <c r="D10" s="321"/>
      <c r="E10" s="321"/>
      <c r="F10" s="321">
        <v>2</v>
      </c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>
        <f t="shared" si="0"/>
        <v>2</v>
      </c>
    </row>
    <row r="11" spans="1:28">
      <c r="A11" s="321" t="s">
        <v>45</v>
      </c>
      <c r="B11" s="321" t="s">
        <v>46</v>
      </c>
      <c r="C11" s="321"/>
      <c r="D11" s="321"/>
      <c r="E11" s="321"/>
      <c r="F11" s="321">
        <v>2</v>
      </c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>
        <f t="shared" si="0"/>
        <v>2</v>
      </c>
    </row>
    <row r="12" spans="1:28">
      <c r="A12" s="321" t="s">
        <v>47</v>
      </c>
      <c r="B12" s="321" t="s">
        <v>48</v>
      </c>
      <c r="C12" s="321"/>
      <c r="D12" s="321"/>
      <c r="E12" s="321"/>
      <c r="F12" s="321">
        <v>4</v>
      </c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>
        <f t="shared" si="0"/>
        <v>4</v>
      </c>
    </row>
    <row r="13" spans="1:28">
      <c r="A13" s="321" t="s">
        <v>49</v>
      </c>
      <c r="B13" s="321" t="s">
        <v>50</v>
      </c>
      <c r="C13" s="321"/>
      <c r="D13" s="321"/>
      <c r="E13" s="321"/>
      <c r="F13" s="321">
        <v>1</v>
      </c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>
        <f t="shared" si="0"/>
        <v>1</v>
      </c>
    </row>
    <row r="14" spans="1:28">
      <c r="A14" s="321" t="s">
        <v>51</v>
      </c>
      <c r="B14" s="321" t="s">
        <v>52</v>
      </c>
      <c r="C14" s="321"/>
      <c r="D14" s="321"/>
      <c r="E14" s="321"/>
      <c r="F14" s="321">
        <v>1</v>
      </c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>
        <f t="shared" si="0"/>
        <v>1</v>
      </c>
    </row>
    <row r="15" spans="1:28">
      <c r="A15" s="321" t="s">
        <v>53</v>
      </c>
      <c r="B15" s="321" t="s">
        <v>54</v>
      </c>
      <c r="C15" s="321"/>
      <c r="D15" s="321"/>
      <c r="E15" s="321"/>
      <c r="F15" s="321">
        <v>1</v>
      </c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>
        <f t="shared" si="0"/>
        <v>1</v>
      </c>
    </row>
    <row r="16" spans="1:28">
      <c r="A16" s="321" t="s">
        <v>55</v>
      </c>
      <c r="B16" s="321" t="s">
        <v>56</v>
      </c>
      <c r="C16" s="321"/>
      <c r="D16" s="321"/>
      <c r="E16" s="321"/>
      <c r="F16" s="321">
        <v>1</v>
      </c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>
        <f t="shared" si="0"/>
        <v>1</v>
      </c>
    </row>
    <row r="17" spans="1:28">
      <c r="A17" s="321" t="s">
        <v>57</v>
      </c>
      <c r="B17" s="321" t="s">
        <v>58</v>
      </c>
      <c r="C17" s="321"/>
      <c r="D17" s="321"/>
      <c r="E17" s="321"/>
      <c r="F17" s="321">
        <v>2</v>
      </c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>
        <f t="shared" si="0"/>
        <v>2</v>
      </c>
    </row>
    <row r="18" spans="1:28">
      <c r="A18" s="321" t="s">
        <v>59</v>
      </c>
      <c r="B18" s="321" t="s">
        <v>60</v>
      </c>
      <c r="C18" s="321"/>
      <c r="D18" s="321"/>
      <c r="E18" s="321"/>
      <c r="F18" s="321">
        <v>1</v>
      </c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>
        <f t="shared" si="0"/>
        <v>1</v>
      </c>
    </row>
    <row r="19" spans="1:28">
      <c r="A19" s="321" t="s">
        <v>61</v>
      </c>
      <c r="B19" s="321" t="s">
        <v>62</v>
      </c>
      <c r="C19" s="321"/>
      <c r="D19" s="321"/>
      <c r="E19" s="321"/>
      <c r="F19" s="321">
        <v>1</v>
      </c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>
        <f t="shared" si="0"/>
        <v>1</v>
      </c>
    </row>
    <row r="20" spans="1:28">
      <c r="A20" s="321" t="s">
        <v>63</v>
      </c>
      <c r="B20" s="321" t="s">
        <v>64</v>
      </c>
      <c r="C20" s="321"/>
      <c r="D20" s="321"/>
      <c r="E20" s="321"/>
      <c r="F20" s="321">
        <v>1</v>
      </c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>
        <f t="shared" si="0"/>
        <v>1</v>
      </c>
    </row>
    <row r="21" spans="1:28">
      <c r="A21" s="321" t="s">
        <v>65</v>
      </c>
      <c r="B21" s="321" t="s">
        <v>66</v>
      </c>
      <c r="C21" s="321"/>
      <c r="D21" s="321"/>
      <c r="E21" s="321"/>
      <c r="F21" s="321">
        <v>7</v>
      </c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>
        <f t="shared" si="0"/>
        <v>7</v>
      </c>
    </row>
    <row r="22" spans="1:28">
      <c r="A22" s="321" t="s">
        <v>67</v>
      </c>
      <c r="B22" s="321" t="s">
        <v>68</v>
      </c>
      <c r="C22" s="321"/>
      <c r="D22" s="321"/>
      <c r="E22" s="321"/>
      <c r="F22" s="321">
        <v>1</v>
      </c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>
        <f t="shared" si="0"/>
        <v>1</v>
      </c>
    </row>
    <row r="23" spans="1:28">
      <c r="A23" s="321" t="s">
        <v>69</v>
      </c>
      <c r="B23" s="321" t="s">
        <v>70</v>
      </c>
      <c r="C23" s="321"/>
      <c r="D23" s="321"/>
      <c r="E23" s="321"/>
      <c r="F23" s="321">
        <v>6</v>
      </c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>
        <f t="shared" si="0"/>
        <v>6</v>
      </c>
    </row>
    <row r="24" spans="1:28">
      <c r="A24" s="321" t="s">
        <v>71</v>
      </c>
      <c r="B24" s="321" t="s">
        <v>72</v>
      </c>
      <c r="C24" s="321"/>
      <c r="D24" s="321"/>
      <c r="E24" s="321"/>
      <c r="F24" s="321">
        <v>4</v>
      </c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>
        <f t="shared" si="0"/>
        <v>4</v>
      </c>
    </row>
    <row r="25" spans="1:28">
      <c r="A25" s="321" t="s">
        <v>73</v>
      </c>
      <c r="B25" s="321" t="s">
        <v>74</v>
      </c>
      <c r="C25" s="321"/>
      <c r="D25" s="321"/>
      <c r="E25" s="321"/>
      <c r="F25" s="321">
        <v>1</v>
      </c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>
        <f t="shared" si="0"/>
        <v>1</v>
      </c>
    </row>
    <row r="26" spans="1:28">
      <c r="A26" s="321" t="s">
        <v>75</v>
      </c>
      <c r="B26" s="321" t="s">
        <v>76</v>
      </c>
      <c r="C26" s="321"/>
      <c r="D26" s="321"/>
      <c r="E26" s="321"/>
      <c r="F26" s="321">
        <v>1</v>
      </c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>
        <f t="shared" si="0"/>
        <v>1</v>
      </c>
    </row>
    <row r="27" spans="1:28">
      <c r="A27" s="321" t="s">
        <v>77</v>
      </c>
      <c r="B27" s="321" t="s">
        <v>78</v>
      </c>
      <c r="C27" s="321"/>
      <c r="D27" s="321"/>
      <c r="E27" s="321"/>
      <c r="F27" s="321">
        <v>1</v>
      </c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>
        <f t="shared" si="0"/>
        <v>1</v>
      </c>
    </row>
    <row r="28" spans="1:28">
      <c r="A28" s="321" t="s">
        <v>79</v>
      </c>
      <c r="B28" s="321" t="s">
        <v>80</v>
      </c>
      <c r="C28" s="321"/>
      <c r="D28" s="321"/>
      <c r="E28" s="321"/>
      <c r="F28" s="321">
        <v>1</v>
      </c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>
        <f t="shared" si="0"/>
        <v>1</v>
      </c>
    </row>
    <row r="29" spans="1:28">
      <c r="A29" s="321" t="s">
        <v>81</v>
      </c>
      <c r="B29" s="321" t="s">
        <v>82</v>
      </c>
      <c r="C29" s="321"/>
      <c r="D29" s="321"/>
      <c r="E29" s="321"/>
      <c r="F29" s="321">
        <v>1</v>
      </c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>
        <f t="shared" si="0"/>
        <v>1</v>
      </c>
    </row>
    <row r="30" spans="1:28">
      <c r="A30" s="321" t="s">
        <v>83</v>
      </c>
      <c r="B30" s="321" t="s">
        <v>84</v>
      </c>
      <c r="C30" s="321"/>
      <c r="D30" s="321"/>
      <c r="E30" s="321"/>
      <c r="F30" s="321">
        <v>1</v>
      </c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>
        <f t="shared" si="0"/>
        <v>1</v>
      </c>
    </row>
    <row r="31" spans="1:28">
      <c r="A31" s="321" t="s">
        <v>85</v>
      </c>
      <c r="B31" s="321" t="s">
        <v>86</v>
      </c>
      <c r="C31" s="321"/>
      <c r="D31" s="321"/>
      <c r="E31" s="321"/>
      <c r="F31" s="321">
        <v>1</v>
      </c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>
        <f t="shared" si="0"/>
        <v>1</v>
      </c>
    </row>
    <row r="32" spans="1:28">
      <c r="A32" s="321" t="s">
        <v>87</v>
      </c>
      <c r="B32" s="321" t="s">
        <v>88</v>
      </c>
      <c r="C32" s="321"/>
      <c r="D32" s="321"/>
      <c r="E32" s="321"/>
      <c r="F32" s="321"/>
      <c r="G32" s="321">
        <v>2</v>
      </c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>
        <f t="shared" si="0"/>
        <v>2</v>
      </c>
    </row>
    <row r="33" spans="1:28">
      <c r="A33" s="321" t="s">
        <v>89</v>
      </c>
      <c r="B33" s="321" t="s">
        <v>90</v>
      </c>
      <c r="C33" s="321"/>
      <c r="D33" s="321"/>
      <c r="E33" s="321"/>
      <c r="F33" s="321"/>
      <c r="G33" s="321">
        <v>3</v>
      </c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>
        <f t="shared" si="0"/>
        <v>3</v>
      </c>
    </row>
    <row r="34" spans="1:28">
      <c r="A34" s="321" t="s">
        <v>91</v>
      </c>
      <c r="B34" s="321" t="s">
        <v>92</v>
      </c>
      <c r="C34" s="321"/>
      <c r="D34" s="321"/>
      <c r="E34" s="321"/>
      <c r="F34" s="321"/>
      <c r="G34" s="321">
        <v>1</v>
      </c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>
        <f t="shared" si="0"/>
        <v>1</v>
      </c>
    </row>
    <row r="35" spans="1:28">
      <c r="A35" s="321" t="s">
        <v>93</v>
      </c>
      <c r="B35" s="321" t="s">
        <v>94</v>
      </c>
      <c r="C35" s="321"/>
      <c r="D35" s="321"/>
      <c r="E35" s="321"/>
      <c r="F35" s="321"/>
      <c r="G35" s="321">
        <v>1</v>
      </c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>
        <f t="shared" si="0"/>
        <v>1</v>
      </c>
    </row>
    <row r="36" spans="1:28">
      <c r="A36" s="321" t="s">
        <v>95</v>
      </c>
      <c r="B36" s="321" t="s">
        <v>96</v>
      </c>
      <c r="C36" s="321"/>
      <c r="D36" s="321"/>
      <c r="E36" s="321"/>
      <c r="F36" s="321"/>
      <c r="G36" s="321">
        <v>1</v>
      </c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>
        <f t="shared" si="0"/>
        <v>1</v>
      </c>
    </row>
    <row r="37" spans="1:28">
      <c r="A37" s="321" t="s">
        <v>97</v>
      </c>
      <c r="B37" s="321" t="s">
        <v>98</v>
      </c>
      <c r="C37" s="321"/>
      <c r="D37" s="321"/>
      <c r="E37" s="321"/>
      <c r="F37" s="321"/>
      <c r="G37" s="321">
        <v>1</v>
      </c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>
        <f t="shared" si="0"/>
        <v>1</v>
      </c>
    </row>
    <row r="38" spans="1:28">
      <c r="A38" s="321" t="s">
        <v>99</v>
      </c>
      <c r="B38" s="321" t="s">
        <v>100</v>
      </c>
      <c r="C38" s="321"/>
      <c r="D38" s="321"/>
      <c r="E38" s="321"/>
      <c r="F38" s="321"/>
      <c r="G38" s="321">
        <v>1</v>
      </c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>
        <f t="shared" si="0"/>
        <v>1</v>
      </c>
    </row>
    <row r="39" spans="1:28">
      <c r="A39" s="321" t="s">
        <v>101</v>
      </c>
      <c r="B39" s="321" t="s">
        <v>102</v>
      </c>
      <c r="C39" s="321"/>
      <c r="D39" s="321"/>
      <c r="E39" s="321"/>
      <c r="F39" s="321"/>
      <c r="G39" s="321">
        <v>1</v>
      </c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>
        <f t="shared" si="0"/>
        <v>1</v>
      </c>
    </row>
    <row r="40" spans="1:28">
      <c r="A40" s="321" t="s">
        <v>103</v>
      </c>
      <c r="B40" s="321" t="s">
        <v>104</v>
      </c>
      <c r="C40" s="321"/>
      <c r="D40" s="321"/>
      <c r="E40" s="321"/>
      <c r="F40" s="321"/>
      <c r="G40" s="321">
        <v>1</v>
      </c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>
        <f t="shared" si="0"/>
        <v>1</v>
      </c>
    </row>
    <row r="41" spans="1:28">
      <c r="A41" s="321" t="s">
        <v>105</v>
      </c>
      <c r="B41" s="321" t="s">
        <v>106</v>
      </c>
      <c r="C41" s="321"/>
      <c r="D41" s="321"/>
      <c r="E41" s="321"/>
      <c r="F41" s="321"/>
      <c r="G41" s="321">
        <v>1</v>
      </c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>
        <f t="shared" si="0"/>
        <v>1</v>
      </c>
    </row>
    <row r="42" spans="1:28">
      <c r="A42" s="321" t="s">
        <v>107</v>
      </c>
      <c r="B42" s="321" t="s">
        <v>108</v>
      </c>
      <c r="C42" s="321"/>
      <c r="D42" s="321"/>
      <c r="E42" s="321"/>
      <c r="F42" s="321"/>
      <c r="G42" s="321">
        <v>1</v>
      </c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>
        <f t="shared" si="0"/>
        <v>1</v>
      </c>
    </row>
    <row r="43" spans="1:28">
      <c r="A43" s="321" t="s">
        <v>109</v>
      </c>
      <c r="B43" s="321" t="s">
        <v>110</v>
      </c>
      <c r="C43" s="321"/>
      <c r="D43" s="321"/>
      <c r="E43" s="321"/>
      <c r="F43" s="321"/>
      <c r="G43" s="321">
        <v>1</v>
      </c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1">
        <f t="shared" si="0"/>
        <v>1</v>
      </c>
    </row>
    <row r="44" spans="1:28">
      <c r="A44" s="321" t="s">
        <v>111</v>
      </c>
      <c r="B44" s="321" t="s">
        <v>112</v>
      </c>
      <c r="C44" s="321"/>
      <c r="D44" s="321"/>
      <c r="E44" s="321"/>
      <c r="F44" s="321"/>
      <c r="G44" s="321">
        <v>1</v>
      </c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>
        <f t="shared" si="0"/>
        <v>1</v>
      </c>
    </row>
    <row r="45" spans="1:28">
      <c r="A45" s="321" t="s">
        <v>113</v>
      </c>
      <c r="B45" s="321" t="s">
        <v>114</v>
      </c>
      <c r="C45" s="321"/>
      <c r="D45" s="321"/>
      <c r="E45" s="321"/>
      <c r="F45" s="321"/>
      <c r="G45" s="321">
        <v>6</v>
      </c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>
        <f t="shared" si="0"/>
        <v>6</v>
      </c>
    </row>
    <row r="46" spans="1:28">
      <c r="A46" s="321" t="s">
        <v>115</v>
      </c>
      <c r="B46" s="321" t="s">
        <v>116</v>
      </c>
      <c r="C46" s="321"/>
      <c r="D46" s="321"/>
      <c r="E46" s="321"/>
      <c r="F46" s="321"/>
      <c r="G46" s="321">
        <v>1</v>
      </c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>
        <f t="shared" si="0"/>
        <v>1</v>
      </c>
    </row>
    <row r="47" spans="1:28">
      <c r="A47" s="321" t="s">
        <v>117</v>
      </c>
      <c r="B47" s="323" t="s">
        <v>118</v>
      </c>
      <c r="C47" s="321"/>
      <c r="D47" s="321"/>
      <c r="E47" s="321"/>
      <c r="F47" s="321"/>
      <c r="G47" s="321">
        <v>1</v>
      </c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>
        <f t="shared" si="0"/>
        <v>1</v>
      </c>
    </row>
    <row r="48" spans="1:28">
      <c r="A48" s="321" t="s">
        <v>119</v>
      </c>
      <c r="B48" s="321" t="s">
        <v>120</v>
      </c>
      <c r="C48" s="321"/>
      <c r="D48" s="321"/>
      <c r="E48" s="321"/>
      <c r="F48" s="321"/>
      <c r="G48" s="321">
        <v>4</v>
      </c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>
        <f t="shared" si="0"/>
        <v>4</v>
      </c>
    </row>
    <row r="49" spans="1:28">
      <c r="A49" s="321" t="s">
        <v>121</v>
      </c>
      <c r="B49" s="321" t="s">
        <v>122</v>
      </c>
      <c r="C49" s="321"/>
      <c r="D49" s="321"/>
      <c r="E49" s="321"/>
      <c r="F49" s="321"/>
      <c r="G49" s="321">
        <v>1</v>
      </c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  <c r="AA49" s="321"/>
      <c r="AB49" s="321">
        <f t="shared" si="0"/>
        <v>1</v>
      </c>
    </row>
    <row r="50" spans="1:28">
      <c r="A50" s="321" t="s">
        <v>123</v>
      </c>
      <c r="B50" s="321" t="s">
        <v>124</v>
      </c>
      <c r="C50" s="321"/>
      <c r="D50" s="321"/>
      <c r="E50" s="321"/>
      <c r="F50" s="321"/>
      <c r="G50" s="321">
        <v>1</v>
      </c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>
        <f t="shared" si="0"/>
        <v>1</v>
      </c>
    </row>
    <row r="51" spans="1:28">
      <c r="A51" s="321" t="s">
        <v>125</v>
      </c>
      <c r="B51" s="321" t="s">
        <v>126</v>
      </c>
      <c r="C51" s="321"/>
      <c r="D51" s="321"/>
      <c r="E51" s="321"/>
      <c r="F51" s="321"/>
      <c r="G51" s="321">
        <v>1</v>
      </c>
      <c r="H51" s="321">
        <v>2</v>
      </c>
      <c r="I51" s="321">
        <v>2</v>
      </c>
      <c r="J51" s="321">
        <v>2</v>
      </c>
      <c r="K51" s="321">
        <v>2</v>
      </c>
      <c r="L51" s="321">
        <v>2</v>
      </c>
      <c r="M51" s="321">
        <v>2</v>
      </c>
      <c r="N51" s="321">
        <v>2</v>
      </c>
      <c r="O51" s="321">
        <v>2</v>
      </c>
      <c r="P51" s="321">
        <v>2</v>
      </c>
      <c r="Q51" s="321">
        <v>2</v>
      </c>
      <c r="R51" s="321">
        <v>2</v>
      </c>
      <c r="S51" s="321">
        <v>2</v>
      </c>
      <c r="T51" s="321">
        <v>2</v>
      </c>
      <c r="U51" s="321">
        <v>2</v>
      </c>
      <c r="V51" s="321">
        <v>2</v>
      </c>
      <c r="W51" s="321">
        <v>2</v>
      </c>
      <c r="X51" s="321">
        <v>2</v>
      </c>
      <c r="Y51" s="321">
        <v>2</v>
      </c>
      <c r="Z51" s="321">
        <v>2</v>
      </c>
      <c r="AA51" s="321">
        <v>2</v>
      </c>
      <c r="AB51" s="321">
        <f t="shared" si="0"/>
        <v>41</v>
      </c>
    </row>
    <row r="52" spans="1:28">
      <c r="A52" s="321" t="s">
        <v>127</v>
      </c>
      <c r="B52" s="321" t="s">
        <v>128</v>
      </c>
      <c r="C52" s="321"/>
      <c r="D52" s="321"/>
      <c r="E52" s="321"/>
      <c r="F52" s="321"/>
      <c r="G52" s="321">
        <v>1</v>
      </c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>
        <f t="shared" si="0"/>
        <v>1</v>
      </c>
    </row>
    <row r="53" spans="1:28">
      <c r="A53" s="321" t="s">
        <v>129</v>
      </c>
      <c r="B53" s="321" t="s">
        <v>130</v>
      </c>
      <c r="C53" s="321"/>
      <c r="D53" s="321"/>
      <c r="E53" s="321"/>
      <c r="F53" s="321"/>
      <c r="G53" s="321">
        <v>1</v>
      </c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321"/>
      <c r="AB53" s="321">
        <f t="shared" si="0"/>
        <v>1</v>
      </c>
    </row>
    <row r="54" spans="1:28">
      <c r="A54" s="321" t="s">
        <v>131</v>
      </c>
      <c r="B54" s="321" t="s">
        <v>132</v>
      </c>
      <c r="C54" s="321"/>
      <c r="D54" s="321"/>
      <c r="E54" s="321"/>
      <c r="F54" s="321"/>
      <c r="G54" s="321">
        <v>1</v>
      </c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>
        <f t="shared" si="0"/>
        <v>1</v>
      </c>
    </row>
    <row r="55" spans="1:28">
      <c r="A55" s="321" t="s">
        <v>133</v>
      </c>
      <c r="B55" s="322" t="s">
        <v>134</v>
      </c>
      <c r="C55" s="322"/>
      <c r="D55" s="322"/>
      <c r="E55" s="322"/>
      <c r="F55" s="322"/>
      <c r="G55" s="322">
        <v>1</v>
      </c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1">
        <f t="shared" si="0"/>
        <v>1</v>
      </c>
    </row>
    <row r="56" spans="1:28">
      <c r="A56" s="326" t="s">
        <v>135</v>
      </c>
      <c r="B56" s="321" t="s">
        <v>136</v>
      </c>
      <c r="C56" s="321"/>
      <c r="D56" s="321"/>
      <c r="E56" s="321"/>
      <c r="F56" s="321"/>
      <c r="G56" s="321">
        <v>2</v>
      </c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>
        <f t="shared" si="0"/>
        <v>2</v>
      </c>
    </row>
    <row r="57" spans="1:28">
      <c r="A57" s="326" t="s">
        <v>137</v>
      </c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  <c r="AA57" s="321"/>
      <c r="AB57" s="321">
        <f t="shared" si="0"/>
        <v>0</v>
      </c>
    </row>
    <row r="58" spans="1:28">
      <c r="A58" s="326" t="s">
        <v>138</v>
      </c>
      <c r="B58" s="321" t="s">
        <v>139</v>
      </c>
      <c r="C58" s="321"/>
      <c r="D58" s="321"/>
      <c r="E58" s="321"/>
      <c r="F58" s="321"/>
      <c r="G58" s="321">
        <v>1</v>
      </c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21">
        <f t="shared" si="0"/>
        <v>1</v>
      </c>
    </row>
    <row r="59" spans="1:28">
      <c r="A59" s="326" t="s">
        <v>140</v>
      </c>
      <c r="B59" s="321" t="s">
        <v>141</v>
      </c>
      <c r="C59" s="321"/>
      <c r="D59" s="321"/>
      <c r="E59" s="321"/>
      <c r="F59" s="321"/>
      <c r="G59" s="321"/>
      <c r="H59" s="321">
        <v>1</v>
      </c>
      <c r="I59" s="321">
        <v>1</v>
      </c>
      <c r="J59" s="321">
        <v>1</v>
      </c>
      <c r="K59" s="321">
        <v>1</v>
      </c>
      <c r="L59" s="321">
        <v>1</v>
      </c>
      <c r="M59" s="321">
        <v>1</v>
      </c>
      <c r="N59" s="321">
        <v>1</v>
      </c>
      <c r="O59" s="321">
        <v>1</v>
      </c>
      <c r="P59" s="321">
        <v>1</v>
      </c>
      <c r="Q59" s="321">
        <v>1</v>
      </c>
      <c r="R59" s="321">
        <v>1</v>
      </c>
      <c r="S59" s="321">
        <v>1</v>
      </c>
      <c r="T59" s="321">
        <v>1</v>
      </c>
      <c r="U59" s="321">
        <v>1</v>
      </c>
      <c r="V59" s="321">
        <v>1</v>
      </c>
      <c r="W59" s="321">
        <v>1</v>
      </c>
      <c r="X59" s="321">
        <v>1</v>
      </c>
      <c r="Y59" s="321">
        <v>1</v>
      </c>
      <c r="Z59" s="321">
        <v>1</v>
      </c>
      <c r="AA59" s="321"/>
      <c r="AB59" s="321">
        <f t="shared" si="0"/>
        <v>19</v>
      </c>
    </row>
    <row r="60" spans="1:28">
      <c r="A60" s="326" t="s">
        <v>142</v>
      </c>
      <c r="B60" s="321" t="s">
        <v>143</v>
      </c>
      <c r="C60" s="321"/>
      <c r="D60" s="321"/>
      <c r="E60" s="321"/>
      <c r="F60" s="321"/>
      <c r="G60" s="321"/>
      <c r="H60" s="321">
        <v>1</v>
      </c>
      <c r="I60" s="321">
        <v>1</v>
      </c>
      <c r="J60" s="321">
        <v>1</v>
      </c>
      <c r="K60" s="321">
        <v>1</v>
      </c>
      <c r="L60" s="321">
        <v>1</v>
      </c>
      <c r="M60" s="321">
        <v>1</v>
      </c>
      <c r="N60" s="321">
        <v>1</v>
      </c>
      <c r="O60" s="321">
        <v>1</v>
      </c>
      <c r="P60" s="321">
        <v>1</v>
      </c>
      <c r="Q60" s="321">
        <v>1</v>
      </c>
      <c r="R60" s="321">
        <v>1</v>
      </c>
      <c r="S60" s="321">
        <v>1</v>
      </c>
      <c r="T60" s="321">
        <v>1</v>
      </c>
      <c r="U60" s="321">
        <v>1</v>
      </c>
      <c r="V60" s="321">
        <v>1</v>
      </c>
      <c r="W60" s="321">
        <v>1</v>
      </c>
      <c r="X60" s="321">
        <v>1</v>
      </c>
      <c r="Y60" s="321">
        <v>1</v>
      </c>
      <c r="Z60" s="321">
        <v>1</v>
      </c>
      <c r="AA60" s="321"/>
      <c r="AB60" s="321">
        <f t="shared" si="0"/>
        <v>19</v>
      </c>
    </row>
    <row r="61" spans="1:28">
      <c r="A61" s="326" t="s">
        <v>144</v>
      </c>
      <c r="B61" s="321" t="s">
        <v>145</v>
      </c>
      <c r="C61" s="321"/>
      <c r="D61" s="321"/>
      <c r="E61" s="321"/>
      <c r="F61" s="321"/>
      <c r="G61" s="321"/>
      <c r="H61" s="321">
        <v>4</v>
      </c>
      <c r="I61" s="321">
        <v>4</v>
      </c>
      <c r="J61" s="321">
        <v>4</v>
      </c>
      <c r="K61" s="321">
        <v>4</v>
      </c>
      <c r="L61" s="321">
        <v>4</v>
      </c>
      <c r="M61" s="321">
        <v>4</v>
      </c>
      <c r="N61" s="321">
        <v>4</v>
      </c>
      <c r="O61" s="321">
        <v>4</v>
      </c>
      <c r="P61" s="321">
        <v>4</v>
      </c>
      <c r="Q61" s="321">
        <v>4</v>
      </c>
      <c r="R61" s="321">
        <v>4</v>
      </c>
      <c r="S61" s="321">
        <v>4</v>
      </c>
      <c r="T61" s="321">
        <v>4</v>
      </c>
      <c r="U61" s="321">
        <v>4</v>
      </c>
      <c r="V61" s="321">
        <v>4</v>
      </c>
      <c r="W61" s="321">
        <v>4</v>
      </c>
      <c r="X61" s="321">
        <v>4</v>
      </c>
      <c r="Y61" s="321">
        <v>4</v>
      </c>
      <c r="Z61" s="321">
        <v>4</v>
      </c>
      <c r="AA61" s="321"/>
      <c r="AB61" s="321">
        <f t="shared" si="0"/>
        <v>76</v>
      </c>
    </row>
    <row r="62" spans="1:28">
      <c r="A62" s="326" t="s">
        <v>146</v>
      </c>
      <c r="B62" s="321" t="s">
        <v>147</v>
      </c>
      <c r="C62" s="321"/>
      <c r="D62" s="321"/>
      <c r="E62" s="321"/>
      <c r="F62" s="321"/>
      <c r="G62" s="321"/>
      <c r="H62" s="321">
        <v>3</v>
      </c>
      <c r="I62" s="321">
        <v>3</v>
      </c>
      <c r="J62" s="321">
        <v>3</v>
      </c>
      <c r="K62" s="321">
        <v>3</v>
      </c>
      <c r="L62" s="321">
        <v>3</v>
      </c>
      <c r="M62" s="321">
        <v>3</v>
      </c>
      <c r="N62" s="321">
        <v>3</v>
      </c>
      <c r="O62" s="321">
        <v>3</v>
      </c>
      <c r="P62" s="321">
        <v>3</v>
      </c>
      <c r="Q62" s="321">
        <v>3</v>
      </c>
      <c r="R62" s="321">
        <v>3</v>
      </c>
      <c r="S62" s="321">
        <v>3</v>
      </c>
      <c r="T62" s="321">
        <v>3</v>
      </c>
      <c r="U62" s="321">
        <v>3</v>
      </c>
      <c r="V62" s="321">
        <v>3</v>
      </c>
      <c r="W62" s="321">
        <v>3</v>
      </c>
      <c r="X62" s="321">
        <v>3</v>
      </c>
      <c r="Y62" s="321">
        <v>3</v>
      </c>
      <c r="Z62" s="321">
        <v>3</v>
      </c>
      <c r="AA62" s="321"/>
      <c r="AB62" s="321">
        <f t="shared" si="0"/>
        <v>57</v>
      </c>
    </row>
    <row r="63" spans="1:28">
      <c r="A63" s="326" t="s">
        <v>148</v>
      </c>
      <c r="B63" s="321" t="s">
        <v>149</v>
      </c>
      <c r="C63" s="321"/>
      <c r="D63" s="321"/>
      <c r="E63" s="321"/>
      <c r="F63" s="321"/>
      <c r="G63" s="321"/>
      <c r="H63" s="321">
        <v>6</v>
      </c>
      <c r="I63" s="321">
        <v>6</v>
      </c>
      <c r="J63" s="321">
        <v>6</v>
      </c>
      <c r="K63" s="321">
        <v>6</v>
      </c>
      <c r="L63" s="321">
        <v>6</v>
      </c>
      <c r="M63" s="321">
        <v>6</v>
      </c>
      <c r="N63" s="321">
        <v>6</v>
      </c>
      <c r="O63" s="321">
        <v>6</v>
      </c>
      <c r="P63" s="321">
        <v>6</v>
      </c>
      <c r="Q63" s="321">
        <v>6</v>
      </c>
      <c r="R63" s="321">
        <v>6</v>
      </c>
      <c r="S63" s="321">
        <v>6</v>
      </c>
      <c r="T63" s="321">
        <v>6</v>
      </c>
      <c r="U63" s="321">
        <v>6</v>
      </c>
      <c r="V63" s="321">
        <v>6</v>
      </c>
      <c r="W63" s="321">
        <v>6</v>
      </c>
      <c r="X63" s="321">
        <v>6</v>
      </c>
      <c r="Y63" s="321">
        <v>6</v>
      </c>
      <c r="Z63" s="321">
        <v>6</v>
      </c>
      <c r="AA63" s="321"/>
      <c r="AB63" s="321">
        <f t="shared" si="0"/>
        <v>114</v>
      </c>
    </row>
    <row r="64" spans="1:28">
      <c r="A64" s="326" t="s">
        <v>150</v>
      </c>
      <c r="B64" s="321" t="s">
        <v>151</v>
      </c>
      <c r="C64" s="321"/>
      <c r="D64" s="321"/>
      <c r="E64" s="321"/>
      <c r="F64" s="321"/>
      <c r="G64" s="321"/>
      <c r="H64" s="321">
        <v>6</v>
      </c>
      <c r="I64" s="321">
        <v>6</v>
      </c>
      <c r="J64" s="321">
        <v>6</v>
      </c>
      <c r="K64" s="321">
        <v>6</v>
      </c>
      <c r="L64" s="321">
        <v>6</v>
      </c>
      <c r="M64" s="321">
        <v>6</v>
      </c>
      <c r="N64" s="321">
        <v>6</v>
      </c>
      <c r="O64" s="321">
        <v>6</v>
      </c>
      <c r="P64" s="321">
        <v>6</v>
      </c>
      <c r="Q64" s="321">
        <v>6</v>
      </c>
      <c r="R64" s="321">
        <v>6</v>
      </c>
      <c r="S64" s="321">
        <v>6</v>
      </c>
      <c r="T64" s="321">
        <v>6</v>
      </c>
      <c r="U64" s="321">
        <v>6</v>
      </c>
      <c r="V64" s="321">
        <v>6</v>
      </c>
      <c r="W64" s="321">
        <v>6</v>
      </c>
      <c r="X64" s="321">
        <v>6</v>
      </c>
      <c r="Y64" s="321">
        <v>6</v>
      </c>
      <c r="Z64" s="321">
        <v>6</v>
      </c>
      <c r="AA64" s="321"/>
      <c r="AB64" s="321">
        <f t="shared" si="0"/>
        <v>114</v>
      </c>
    </row>
    <row r="65" spans="1:28">
      <c r="A65" s="326" t="s">
        <v>152</v>
      </c>
      <c r="B65" s="321" t="s">
        <v>153</v>
      </c>
      <c r="C65" s="321"/>
      <c r="D65" s="321"/>
      <c r="E65" s="321"/>
      <c r="F65" s="321"/>
      <c r="G65" s="321"/>
      <c r="H65" s="321">
        <v>3</v>
      </c>
      <c r="I65" s="321">
        <v>1</v>
      </c>
      <c r="J65" s="321">
        <v>1</v>
      </c>
      <c r="K65" s="321">
        <v>1</v>
      </c>
      <c r="L65" s="321">
        <v>2</v>
      </c>
      <c r="M65" s="321">
        <v>1</v>
      </c>
      <c r="N65" s="321">
        <v>2</v>
      </c>
      <c r="O65" s="321">
        <v>1</v>
      </c>
      <c r="P65" s="321">
        <v>1</v>
      </c>
      <c r="Q65" s="321">
        <v>1</v>
      </c>
      <c r="R65" s="321">
        <v>1</v>
      </c>
      <c r="S65" s="321">
        <v>1</v>
      </c>
      <c r="T65" s="321">
        <v>1</v>
      </c>
      <c r="U65" s="321">
        <v>1</v>
      </c>
      <c r="V65" s="321">
        <v>1</v>
      </c>
      <c r="W65" s="321">
        <v>1</v>
      </c>
      <c r="X65" s="321">
        <v>1</v>
      </c>
      <c r="Y65" s="321">
        <v>1</v>
      </c>
      <c r="Z65" s="321">
        <v>1</v>
      </c>
      <c r="AA65" s="321"/>
      <c r="AB65" s="321">
        <f t="shared" si="0"/>
        <v>23</v>
      </c>
    </row>
    <row r="66" spans="1:28">
      <c r="A66" s="326" t="s">
        <v>154</v>
      </c>
      <c r="B66" s="321" t="s">
        <v>155</v>
      </c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  <c r="AA66" s="321"/>
      <c r="AB66" s="321">
        <f t="shared" si="0"/>
        <v>0</v>
      </c>
    </row>
    <row r="67" spans="1:28">
      <c r="A67" s="326" t="s">
        <v>156</v>
      </c>
      <c r="B67" s="321" t="s">
        <v>157</v>
      </c>
      <c r="C67" s="321"/>
      <c r="D67" s="321"/>
      <c r="E67" s="321"/>
      <c r="F67" s="321"/>
      <c r="G67" s="321"/>
      <c r="H67" s="321">
        <v>1</v>
      </c>
      <c r="I67" s="321">
        <v>1</v>
      </c>
      <c r="J67" s="321">
        <v>1</v>
      </c>
      <c r="K67" s="321">
        <v>1</v>
      </c>
      <c r="L67" s="321">
        <v>1</v>
      </c>
      <c r="M67" s="321">
        <v>1</v>
      </c>
      <c r="N67" s="321">
        <v>1</v>
      </c>
      <c r="O67" s="321">
        <v>1</v>
      </c>
      <c r="P67" s="321">
        <v>1</v>
      </c>
      <c r="Q67" s="321">
        <v>1</v>
      </c>
      <c r="R67" s="321">
        <v>1</v>
      </c>
      <c r="S67" s="321">
        <v>1</v>
      </c>
      <c r="T67" s="321">
        <v>1</v>
      </c>
      <c r="U67" s="321">
        <v>1</v>
      </c>
      <c r="V67" s="321">
        <v>1</v>
      </c>
      <c r="W67" s="321">
        <v>1</v>
      </c>
      <c r="X67" s="321">
        <v>1</v>
      </c>
      <c r="Y67" s="321">
        <v>1</v>
      </c>
      <c r="Z67" s="321">
        <v>1</v>
      </c>
      <c r="AA67" s="321"/>
      <c r="AB67" s="321">
        <f t="shared" si="0"/>
        <v>19</v>
      </c>
    </row>
    <row r="68" spans="1:28">
      <c r="A68" s="326" t="s">
        <v>158</v>
      </c>
      <c r="B68" s="321" t="s">
        <v>159</v>
      </c>
      <c r="C68" s="321"/>
      <c r="D68" s="321"/>
      <c r="E68" s="321"/>
      <c r="F68" s="321"/>
      <c r="G68" s="321"/>
      <c r="H68" s="321">
        <v>2</v>
      </c>
      <c r="I68" s="321">
        <v>2</v>
      </c>
      <c r="J68" s="321">
        <v>2</v>
      </c>
      <c r="K68" s="321">
        <v>2</v>
      </c>
      <c r="L68" s="321">
        <v>2</v>
      </c>
      <c r="M68" s="321">
        <v>2</v>
      </c>
      <c r="N68" s="321">
        <v>2</v>
      </c>
      <c r="O68" s="321">
        <v>2</v>
      </c>
      <c r="P68" s="321">
        <v>2</v>
      </c>
      <c r="Q68" s="321">
        <v>2</v>
      </c>
      <c r="R68" s="321">
        <v>2</v>
      </c>
      <c r="S68" s="321">
        <v>2</v>
      </c>
      <c r="T68" s="321">
        <v>2</v>
      </c>
      <c r="U68" s="321">
        <v>2</v>
      </c>
      <c r="V68" s="321">
        <v>2</v>
      </c>
      <c r="W68" s="321">
        <v>2</v>
      </c>
      <c r="X68" s="321">
        <v>2</v>
      </c>
      <c r="Y68" s="321">
        <v>2</v>
      </c>
      <c r="Z68" s="321">
        <v>2</v>
      </c>
      <c r="AA68" s="321"/>
      <c r="AB68" s="321">
        <f t="shared" ref="AB68:AB91" si="1">SUM(E68:AA68)</f>
        <v>38</v>
      </c>
    </row>
    <row r="69" spans="1:28">
      <c r="A69" s="326" t="s">
        <v>160</v>
      </c>
      <c r="B69" s="321" t="s">
        <v>161</v>
      </c>
      <c r="C69" s="321"/>
      <c r="D69" s="321"/>
      <c r="E69" s="321"/>
      <c r="F69" s="321"/>
      <c r="G69" s="321"/>
      <c r="H69" s="321">
        <v>2</v>
      </c>
      <c r="I69" s="321">
        <v>1</v>
      </c>
      <c r="J69" s="321">
        <v>1</v>
      </c>
      <c r="K69" s="321">
        <v>1</v>
      </c>
      <c r="L69" s="321">
        <v>1</v>
      </c>
      <c r="M69" s="321">
        <v>1</v>
      </c>
      <c r="N69" s="321">
        <v>1</v>
      </c>
      <c r="O69" s="321">
        <v>1</v>
      </c>
      <c r="P69" s="321">
        <v>1</v>
      </c>
      <c r="Q69" s="321">
        <v>1</v>
      </c>
      <c r="R69" s="321">
        <v>1</v>
      </c>
      <c r="S69" s="321">
        <v>1</v>
      </c>
      <c r="T69" s="321">
        <v>1</v>
      </c>
      <c r="U69" s="321">
        <v>1</v>
      </c>
      <c r="V69" s="321">
        <v>1</v>
      </c>
      <c r="W69" s="321">
        <v>1</v>
      </c>
      <c r="X69" s="321">
        <v>1</v>
      </c>
      <c r="Y69" s="321">
        <v>1</v>
      </c>
      <c r="Z69" s="321">
        <v>1</v>
      </c>
      <c r="AA69" s="321"/>
      <c r="AB69" s="321">
        <f t="shared" si="1"/>
        <v>20</v>
      </c>
    </row>
    <row r="70" spans="1:28">
      <c r="A70" s="326" t="s">
        <v>162</v>
      </c>
      <c r="B70" s="321" t="s">
        <v>163</v>
      </c>
      <c r="C70" s="321"/>
      <c r="D70" s="321"/>
      <c r="E70" s="321"/>
      <c r="F70" s="321"/>
      <c r="G70" s="321"/>
      <c r="H70" s="321">
        <v>2</v>
      </c>
      <c r="I70" s="321">
        <v>2</v>
      </c>
      <c r="J70" s="321">
        <v>2</v>
      </c>
      <c r="K70" s="321">
        <v>2</v>
      </c>
      <c r="L70" s="321">
        <v>2</v>
      </c>
      <c r="M70" s="321">
        <v>2</v>
      </c>
      <c r="N70" s="321">
        <v>2</v>
      </c>
      <c r="O70" s="321">
        <v>2</v>
      </c>
      <c r="P70" s="321">
        <v>2</v>
      </c>
      <c r="Q70" s="321">
        <v>2</v>
      </c>
      <c r="R70" s="321">
        <v>2</v>
      </c>
      <c r="S70" s="321">
        <v>2</v>
      </c>
      <c r="T70" s="321">
        <v>2</v>
      </c>
      <c r="U70" s="321">
        <v>2</v>
      </c>
      <c r="V70" s="321">
        <v>2</v>
      </c>
      <c r="W70" s="321">
        <v>2</v>
      </c>
      <c r="X70" s="321">
        <v>2</v>
      </c>
      <c r="Y70" s="321">
        <v>2</v>
      </c>
      <c r="Z70" s="321">
        <v>2</v>
      </c>
      <c r="AA70" s="321"/>
      <c r="AB70" s="321">
        <f t="shared" si="1"/>
        <v>38</v>
      </c>
    </row>
    <row r="71" spans="1:28">
      <c r="A71" s="326" t="s">
        <v>164</v>
      </c>
      <c r="B71" s="321" t="s">
        <v>165</v>
      </c>
      <c r="C71" s="321"/>
      <c r="D71" s="321"/>
      <c r="E71" s="321"/>
      <c r="F71" s="321"/>
      <c r="G71" s="321"/>
      <c r="H71" s="321">
        <v>1</v>
      </c>
      <c r="I71" s="321">
        <v>1</v>
      </c>
      <c r="J71" s="321">
        <v>1</v>
      </c>
      <c r="K71" s="321">
        <v>1</v>
      </c>
      <c r="L71" s="321">
        <v>1</v>
      </c>
      <c r="M71" s="321">
        <v>1</v>
      </c>
      <c r="N71" s="321">
        <v>1</v>
      </c>
      <c r="O71" s="321">
        <v>1</v>
      </c>
      <c r="P71" s="321">
        <v>1</v>
      </c>
      <c r="Q71" s="321">
        <v>1</v>
      </c>
      <c r="R71" s="321">
        <v>1</v>
      </c>
      <c r="S71" s="321">
        <v>1</v>
      </c>
      <c r="T71" s="321">
        <v>1</v>
      </c>
      <c r="U71" s="321">
        <v>1</v>
      </c>
      <c r="V71" s="321">
        <v>1</v>
      </c>
      <c r="W71" s="321">
        <v>1</v>
      </c>
      <c r="X71" s="321">
        <v>1</v>
      </c>
      <c r="Y71" s="321">
        <v>1</v>
      </c>
      <c r="Z71" s="321">
        <v>1</v>
      </c>
      <c r="AA71" s="321"/>
      <c r="AB71" s="321">
        <f t="shared" si="1"/>
        <v>19</v>
      </c>
    </row>
    <row r="72" spans="1:28">
      <c r="A72" s="326" t="s">
        <v>166</v>
      </c>
      <c r="B72" s="321" t="s">
        <v>167</v>
      </c>
      <c r="C72" s="321"/>
      <c r="D72" s="321"/>
      <c r="E72" s="321"/>
      <c r="F72" s="321"/>
      <c r="G72" s="321"/>
      <c r="H72" s="321">
        <v>1</v>
      </c>
      <c r="I72" s="321">
        <v>1</v>
      </c>
      <c r="J72" s="321">
        <v>1</v>
      </c>
      <c r="K72" s="321">
        <v>1</v>
      </c>
      <c r="L72" s="321">
        <v>1</v>
      </c>
      <c r="M72" s="321">
        <v>1</v>
      </c>
      <c r="N72" s="321">
        <v>1</v>
      </c>
      <c r="O72" s="321">
        <v>1</v>
      </c>
      <c r="P72" s="321">
        <v>1</v>
      </c>
      <c r="Q72" s="321">
        <v>1</v>
      </c>
      <c r="R72" s="321">
        <v>1</v>
      </c>
      <c r="S72" s="321">
        <v>1</v>
      </c>
      <c r="T72" s="321">
        <v>1</v>
      </c>
      <c r="U72" s="321">
        <v>1</v>
      </c>
      <c r="V72" s="321">
        <v>1</v>
      </c>
      <c r="W72" s="321">
        <v>1</v>
      </c>
      <c r="X72" s="321">
        <v>1</v>
      </c>
      <c r="Y72" s="321">
        <v>1</v>
      </c>
      <c r="Z72" s="321">
        <v>1</v>
      </c>
      <c r="AA72" s="321"/>
      <c r="AB72" s="321">
        <f t="shared" si="1"/>
        <v>19</v>
      </c>
    </row>
    <row r="73" spans="1:28">
      <c r="A73" s="326" t="s">
        <v>168</v>
      </c>
      <c r="B73" s="321" t="s">
        <v>169</v>
      </c>
      <c r="C73" s="321"/>
      <c r="D73" s="321"/>
      <c r="E73" s="321"/>
      <c r="F73" s="321"/>
      <c r="G73" s="321"/>
      <c r="H73" s="321">
        <v>2</v>
      </c>
      <c r="I73" s="321">
        <v>2</v>
      </c>
      <c r="J73" s="321">
        <v>2</v>
      </c>
      <c r="K73" s="321">
        <v>2</v>
      </c>
      <c r="L73" s="321">
        <v>2</v>
      </c>
      <c r="M73" s="321">
        <v>2</v>
      </c>
      <c r="N73" s="321">
        <v>2</v>
      </c>
      <c r="O73" s="321">
        <v>2</v>
      </c>
      <c r="P73" s="321">
        <v>2</v>
      </c>
      <c r="Q73" s="321">
        <v>2</v>
      </c>
      <c r="R73" s="321">
        <v>2</v>
      </c>
      <c r="S73" s="321">
        <v>2</v>
      </c>
      <c r="T73" s="321">
        <v>2</v>
      </c>
      <c r="U73" s="321">
        <v>2</v>
      </c>
      <c r="V73" s="321">
        <v>2</v>
      </c>
      <c r="W73" s="321">
        <v>2</v>
      </c>
      <c r="X73" s="321">
        <v>2</v>
      </c>
      <c r="Y73" s="321">
        <v>2</v>
      </c>
      <c r="Z73" s="321">
        <v>2</v>
      </c>
      <c r="AA73" s="321"/>
      <c r="AB73" s="321">
        <f t="shared" si="1"/>
        <v>38</v>
      </c>
    </row>
    <row r="74" spans="1:28">
      <c r="A74" s="326" t="s">
        <v>170</v>
      </c>
      <c r="B74" s="321" t="s">
        <v>171</v>
      </c>
      <c r="C74" s="321"/>
      <c r="D74" s="321"/>
      <c r="E74" s="321"/>
      <c r="F74" s="321"/>
      <c r="G74" s="321"/>
      <c r="H74" s="321">
        <v>1</v>
      </c>
      <c r="I74" s="321">
        <v>1</v>
      </c>
      <c r="J74" s="321">
        <v>1</v>
      </c>
      <c r="K74" s="321">
        <v>1</v>
      </c>
      <c r="L74" s="321">
        <v>1</v>
      </c>
      <c r="M74" s="321">
        <v>1</v>
      </c>
      <c r="N74" s="321">
        <v>1</v>
      </c>
      <c r="O74" s="321">
        <v>1</v>
      </c>
      <c r="P74" s="321">
        <v>1</v>
      </c>
      <c r="Q74" s="321">
        <v>1</v>
      </c>
      <c r="R74" s="321">
        <v>1</v>
      </c>
      <c r="S74" s="321">
        <v>1</v>
      </c>
      <c r="T74" s="321">
        <v>1</v>
      </c>
      <c r="U74" s="321">
        <v>1</v>
      </c>
      <c r="V74" s="321">
        <v>1</v>
      </c>
      <c r="W74" s="321">
        <v>1</v>
      </c>
      <c r="X74" s="321">
        <v>1</v>
      </c>
      <c r="Y74" s="321">
        <v>1</v>
      </c>
      <c r="Z74" s="321">
        <v>1</v>
      </c>
      <c r="AA74" s="321"/>
      <c r="AB74" s="321">
        <f t="shared" si="1"/>
        <v>19</v>
      </c>
    </row>
    <row r="75" spans="1:28">
      <c r="A75" s="321" t="s">
        <v>172</v>
      </c>
      <c r="B75" s="321" t="s">
        <v>173</v>
      </c>
      <c r="C75" s="321"/>
      <c r="D75" s="321"/>
      <c r="E75" s="321"/>
      <c r="F75" s="321"/>
      <c r="G75" s="321"/>
      <c r="H75" s="321">
        <v>1</v>
      </c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1"/>
      <c r="U75" s="321"/>
      <c r="V75" s="321"/>
      <c r="W75" s="321"/>
      <c r="X75" s="321"/>
      <c r="Y75" s="321"/>
      <c r="Z75" s="321"/>
      <c r="AA75" s="321"/>
      <c r="AB75" s="321">
        <f t="shared" si="1"/>
        <v>1</v>
      </c>
    </row>
    <row r="76" spans="1:28">
      <c r="A76" s="321" t="s">
        <v>174</v>
      </c>
      <c r="B76" s="321" t="s">
        <v>175</v>
      </c>
      <c r="C76" s="321"/>
      <c r="D76" s="321"/>
      <c r="E76" s="321"/>
      <c r="F76" s="321"/>
      <c r="G76" s="321"/>
      <c r="H76" s="321">
        <v>1</v>
      </c>
      <c r="I76" s="321">
        <v>1</v>
      </c>
      <c r="J76" s="321">
        <v>1</v>
      </c>
      <c r="K76" s="321">
        <v>1</v>
      </c>
      <c r="L76" s="321">
        <v>1</v>
      </c>
      <c r="M76" s="321">
        <v>1</v>
      </c>
      <c r="N76" s="321">
        <v>1</v>
      </c>
      <c r="O76" s="321">
        <v>1</v>
      </c>
      <c r="P76" s="321">
        <v>1</v>
      </c>
      <c r="Q76" s="321">
        <v>1</v>
      </c>
      <c r="R76" s="321">
        <v>1</v>
      </c>
      <c r="S76" s="321">
        <v>1</v>
      </c>
      <c r="T76" s="321">
        <v>1</v>
      </c>
      <c r="U76" s="321">
        <v>1</v>
      </c>
      <c r="V76" s="321">
        <v>1</v>
      </c>
      <c r="W76" s="321">
        <v>1</v>
      </c>
      <c r="X76" s="321">
        <v>1</v>
      </c>
      <c r="Y76" s="321">
        <v>1</v>
      </c>
      <c r="Z76" s="321">
        <v>1</v>
      </c>
      <c r="AA76" s="321"/>
      <c r="AB76" s="321">
        <f t="shared" si="1"/>
        <v>19</v>
      </c>
    </row>
    <row r="77" spans="1:28">
      <c r="A77" s="321" t="s">
        <v>176</v>
      </c>
      <c r="B77" s="321" t="s">
        <v>177</v>
      </c>
      <c r="C77" s="321"/>
      <c r="D77" s="321"/>
      <c r="E77" s="321"/>
      <c r="F77" s="321"/>
      <c r="G77" s="321"/>
      <c r="H77" s="321">
        <v>1</v>
      </c>
      <c r="I77" s="321">
        <v>1</v>
      </c>
      <c r="J77" s="321">
        <v>1</v>
      </c>
      <c r="K77" s="321">
        <v>1</v>
      </c>
      <c r="L77" s="321">
        <v>1</v>
      </c>
      <c r="M77" s="321">
        <v>1</v>
      </c>
      <c r="N77" s="321">
        <v>1</v>
      </c>
      <c r="O77" s="321">
        <v>1</v>
      </c>
      <c r="P77" s="321">
        <v>1</v>
      </c>
      <c r="Q77" s="321">
        <v>1</v>
      </c>
      <c r="R77" s="321">
        <v>1</v>
      </c>
      <c r="S77" s="321">
        <v>1</v>
      </c>
      <c r="T77" s="321">
        <v>1</v>
      </c>
      <c r="U77" s="321">
        <v>1</v>
      </c>
      <c r="V77" s="321">
        <v>1</v>
      </c>
      <c r="W77" s="321">
        <v>1</v>
      </c>
      <c r="X77" s="321">
        <v>1</v>
      </c>
      <c r="Y77" s="321">
        <v>1</v>
      </c>
      <c r="Z77" s="321">
        <v>1</v>
      </c>
      <c r="AA77" s="321"/>
      <c r="AB77" s="321">
        <f t="shared" si="1"/>
        <v>19</v>
      </c>
    </row>
    <row r="78" spans="1:28">
      <c r="A78" s="321" t="s">
        <v>178</v>
      </c>
      <c r="B78" s="321" t="s">
        <v>179</v>
      </c>
      <c r="C78" s="321"/>
      <c r="D78" s="321"/>
      <c r="E78" s="321"/>
      <c r="F78" s="321"/>
      <c r="G78" s="321"/>
      <c r="H78" s="321">
        <v>1</v>
      </c>
      <c r="I78" s="321">
        <v>1</v>
      </c>
      <c r="J78" s="321">
        <v>1</v>
      </c>
      <c r="K78" s="321">
        <v>1</v>
      </c>
      <c r="L78" s="321">
        <v>1</v>
      </c>
      <c r="M78" s="321">
        <v>1</v>
      </c>
      <c r="N78" s="321">
        <v>1</v>
      </c>
      <c r="O78" s="321">
        <v>1</v>
      </c>
      <c r="P78" s="321">
        <v>1</v>
      </c>
      <c r="Q78" s="321">
        <v>1</v>
      </c>
      <c r="R78" s="321">
        <v>1</v>
      </c>
      <c r="S78" s="321">
        <v>1</v>
      </c>
      <c r="T78" s="321">
        <v>1</v>
      </c>
      <c r="U78" s="321">
        <v>1</v>
      </c>
      <c r="V78" s="321">
        <v>1</v>
      </c>
      <c r="W78" s="321">
        <v>1</v>
      </c>
      <c r="X78" s="321">
        <v>1</v>
      </c>
      <c r="Y78" s="321">
        <v>1</v>
      </c>
      <c r="Z78" s="321">
        <v>1</v>
      </c>
      <c r="AA78" s="321"/>
      <c r="AB78" s="321">
        <f t="shared" si="1"/>
        <v>19</v>
      </c>
    </row>
    <row r="79" spans="1:28">
      <c r="A79" s="321" t="s">
        <v>180</v>
      </c>
      <c r="B79" s="321" t="s">
        <v>181</v>
      </c>
      <c r="C79" s="321"/>
      <c r="D79" s="321"/>
      <c r="E79" s="321"/>
      <c r="F79" s="321"/>
      <c r="G79" s="321"/>
      <c r="H79" s="321">
        <v>1</v>
      </c>
      <c r="I79" s="321">
        <v>1</v>
      </c>
      <c r="J79" s="321">
        <v>1</v>
      </c>
      <c r="K79" s="321">
        <v>1</v>
      </c>
      <c r="L79" s="321">
        <v>1</v>
      </c>
      <c r="M79" s="321">
        <v>1</v>
      </c>
      <c r="N79" s="321">
        <v>1</v>
      </c>
      <c r="O79" s="321">
        <v>1</v>
      </c>
      <c r="P79" s="321">
        <v>1</v>
      </c>
      <c r="Q79" s="321">
        <v>1</v>
      </c>
      <c r="R79" s="321">
        <v>1</v>
      </c>
      <c r="S79" s="321">
        <v>1</v>
      </c>
      <c r="T79" s="321">
        <v>1</v>
      </c>
      <c r="U79" s="321">
        <v>1</v>
      </c>
      <c r="V79" s="321">
        <v>1</v>
      </c>
      <c r="W79" s="321">
        <v>1</v>
      </c>
      <c r="X79" s="321">
        <v>1</v>
      </c>
      <c r="Y79" s="321">
        <v>1</v>
      </c>
      <c r="Z79" s="321">
        <v>1</v>
      </c>
      <c r="AA79" s="321"/>
      <c r="AB79" s="321">
        <f t="shared" si="1"/>
        <v>19</v>
      </c>
    </row>
    <row r="80" spans="1:28">
      <c r="A80" s="321" t="s">
        <v>182</v>
      </c>
      <c r="B80" s="321" t="s">
        <v>183</v>
      </c>
      <c r="C80" s="321"/>
      <c r="D80" s="321"/>
      <c r="E80" s="321"/>
      <c r="F80" s="321"/>
      <c r="G80" s="321"/>
      <c r="H80" s="321">
        <v>1</v>
      </c>
      <c r="I80" s="321">
        <v>1</v>
      </c>
      <c r="J80" s="321">
        <v>1</v>
      </c>
      <c r="K80" s="321">
        <v>1</v>
      </c>
      <c r="L80" s="321">
        <v>1</v>
      </c>
      <c r="M80" s="321">
        <v>1</v>
      </c>
      <c r="N80" s="321">
        <v>1</v>
      </c>
      <c r="O80" s="321">
        <v>1</v>
      </c>
      <c r="P80" s="321">
        <v>1</v>
      </c>
      <c r="Q80" s="321">
        <v>1</v>
      </c>
      <c r="R80" s="321">
        <v>1</v>
      </c>
      <c r="S80" s="321">
        <v>1</v>
      </c>
      <c r="T80" s="321">
        <v>1</v>
      </c>
      <c r="U80" s="321">
        <v>1</v>
      </c>
      <c r="V80" s="321">
        <v>1</v>
      </c>
      <c r="W80" s="321">
        <v>1</v>
      </c>
      <c r="X80" s="321">
        <v>1</v>
      </c>
      <c r="Y80" s="321">
        <v>1</v>
      </c>
      <c r="Z80" s="321">
        <v>1</v>
      </c>
      <c r="AA80" s="321"/>
      <c r="AB80" s="321">
        <f t="shared" si="1"/>
        <v>19</v>
      </c>
    </row>
    <row r="81" spans="1:28">
      <c r="A81" s="321" t="s">
        <v>184</v>
      </c>
      <c r="B81" s="321" t="s">
        <v>185</v>
      </c>
      <c r="C81" s="321"/>
      <c r="D81" s="321"/>
      <c r="E81" s="321"/>
      <c r="F81" s="321"/>
      <c r="G81" s="321"/>
      <c r="H81" s="321"/>
      <c r="I81" s="321">
        <v>2</v>
      </c>
      <c r="J81" s="321">
        <v>2</v>
      </c>
      <c r="K81" s="321">
        <v>2</v>
      </c>
      <c r="L81" s="321">
        <v>1</v>
      </c>
      <c r="M81" s="321">
        <v>2</v>
      </c>
      <c r="N81" s="321">
        <v>1</v>
      </c>
      <c r="O81" s="321">
        <v>2</v>
      </c>
      <c r="P81" s="321">
        <v>2</v>
      </c>
      <c r="Q81" s="321">
        <v>2</v>
      </c>
      <c r="R81" s="321">
        <v>2</v>
      </c>
      <c r="S81" s="321">
        <v>2</v>
      </c>
      <c r="T81" s="321">
        <v>2</v>
      </c>
      <c r="U81" s="321">
        <v>2</v>
      </c>
      <c r="V81" s="321">
        <v>2</v>
      </c>
      <c r="W81" s="321">
        <v>2</v>
      </c>
      <c r="X81" s="321">
        <v>2</v>
      </c>
      <c r="Y81" s="321">
        <v>2</v>
      </c>
      <c r="Z81" s="321">
        <v>2</v>
      </c>
      <c r="AA81" s="321"/>
      <c r="AB81" s="321">
        <f t="shared" si="1"/>
        <v>34</v>
      </c>
    </row>
    <row r="82" spans="1:28">
      <c r="A82" s="321" t="s">
        <v>186</v>
      </c>
      <c r="B82" s="321" t="s">
        <v>187</v>
      </c>
      <c r="C82" s="321"/>
      <c r="D82" s="321"/>
      <c r="E82" s="321"/>
      <c r="F82" s="321"/>
      <c r="G82" s="321"/>
      <c r="H82" s="321"/>
      <c r="I82" s="321">
        <v>1</v>
      </c>
      <c r="J82" s="321">
        <v>1</v>
      </c>
      <c r="K82" s="321">
        <v>1</v>
      </c>
      <c r="L82" s="321">
        <v>1</v>
      </c>
      <c r="M82" s="321">
        <v>1</v>
      </c>
      <c r="N82" s="321">
        <v>1</v>
      </c>
      <c r="O82" s="321">
        <v>1</v>
      </c>
      <c r="P82" s="321">
        <v>1</v>
      </c>
      <c r="Q82" s="321">
        <v>1</v>
      </c>
      <c r="R82" s="321">
        <v>1</v>
      </c>
      <c r="S82" s="321">
        <v>1</v>
      </c>
      <c r="T82" s="321">
        <v>1</v>
      </c>
      <c r="U82" s="321">
        <v>1</v>
      </c>
      <c r="V82" s="321">
        <v>1</v>
      </c>
      <c r="W82" s="321">
        <v>1</v>
      </c>
      <c r="X82" s="321">
        <v>1</v>
      </c>
      <c r="Y82" s="321">
        <v>1</v>
      </c>
      <c r="Z82" s="321">
        <v>1</v>
      </c>
      <c r="AA82" s="321"/>
      <c r="AB82" s="321">
        <f t="shared" si="1"/>
        <v>18</v>
      </c>
    </row>
    <row r="83" spans="1:28">
      <c r="A83" s="321" t="s">
        <v>188</v>
      </c>
      <c r="B83" s="321" t="s">
        <v>189</v>
      </c>
      <c r="C83" s="321"/>
      <c r="D83" s="321"/>
      <c r="E83" s="321"/>
      <c r="F83" s="321"/>
      <c r="G83" s="321">
        <v>1</v>
      </c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  <c r="AA83" s="321"/>
      <c r="AB83" s="321">
        <f t="shared" si="1"/>
        <v>1</v>
      </c>
    </row>
    <row r="84" spans="1:28">
      <c r="A84" s="321" t="s">
        <v>190</v>
      </c>
      <c r="B84" s="321" t="s">
        <v>191</v>
      </c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  <c r="AA84" s="321">
        <v>2</v>
      </c>
      <c r="AB84" s="321">
        <f t="shared" si="1"/>
        <v>2</v>
      </c>
    </row>
    <row r="85" spans="1:28">
      <c r="A85" s="321" t="s">
        <v>192</v>
      </c>
      <c r="B85" s="321" t="s">
        <v>193</v>
      </c>
      <c r="C85" s="321"/>
      <c r="D85" s="321"/>
      <c r="E85" s="321"/>
      <c r="F85" s="321"/>
      <c r="G85" s="321">
        <v>1</v>
      </c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  <c r="AA85" s="321"/>
      <c r="AB85" s="321">
        <f t="shared" si="1"/>
        <v>1</v>
      </c>
    </row>
    <row r="86" spans="1:28">
      <c r="A86" s="321" t="s">
        <v>194</v>
      </c>
      <c r="B86" s="321" t="s">
        <v>195</v>
      </c>
      <c r="C86" s="321"/>
      <c r="D86" s="321"/>
      <c r="E86" s="321"/>
      <c r="F86" s="321">
        <v>1</v>
      </c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  <c r="AA86" s="321"/>
      <c r="AB86" s="321">
        <f t="shared" si="1"/>
        <v>1</v>
      </c>
    </row>
    <row r="87" spans="1:28">
      <c r="A87" s="321" t="s">
        <v>196</v>
      </c>
      <c r="B87" s="321" t="s">
        <v>155</v>
      </c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321"/>
      <c r="AB87" s="321">
        <f t="shared" si="1"/>
        <v>0</v>
      </c>
    </row>
    <row r="88" spans="1:28">
      <c r="A88" s="321" t="s">
        <v>197</v>
      </c>
      <c r="B88" s="321" t="s">
        <v>198</v>
      </c>
      <c r="C88" s="321"/>
      <c r="D88" s="321"/>
      <c r="E88" s="321"/>
      <c r="G88" s="321">
        <v>1</v>
      </c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  <c r="AA88" s="321"/>
      <c r="AB88" s="321">
        <f t="shared" si="1"/>
        <v>1</v>
      </c>
    </row>
    <row r="89" spans="1:28">
      <c r="A89" s="321" t="s">
        <v>199</v>
      </c>
      <c r="B89" s="321" t="s">
        <v>200</v>
      </c>
      <c r="C89" s="321"/>
      <c r="D89" s="321"/>
      <c r="E89" s="321"/>
      <c r="F89" s="321">
        <v>21</v>
      </c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  <c r="AA89" s="321"/>
      <c r="AB89" s="321">
        <f t="shared" si="1"/>
        <v>21</v>
      </c>
    </row>
    <row r="90" spans="1:28">
      <c r="A90" s="321" t="s">
        <v>201</v>
      </c>
      <c r="B90" s="321" t="s">
        <v>202</v>
      </c>
      <c r="C90" s="321"/>
      <c r="D90" s="321"/>
      <c r="E90" s="321"/>
      <c r="F90" s="321">
        <v>3</v>
      </c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  <c r="AA90" s="321"/>
      <c r="AB90" s="321">
        <f t="shared" si="1"/>
        <v>3</v>
      </c>
    </row>
    <row r="91" spans="1:28">
      <c r="A91" s="321" t="s">
        <v>203</v>
      </c>
      <c r="B91" s="321" t="s">
        <v>204</v>
      </c>
      <c r="C91" s="321"/>
      <c r="D91" s="321"/>
      <c r="E91" s="321">
        <v>1</v>
      </c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  <c r="AA91" s="321"/>
      <c r="AB91" s="321">
        <f t="shared" si="1"/>
        <v>1</v>
      </c>
    </row>
    <row r="92" spans="28:28">
      <c r="AB92" s="330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SheetLayoutView="60" workbookViewId="0">
      <selection activeCell="H9" sqref="H9"/>
    </sheetView>
  </sheetViews>
  <sheetFormatPr defaultColWidth="8.75" defaultRowHeight="11.25"/>
  <cols>
    <col min="1" max="1" width="5.625" style="180" customWidth="1"/>
    <col min="2" max="2" width="14.375" style="180" customWidth="1"/>
    <col min="3" max="3" width="11.75" style="180" customWidth="1"/>
    <col min="4" max="4" width="7.25" style="180" customWidth="1"/>
    <col min="5" max="7" width="8.75" style="180"/>
    <col min="8" max="8" width="12" style="181" customWidth="1"/>
    <col min="9" max="9" width="10" style="180" customWidth="1"/>
    <col min="10" max="10" width="21.4416666666667" style="180"/>
    <col min="11" max="13" width="8.75" style="180"/>
    <col min="14" max="14" width="15.125" style="180" customWidth="1"/>
    <col min="15" max="16384" width="8.75" style="180"/>
  </cols>
  <sheetData>
    <row r="1" ht="53.25" customHeight="1" spans="1:9">
      <c r="A1" s="182" t="s">
        <v>557</v>
      </c>
      <c r="B1" s="182"/>
      <c r="C1" s="182"/>
      <c r="D1" s="182"/>
      <c r="E1" s="182"/>
      <c r="F1" s="182"/>
      <c r="G1" s="182"/>
      <c r="H1" s="182"/>
      <c r="I1" s="182"/>
    </row>
    <row r="2" ht="30" customHeight="1" spans="1:9">
      <c r="A2" s="111" t="s">
        <v>1</v>
      </c>
      <c r="B2" s="112" t="s">
        <v>343</v>
      </c>
      <c r="C2" s="112" t="s">
        <v>516</v>
      </c>
      <c r="D2" s="152" t="s">
        <v>517</v>
      </c>
      <c r="E2" s="113" t="s">
        <v>518</v>
      </c>
      <c r="F2" s="113" t="s">
        <v>519</v>
      </c>
      <c r="G2" s="113"/>
      <c r="H2" s="152" t="s">
        <v>520</v>
      </c>
      <c r="I2" s="126" t="s">
        <v>374</v>
      </c>
    </row>
    <row r="3" ht="30" customHeight="1" spans="1:9">
      <c r="A3" s="114"/>
      <c r="B3" s="115"/>
      <c r="C3" s="115"/>
      <c r="D3" s="153"/>
      <c r="E3" s="116"/>
      <c r="F3" s="116"/>
      <c r="G3" s="116" t="s">
        <v>521</v>
      </c>
      <c r="H3" s="153"/>
      <c r="I3" s="128"/>
    </row>
    <row r="4" s="179" customFormat="1" ht="57" customHeight="1" spans="1:11">
      <c r="A4" s="183" t="s">
        <v>441</v>
      </c>
      <c r="B4" s="8" t="s">
        <v>558</v>
      </c>
      <c r="C4" s="8"/>
      <c r="D4" s="8"/>
      <c r="E4" s="9"/>
      <c r="F4" s="9"/>
      <c r="G4" s="9"/>
      <c r="H4" s="184"/>
      <c r="I4" s="193"/>
      <c r="J4" s="194"/>
      <c r="K4" s="194"/>
    </row>
    <row r="5" ht="57" customHeight="1" spans="1:11">
      <c r="A5" s="161">
        <v>1</v>
      </c>
      <c r="B5" s="185" t="s">
        <v>559</v>
      </c>
      <c r="C5" s="185" t="s">
        <v>560</v>
      </c>
      <c r="D5" s="10" t="s">
        <v>561</v>
      </c>
      <c r="E5" s="186">
        <v>-1</v>
      </c>
      <c r="F5" s="119">
        <v>5000</v>
      </c>
      <c r="G5" s="12"/>
      <c r="H5" s="187">
        <f>E5*F5</f>
        <v>-5000</v>
      </c>
      <c r="I5" s="195" t="s">
        <v>562</v>
      </c>
      <c r="K5" s="196"/>
    </row>
    <row r="6" ht="57" customHeight="1" spans="1:9">
      <c r="A6" s="161">
        <v>2</v>
      </c>
      <c r="B6" s="188" t="s">
        <v>563</v>
      </c>
      <c r="C6" s="186" t="s">
        <v>564</v>
      </c>
      <c r="D6" s="10" t="s">
        <v>565</v>
      </c>
      <c r="E6" s="186">
        <v>-4</v>
      </c>
      <c r="F6" s="119">
        <v>2600</v>
      </c>
      <c r="G6" s="12"/>
      <c r="H6" s="187">
        <f>E6*F6</f>
        <v>-10400</v>
      </c>
      <c r="I6" s="197" t="s">
        <v>566</v>
      </c>
    </row>
    <row r="7" ht="57" customHeight="1" spans="1:9">
      <c r="A7" s="161">
        <v>3</v>
      </c>
      <c r="B7" s="188" t="s">
        <v>567</v>
      </c>
      <c r="C7" s="186" t="s">
        <v>568</v>
      </c>
      <c r="D7" s="10" t="s">
        <v>565</v>
      </c>
      <c r="E7" s="186">
        <v>-1</v>
      </c>
      <c r="F7" s="119">
        <v>5000</v>
      </c>
      <c r="G7" s="12"/>
      <c r="H7" s="187">
        <f>E7*F7</f>
        <v>-5000</v>
      </c>
      <c r="I7" s="198" t="s">
        <v>569</v>
      </c>
    </row>
    <row r="8" ht="57" customHeight="1" spans="1:9">
      <c r="A8" s="161">
        <v>4</v>
      </c>
      <c r="B8" s="188" t="s">
        <v>570</v>
      </c>
      <c r="C8" s="186" t="s">
        <v>571</v>
      </c>
      <c r="D8" s="10" t="s">
        <v>565</v>
      </c>
      <c r="E8" s="186">
        <v>-1</v>
      </c>
      <c r="F8" s="119">
        <v>3000</v>
      </c>
      <c r="G8" s="12"/>
      <c r="H8" s="187">
        <f>E8*F8</f>
        <v>-3000</v>
      </c>
      <c r="I8" s="195" t="s">
        <v>572</v>
      </c>
    </row>
    <row r="9" s="179" customFormat="1" ht="57" customHeight="1" spans="1:9">
      <c r="A9" s="189" t="s">
        <v>447</v>
      </c>
      <c r="B9" s="190" t="s">
        <v>573</v>
      </c>
      <c r="C9" s="191"/>
      <c r="D9" s="191" t="s">
        <v>574</v>
      </c>
      <c r="E9" s="191"/>
      <c r="F9" s="191"/>
      <c r="G9" s="191"/>
      <c r="H9" s="192">
        <f>SUM(H5:H8)</f>
        <v>-23400</v>
      </c>
      <c r="I9" s="199"/>
    </row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rintOptions horizontalCentered="1"/>
  <pageMargins left="0.118055555555556" right="0.118055555555556" top="0.156944444444444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P57"/>
  <sheetViews>
    <sheetView view="pageBreakPreview" zoomScaleNormal="130" workbookViewId="0">
      <pane ySplit="4" topLeftCell="A5" activePane="bottomLeft" state="frozen"/>
      <selection/>
      <selection pane="bottomLeft" activeCell="E7" sqref="E7"/>
    </sheetView>
  </sheetViews>
  <sheetFormatPr defaultColWidth="8.75" defaultRowHeight="14.25"/>
  <cols>
    <col min="1" max="1" width="4.75" style="45" customWidth="1"/>
    <col min="2" max="2" width="10.25" style="45" customWidth="1"/>
    <col min="3" max="3" width="29.5" style="45" customWidth="1"/>
    <col min="4" max="4" width="4" style="2" customWidth="1"/>
    <col min="5" max="5" width="6.625" style="3" customWidth="1"/>
    <col min="6" max="6" width="8.375" style="3" customWidth="1"/>
    <col min="7" max="7" width="7.75" style="3" customWidth="1"/>
    <col min="8" max="8" width="8.5" style="3" customWidth="1"/>
    <col min="9" max="9" width="6.125" style="45" customWidth="1"/>
    <col min="10" max="16384" width="8.75" style="45"/>
  </cols>
  <sheetData>
    <row r="1" s="1" customFormat="1" spans="1:9">
      <c r="A1" s="4" t="s">
        <v>575</v>
      </c>
      <c r="B1" s="4"/>
      <c r="C1" s="4"/>
      <c r="D1" s="4"/>
      <c r="E1" s="5"/>
      <c r="F1" s="5"/>
      <c r="G1" s="5"/>
      <c r="H1" s="5"/>
      <c r="I1" s="4"/>
    </row>
    <row r="2" s="1" customFormat="1" spans="1:9">
      <c r="A2" s="6"/>
      <c r="B2" s="6"/>
      <c r="C2" s="6"/>
      <c r="D2" s="6"/>
      <c r="E2" s="7"/>
      <c r="F2" s="7"/>
      <c r="G2" s="7"/>
      <c r="H2" s="7"/>
      <c r="I2" s="6"/>
    </row>
    <row r="3" s="1" customFormat="1" ht="15" spans="1:9">
      <c r="A3" s="28" t="s">
        <v>1</v>
      </c>
      <c r="B3" s="28" t="s">
        <v>343</v>
      </c>
      <c r="C3" s="28" t="s">
        <v>516</v>
      </c>
      <c r="D3" s="28" t="s">
        <v>517</v>
      </c>
      <c r="E3" s="29" t="s">
        <v>518</v>
      </c>
      <c r="F3" s="29" t="s">
        <v>576</v>
      </c>
      <c r="G3" s="29"/>
      <c r="H3" s="29" t="s">
        <v>520</v>
      </c>
      <c r="I3" s="28" t="s">
        <v>374</v>
      </c>
    </row>
    <row r="4" s="1" customFormat="1" ht="23.25" spans="1:9">
      <c r="A4" s="31"/>
      <c r="B4" s="31"/>
      <c r="C4" s="31"/>
      <c r="D4" s="31"/>
      <c r="E4" s="32"/>
      <c r="F4" s="32"/>
      <c r="G4" s="32" t="s">
        <v>521</v>
      </c>
      <c r="H4" s="32"/>
      <c r="I4" s="31"/>
    </row>
    <row r="5" s="43" customFormat="1" ht="15" spans="1:250">
      <c r="A5" s="47" t="s">
        <v>441</v>
      </c>
      <c r="B5" s="48" t="s">
        <v>577</v>
      </c>
      <c r="C5" s="47"/>
      <c r="D5" s="31"/>
      <c r="E5" s="32"/>
      <c r="F5" s="32"/>
      <c r="G5" s="32"/>
      <c r="H5" s="34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</row>
    <row r="6" s="43" customFormat="1" ht="90.75" outlineLevel="1" spans="1:250">
      <c r="A6" s="49">
        <v>17</v>
      </c>
      <c r="B6" s="49" t="s">
        <v>578</v>
      </c>
      <c r="C6" s="49" t="s">
        <v>579</v>
      </c>
      <c r="D6" s="35" t="s">
        <v>561</v>
      </c>
      <c r="E6" s="36">
        <f>-10+7</f>
        <v>-3</v>
      </c>
      <c r="F6" s="36">
        <v>600.5</v>
      </c>
      <c r="G6" s="36">
        <v>558</v>
      </c>
      <c r="H6" s="36">
        <f t="shared" ref="H6:H11" si="0">E6*F6</f>
        <v>-1801.5</v>
      </c>
      <c r="I6" s="49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</row>
    <row r="7" s="43" customFormat="1" ht="90.75" outlineLevel="1" spans="1:250">
      <c r="A7" s="49">
        <v>19</v>
      </c>
      <c r="B7" s="49" t="s">
        <v>580</v>
      </c>
      <c r="C7" s="49" t="s">
        <v>581</v>
      </c>
      <c r="D7" s="35" t="s">
        <v>561</v>
      </c>
      <c r="E7" s="36">
        <f>-16+10</f>
        <v>-6</v>
      </c>
      <c r="F7" s="36">
        <v>400</v>
      </c>
      <c r="G7" s="36">
        <v>386</v>
      </c>
      <c r="H7" s="36">
        <f t="shared" si="0"/>
        <v>-2400</v>
      </c>
      <c r="I7" s="49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</row>
    <row r="8" s="43" customFormat="1" ht="90.75" outlineLevel="1" spans="1:250">
      <c r="A8" s="49">
        <v>20</v>
      </c>
      <c r="B8" s="49" t="s">
        <v>582</v>
      </c>
      <c r="C8" s="49" t="s">
        <v>583</v>
      </c>
      <c r="D8" s="35" t="s">
        <v>561</v>
      </c>
      <c r="E8" s="36">
        <f>-34+10</f>
        <v>-24</v>
      </c>
      <c r="F8" s="36">
        <v>444.5</v>
      </c>
      <c r="G8" s="36">
        <v>386.3</v>
      </c>
      <c r="H8" s="36">
        <f t="shared" si="0"/>
        <v>-10668</v>
      </c>
      <c r="I8" s="49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</row>
    <row r="9" s="43" customFormat="1" ht="79.5" outlineLevel="1" spans="1:250">
      <c r="A9" s="49">
        <v>21</v>
      </c>
      <c r="B9" s="49" t="s">
        <v>584</v>
      </c>
      <c r="C9" s="49" t="s">
        <v>585</v>
      </c>
      <c r="D9" s="35" t="s">
        <v>561</v>
      </c>
      <c r="E9" s="36">
        <v>-2</v>
      </c>
      <c r="F9" s="36">
        <v>1651.5</v>
      </c>
      <c r="G9" s="36">
        <v>1502</v>
      </c>
      <c r="H9" s="36">
        <f t="shared" si="0"/>
        <v>-3303</v>
      </c>
      <c r="I9" s="49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</row>
    <row r="10" s="43" customFormat="1" ht="90.75" outlineLevel="1" spans="1:250">
      <c r="A10" s="49">
        <v>22</v>
      </c>
      <c r="B10" s="49" t="s">
        <v>586</v>
      </c>
      <c r="C10" s="49" t="s">
        <v>587</v>
      </c>
      <c r="D10" s="35" t="s">
        <v>561</v>
      </c>
      <c r="E10" s="36">
        <f>-17+8</f>
        <v>-9</v>
      </c>
      <c r="F10" s="36">
        <v>192.5</v>
      </c>
      <c r="G10" s="36">
        <v>154.5</v>
      </c>
      <c r="H10" s="36">
        <f t="shared" si="0"/>
        <v>-1732.5</v>
      </c>
      <c r="I10" s="49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</row>
    <row r="11" s="43" customFormat="1" ht="45.75" outlineLevel="1" spans="1:250">
      <c r="A11" s="49">
        <v>30</v>
      </c>
      <c r="B11" s="49" t="s">
        <v>588</v>
      </c>
      <c r="C11" s="49" t="s">
        <v>589</v>
      </c>
      <c r="D11" s="35" t="s">
        <v>565</v>
      </c>
      <c r="E11" s="36">
        <f>-5</f>
        <v>-5</v>
      </c>
      <c r="F11" s="36">
        <v>53.38</v>
      </c>
      <c r="G11" s="36">
        <v>50.25</v>
      </c>
      <c r="H11" s="36">
        <f t="shared" si="0"/>
        <v>-266.9</v>
      </c>
      <c r="I11" s="49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</row>
    <row r="12" s="43" customFormat="1" ht="15" spans="1:250">
      <c r="A12" s="49"/>
      <c r="B12" s="49" t="s">
        <v>590</v>
      </c>
      <c r="C12" s="49"/>
      <c r="D12" s="35"/>
      <c r="E12" s="36"/>
      <c r="F12" s="36"/>
      <c r="G12" s="36"/>
      <c r="H12" s="36"/>
      <c r="I12" s="49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</row>
    <row r="13" s="43" customFormat="1" ht="15" spans="1:9">
      <c r="A13" s="47" t="s">
        <v>447</v>
      </c>
      <c r="B13" s="47" t="s">
        <v>591</v>
      </c>
      <c r="C13" s="47"/>
      <c r="D13" s="31"/>
      <c r="E13" s="50"/>
      <c r="F13" s="50"/>
      <c r="G13" s="50"/>
      <c r="H13" s="50"/>
      <c r="I13" s="47"/>
    </row>
    <row r="14" s="43" customFormat="1" ht="21.75" outlineLevel="1" spans="1:250">
      <c r="A14" s="51" t="s">
        <v>592</v>
      </c>
      <c r="B14" s="47" t="s">
        <v>593</v>
      </c>
      <c r="C14" s="49"/>
      <c r="D14" s="35"/>
      <c r="E14" s="36"/>
      <c r="F14" s="40"/>
      <c r="G14" s="40"/>
      <c r="H14" s="40"/>
      <c r="I14" s="49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</row>
    <row r="15" s="43" customFormat="1" ht="90.75" outlineLevel="2" spans="1:250">
      <c r="A15" s="49">
        <v>7</v>
      </c>
      <c r="B15" s="49" t="s">
        <v>594</v>
      </c>
      <c r="C15" s="49" t="s">
        <v>595</v>
      </c>
      <c r="D15" s="35" t="s">
        <v>596</v>
      </c>
      <c r="E15" s="40">
        <v>-1</v>
      </c>
      <c r="F15" s="40">
        <f>4797-2000</f>
        <v>2797</v>
      </c>
      <c r="G15" s="40"/>
      <c r="H15" s="40">
        <f t="shared" ref="H15:H26" si="1">F15*E15</f>
        <v>-2797</v>
      </c>
      <c r="I15" s="49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</row>
    <row r="16" s="43" customFormat="1" ht="90.75" outlineLevel="2" spans="1:250">
      <c r="A16" s="49">
        <v>10</v>
      </c>
      <c r="B16" s="53" t="s">
        <v>597</v>
      </c>
      <c r="C16" s="53" t="s">
        <v>598</v>
      </c>
      <c r="D16" s="54" t="s">
        <v>561</v>
      </c>
      <c r="E16" s="40">
        <v>-2</v>
      </c>
      <c r="F16" s="40">
        <v>1899</v>
      </c>
      <c r="G16" s="40"/>
      <c r="H16" s="40">
        <f t="shared" si="1"/>
        <v>-3798</v>
      </c>
      <c r="I16" s="49" t="s">
        <v>599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</row>
    <row r="17" s="43" customFormat="1" ht="68.25" outlineLevel="2" spans="1:250">
      <c r="A17" s="49">
        <v>11</v>
      </c>
      <c r="B17" s="53" t="s">
        <v>597</v>
      </c>
      <c r="C17" s="53" t="s">
        <v>600</v>
      </c>
      <c r="D17" s="54" t="s">
        <v>561</v>
      </c>
      <c r="E17" s="40">
        <f>-5+4</f>
        <v>-1</v>
      </c>
      <c r="F17" s="40">
        <v>1899</v>
      </c>
      <c r="G17" s="40"/>
      <c r="H17" s="40">
        <f t="shared" si="1"/>
        <v>-1899</v>
      </c>
      <c r="I17" s="49" t="s">
        <v>599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</row>
    <row r="18" s="43" customFormat="1" ht="68.25" outlineLevel="2" spans="1:250">
      <c r="A18" s="49">
        <v>13</v>
      </c>
      <c r="B18" s="49" t="s">
        <v>601</v>
      </c>
      <c r="C18" s="49" t="s">
        <v>602</v>
      </c>
      <c r="D18" s="54" t="s">
        <v>565</v>
      </c>
      <c r="E18" s="40">
        <f>-15+6</f>
        <v>-9</v>
      </c>
      <c r="F18" s="40">
        <v>91.35</v>
      </c>
      <c r="G18" s="40">
        <v>55.8</v>
      </c>
      <c r="H18" s="40">
        <f t="shared" si="1"/>
        <v>-822.15</v>
      </c>
      <c r="I18" s="49" t="s">
        <v>603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</row>
    <row r="19" s="43" customFormat="1" ht="15" outlineLevel="1" spans="1:250">
      <c r="A19" s="49"/>
      <c r="B19" s="49" t="s">
        <v>604</v>
      </c>
      <c r="C19" s="49"/>
      <c r="D19" s="35"/>
      <c r="E19" s="40"/>
      <c r="F19" s="40"/>
      <c r="G19" s="40"/>
      <c r="H19" s="40">
        <f t="shared" si="1"/>
        <v>0</v>
      </c>
      <c r="I19" s="49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</row>
    <row r="20" s="45" customFormat="1" ht="21.75" outlineLevel="1" spans="1:9">
      <c r="A20" s="51" t="s">
        <v>605</v>
      </c>
      <c r="B20" s="52" t="s">
        <v>606</v>
      </c>
      <c r="C20" s="53"/>
      <c r="D20" s="54"/>
      <c r="E20" s="40"/>
      <c r="F20" s="40"/>
      <c r="G20" s="40"/>
      <c r="H20" s="40">
        <f t="shared" si="1"/>
        <v>0</v>
      </c>
      <c r="I20" s="49"/>
    </row>
    <row r="21" s="45" customFormat="1" ht="45.75" outlineLevel="1" spans="1:9">
      <c r="A21" s="55">
        <v>1</v>
      </c>
      <c r="B21" s="55" t="s">
        <v>607</v>
      </c>
      <c r="C21" s="49" t="s">
        <v>608</v>
      </c>
      <c r="D21" s="60" t="s">
        <v>531</v>
      </c>
      <c r="E21" s="58">
        <v>-12.09</v>
      </c>
      <c r="F21" s="38">
        <v>22.43</v>
      </c>
      <c r="G21" s="40"/>
      <c r="H21" s="40">
        <f t="shared" si="1"/>
        <v>-271.18</v>
      </c>
      <c r="I21" s="49"/>
    </row>
    <row r="22" s="45" customFormat="1" ht="34.5" outlineLevel="1" spans="1:9">
      <c r="A22" s="55">
        <v>2</v>
      </c>
      <c r="B22" s="55" t="s">
        <v>609</v>
      </c>
      <c r="C22" s="49" t="s">
        <v>610</v>
      </c>
      <c r="D22" s="60" t="s">
        <v>531</v>
      </c>
      <c r="E22" s="58">
        <v>-5.28</v>
      </c>
      <c r="F22" s="38">
        <v>12.86</v>
      </c>
      <c r="G22" s="40"/>
      <c r="H22" s="40">
        <f t="shared" si="1"/>
        <v>-67.9</v>
      </c>
      <c r="I22" s="49"/>
    </row>
    <row r="23" s="45" customFormat="1" ht="68.25" outlineLevel="2" spans="1:9">
      <c r="A23" s="55">
        <v>3</v>
      </c>
      <c r="B23" s="49" t="s">
        <v>611</v>
      </c>
      <c r="C23" s="49" t="s">
        <v>612</v>
      </c>
      <c r="D23" s="35" t="s">
        <v>613</v>
      </c>
      <c r="E23" s="40">
        <v>-10.8</v>
      </c>
      <c r="F23" s="40">
        <v>297.5</v>
      </c>
      <c r="G23" s="40"/>
      <c r="H23" s="40">
        <f t="shared" si="1"/>
        <v>-3213</v>
      </c>
      <c r="I23" s="49"/>
    </row>
    <row r="24" s="45" customFormat="1" ht="57" outlineLevel="2" spans="1:9">
      <c r="A24" s="55">
        <v>4</v>
      </c>
      <c r="B24" s="49" t="s">
        <v>614</v>
      </c>
      <c r="C24" s="49" t="s">
        <v>615</v>
      </c>
      <c r="D24" s="35" t="s">
        <v>596</v>
      </c>
      <c r="E24" s="40">
        <f>-5+4</f>
        <v>-1</v>
      </c>
      <c r="F24" s="40">
        <v>550</v>
      </c>
      <c r="G24" s="40">
        <v>272</v>
      </c>
      <c r="H24" s="40">
        <f t="shared" si="1"/>
        <v>-550</v>
      </c>
      <c r="I24" s="49" t="s">
        <v>616</v>
      </c>
    </row>
    <row r="25" s="45" customFormat="1" ht="45.75" outlineLevel="2" spans="1:9">
      <c r="A25" s="55">
        <v>5</v>
      </c>
      <c r="B25" s="55" t="s">
        <v>617</v>
      </c>
      <c r="C25" s="55" t="s">
        <v>618</v>
      </c>
      <c r="D25" s="60" t="s">
        <v>596</v>
      </c>
      <c r="E25" s="58">
        <f>-21+17</f>
        <v>-4</v>
      </c>
      <c r="F25" s="40">
        <v>220.5</v>
      </c>
      <c r="G25" s="40"/>
      <c r="H25" s="40">
        <f t="shared" si="1"/>
        <v>-882</v>
      </c>
      <c r="I25" s="49"/>
    </row>
    <row r="26" s="45" customFormat="1" ht="45.75" outlineLevel="2" spans="1:9">
      <c r="A26" s="55">
        <v>6</v>
      </c>
      <c r="B26" s="55" t="s">
        <v>619</v>
      </c>
      <c r="C26" s="55" t="s">
        <v>620</v>
      </c>
      <c r="D26" s="60" t="s">
        <v>596</v>
      </c>
      <c r="E26" s="58">
        <f>-11</f>
        <v>-11</v>
      </c>
      <c r="F26" s="40">
        <v>221</v>
      </c>
      <c r="G26" s="40"/>
      <c r="H26" s="40">
        <f t="shared" si="1"/>
        <v>-2431</v>
      </c>
      <c r="I26" s="49"/>
    </row>
    <row r="27" s="45" customFormat="1" ht="15" outlineLevel="1" spans="1:9">
      <c r="A27" s="49"/>
      <c r="B27" s="49" t="s">
        <v>604</v>
      </c>
      <c r="C27" s="49"/>
      <c r="D27" s="35"/>
      <c r="E27" s="40"/>
      <c r="F27" s="40"/>
      <c r="G27" s="40"/>
      <c r="H27" s="40"/>
      <c r="I27" s="49"/>
    </row>
    <row r="28" s="45" customFormat="1" ht="23.25" spans="1:9">
      <c r="A28" s="178"/>
      <c r="B28" s="49" t="s">
        <v>621</v>
      </c>
      <c r="C28" s="49"/>
      <c r="D28" s="35"/>
      <c r="E28" s="36"/>
      <c r="F28" s="36"/>
      <c r="G28" s="36"/>
      <c r="H28" s="36"/>
      <c r="I28" s="49"/>
    </row>
    <row r="29" s="45" customFormat="1" ht="23.25" spans="1:9">
      <c r="A29" s="47" t="s">
        <v>451</v>
      </c>
      <c r="B29" s="47" t="s">
        <v>622</v>
      </c>
      <c r="C29" s="49"/>
      <c r="D29" s="35"/>
      <c r="E29" s="36"/>
      <c r="F29" s="36"/>
      <c r="G29" s="36"/>
      <c r="H29" s="36"/>
      <c r="I29" s="49"/>
    </row>
    <row r="30" s="45" customFormat="1" ht="57" outlineLevel="1" spans="1:9">
      <c r="A30" s="49">
        <v>3</v>
      </c>
      <c r="B30" s="49" t="s">
        <v>623</v>
      </c>
      <c r="C30" s="49" t="s">
        <v>624</v>
      </c>
      <c r="D30" s="35" t="s">
        <v>613</v>
      </c>
      <c r="E30" s="36">
        <v>-66.86</v>
      </c>
      <c r="F30" s="36">
        <v>12.78</v>
      </c>
      <c r="G30" s="36">
        <v>4.5</v>
      </c>
      <c r="H30" s="36">
        <f t="shared" ref="H30:H36" si="2">E30*F30</f>
        <v>-854.47</v>
      </c>
      <c r="I30" s="49"/>
    </row>
    <row r="31" s="45" customFormat="1" ht="57" outlineLevel="1" spans="1:9">
      <c r="A31" s="49">
        <v>6</v>
      </c>
      <c r="B31" s="49" t="s">
        <v>625</v>
      </c>
      <c r="C31" s="49" t="s">
        <v>626</v>
      </c>
      <c r="D31" s="35" t="s">
        <v>613</v>
      </c>
      <c r="E31" s="36">
        <v>-24.33</v>
      </c>
      <c r="F31" s="36">
        <v>4.78</v>
      </c>
      <c r="G31" s="36">
        <v>3.67</v>
      </c>
      <c r="H31" s="36">
        <f t="shared" si="2"/>
        <v>-116.3</v>
      </c>
      <c r="I31" s="49"/>
    </row>
    <row r="32" s="45" customFormat="1" ht="57" outlineLevel="1" spans="1:9">
      <c r="A32" s="49">
        <v>7</v>
      </c>
      <c r="B32" s="49" t="s">
        <v>625</v>
      </c>
      <c r="C32" s="49" t="s">
        <v>627</v>
      </c>
      <c r="D32" s="35" t="s">
        <v>613</v>
      </c>
      <c r="E32" s="36">
        <v>-24.33</v>
      </c>
      <c r="F32" s="36">
        <v>3.51</v>
      </c>
      <c r="G32" s="36">
        <v>1.73</v>
      </c>
      <c r="H32" s="36">
        <f t="shared" si="2"/>
        <v>-85.4</v>
      </c>
      <c r="I32" s="49"/>
    </row>
    <row r="33" s="45" customFormat="1" ht="68.25" outlineLevel="1" spans="1:9">
      <c r="A33" s="49">
        <v>8</v>
      </c>
      <c r="B33" s="49" t="s">
        <v>628</v>
      </c>
      <c r="C33" s="49" t="s">
        <v>629</v>
      </c>
      <c r="D33" s="35" t="s">
        <v>613</v>
      </c>
      <c r="E33" s="36">
        <v>-55.99</v>
      </c>
      <c r="F33" s="36">
        <v>3.51</v>
      </c>
      <c r="G33" s="36">
        <v>1.73</v>
      </c>
      <c r="H33" s="36">
        <f t="shared" si="2"/>
        <v>-196.52</v>
      </c>
      <c r="I33" s="49"/>
    </row>
    <row r="34" s="45" customFormat="1" ht="68.25" outlineLevel="1" spans="1:9">
      <c r="A34" s="49">
        <v>9</v>
      </c>
      <c r="B34" s="49" t="s">
        <v>628</v>
      </c>
      <c r="C34" s="49" t="s">
        <v>630</v>
      </c>
      <c r="D34" s="35" t="s">
        <v>613</v>
      </c>
      <c r="E34" s="36">
        <v>-55.99</v>
      </c>
      <c r="F34" s="36">
        <v>4.88</v>
      </c>
      <c r="G34" s="36">
        <v>2.6</v>
      </c>
      <c r="H34" s="36">
        <f t="shared" si="2"/>
        <v>-273.23</v>
      </c>
      <c r="I34" s="49"/>
    </row>
    <row r="35" s="45" customFormat="1" ht="45.75" outlineLevel="1" spans="1:9">
      <c r="A35" s="49">
        <v>10</v>
      </c>
      <c r="B35" s="49" t="s">
        <v>631</v>
      </c>
      <c r="C35" s="49" t="s">
        <v>632</v>
      </c>
      <c r="D35" s="35" t="s">
        <v>565</v>
      </c>
      <c r="E35" s="36">
        <f>-9+4</f>
        <v>-5</v>
      </c>
      <c r="F35" s="36">
        <v>1200</v>
      </c>
      <c r="G35" s="36"/>
      <c r="H35" s="36">
        <f t="shared" si="2"/>
        <v>-6000</v>
      </c>
      <c r="I35" s="49"/>
    </row>
    <row r="36" s="45" customFormat="1" ht="34.5" outlineLevel="1" spans="1:9">
      <c r="A36" s="49">
        <v>11</v>
      </c>
      <c r="B36" s="49" t="s">
        <v>633</v>
      </c>
      <c r="C36" s="49" t="s">
        <v>634</v>
      </c>
      <c r="D36" s="35" t="s">
        <v>531</v>
      </c>
      <c r="E36" s="36">
        <v>-32</v>
      </c>
      <c r="F36" s="36">
        <v>35.3</v>
      </c>
      <c r="G36" s="36"/>
      <c r="H36" s="36">
        <f t="shared" si="2"/>
        <v>-1129.6</v>
      </c>
      <c r="I36" s="49"/>
    </row>
    <row r="37" s="45" customFormat="1" ht="23.25" spans="1:9">
      <c r="A37" s="49"/>
      <c r="B37" s="49" t="s">
        <v>635</v>
      </c>
      <c r="C37" s="49"/>
      <c r="D37" s="35"/>
      <c r="E37" s="36"/>
      <c r="F37" s="36"/>
      <c r="G37" s="36"/>
      <c r="H37" s="36"/>
      <c r="I37" s="49"/>
    </row>
    <row r="38" s="45" customFormat="1" ht="23.25" spans="1:9">
      <c r="A38" s="47" t="s">
        <v>455</v>
      </c>
      <c r="B38" s="47" t="s">
        <v>636</v>
      </c>
      <c r="C38" s="49"/>
      <c r="D38" s="35"/>
      <c r="E38" s="36"/>
      <c r="F38" s="36"/>
      <c r="G38" s="36"/>
      <c r="H38" s="36"/>
      <c r="I38" s="49"/>
    </row>
    <row r="39" s="45" customFormat="1" ht="90.75" outlineLevel="1" spans="1:9">
      <c r="A39" s="49">
        <v>1</v>
      </c>
      <c r="B39" s="49" t="s">
        <v>637</v>
      </c>
      <c r="C39" s="49" t="s">
        <v>638</v>
      </c>
      <c r="D39" s="35" t="s">
        <v>613</v>
      </c>
      <c r="E39" s="36">
        <f>-119.3+83.9</f>
        <v>-35.4</v>
      </c>
      <c r="F39" s="36">
        <v>87.54</v>
      </c>
      <c r="G39" s="36">
        <v>60.77</v>
      </c>
      <c r="H39" s="36">
        <f t="shared" ref="H39:H43" si="3">E39*F39</f>
        <v>-3098.92</v>
      </c>
      <c r="I39" s="49"/>
    </row>
    <row r="40" s="45" customFormat="1" ht="90.75" outlineLevel="1" spans="1:9">
      <c r="A40" s="49">
        <v>2</v>
      </c>
      <c r="B40" s="49" t="s">
        <v>639</v>
      </c>
      <c r="C40" s="49" t="s">
        <v>640</v>
      </c>
      <c r="D40" s="35" t="s">
        <v>613</v>
      </c>
      <c r="E40" s="36">
        <v>-76.81</v>
      </c>
      <c r="F40" s="36">
        <v>222.87</v>
      </c>
      <c r="G40" s="36">
        <v>181.46</v>
      </c>
      <c r="H40" s="36">
        <f t="shared" si="3"/>
        <v>-17118.64</v>
      </c>
      <c r="I40" s="49"/>
    </row>
    <row r="41" s="45" customFormat="1" ht="90.75" outlineLevel="1" spans="1:9">
      <c r="A41" s="49"/>
      <c r="B41" s="49" t="s">
        <v>641</v>
      </c>
      <c r="C41" s="49" t="s">
        <v>642</v>
      </c>
      <c r="D41" s="35" t="s">
        <v>613</v>
      </c>
      <c r="E41" s="40">
        <v>64</v>
      </c>
      <c r="F41" s="40">
        <f>(34.09+137)*0.85</f>
        <v>145.43</v>
      </c>
      <c r="G41" s="36">
        <v>137</v>
      </c>
      <c r="H41" s="36">
        <v>9307.3</v>
      </c>
      <c r="I41" s="49"/>
    </row>
    <row r="42" s="45" customFormat="1" ht="90.75" outlineLevel="1" spans="1:9">
      <c r="A42" s="49"/>
      <c r="B42" s="49" t="s">
        <v>643</v>
      </c>
      <c r="C42" s="49" t="s">
        <v>644</v>
      </c>
      <c r="D42" s="35" t="s">
        <v>613</v>
      </c>
      <c r="E42" s="38">
        <v>59.89</v>
      </c>
      <c r="F42" s="38">
        <v>28.29</v>
      </c>
      <c r="G42" s="36">
        <v>17.9</v>
      </c>
      <c r="H42" s="36">
        <f t="shared" si="3"/>
        <v>1694.29</v>
      </c>
      <c r="I42" s="49"/>
    </row>
    <row r="43" s="45" customFormat="1" ht="68.25" outlineLevel="1" spans="1:9">
      <c r="A43" s="49">
        <v>3</v>
      </c>
      <c r="B43" s="49" t="s">
        <v>645</v>
      </c>
      <c r="C43" s="49" t="s">
        <v>646</v>
      </c>
      <c r="D43" s="35" t="s">
        <v>596</v>
      </c>
      <c r="E43" s="36">
        <f>-6+4</f>
        <v>-2</v>
      </c>
      <c r="F43" s="36">
        <v>1000.25</v>
      </c>
      <c r="G43" s="36"/>
      <c r="H43" s="36">
        <f t="shared" si="3"/>
        <v>-2000.5</v>
      </c>
      <c r="I43" s="49"/>
    </row>
    <row r="44" s="45" customFormat="1" ht="23.25" spans="1:9">
      <c r="A44" s="49"/>
      <c r="B44" s="49" t="s">
        <v>647</v>
      </c>
      <c r="C44" s="49"/>
      <c r="D44" s="35"/>
      <c r="E44" s="36"/>
      <c r="F44" s="36"/>
      <c r="G44" s="36"/>
      <c r="H44" s="149"/>
      <c r="I44" s="49"/>
    </row>
    <row r="45" s="45" customFormat="1" ht="19" customHeight="1" spans="1:9">
      <c r="A45" s="52" t="s">
        <v>648</v>
      </c>
      <c r="B45" s="52"/>
      <c r="C45" s="66"/>
      <c r="D45" s="37"/>
      <c r="E45" s="36"/>
      <c r="F45" s="36"/>
      <c r="G45" s="36"/>
      <c r="H45" s="36">
        <v>-56775.13</v>
      </c>
      <c r="I45" s="49"/>
    </row>
    <row r="46" s="45" customFormat="1" ht="34" customHeight="1" spans="1:9">
      <c r="A46" s="52" t="s">
        <v>649</v>
      </c>
      <c r="B46" s="52"/>
      <c r="C46" s="66" t="s">
        <v>650</v>
      </c>
      <c r="D46" s="37"/>
      <c r="E46" s="36"/>
      <c r="F46" s="36"/>
      <c r="G46" s="36"/>
      <c r="H46" s="36">
        <f>H45*0.9967</f>
        <v>-56587.77</v>
      </c>
      <c r="I46" s="49"/>
    </row>
    <row r="47" s="45" customFormat="1" spans="4:8">
      <c r="D47" s="2"/>
      <c r="E47" s="3"/>
      <c r="F47" s="3"/>
      <c r="G47" s="3"/>
      <c r="H47" s="3"/>
    </row>
    <row r="48" s="45" customFormat="1" spans="4:8">
      <c r="D48" s="2"/>
      <c r="E48" s="3"/>
      <c r="F48" s="3"/>
      <c r="G48" s="3"/>
      <c r="H48" s="3"/>
    </row>
    <row r="49" s="45" customFormat="1" spans="4:8">
      <c r="D49" s="2"/>
      <c r="E49" s="3"/>
      <c r="F49" s="3"/>
      <c r="G49" s="3"/>
      <c r="H49" s="3"/>
    </row>
    <row r="50" s="45" customFormat="1" spans="4:8">
      <c r="D50" s="2"/>
      <c r="E50" s="3"/>
      <c r="F50" s="3"/>
      <c r="G50" s="3"/>
      <c r="H50" s="3"/>
    </row>
    <row r="51" s="45" customFormat="1" spans="4:8">
      <c r="D51" s="2"/>
      <c r="E51" s="3"/>
      <c r="F51" s="3"/>
      <c r="G51" s="3"/>
      <c r="H51" s="3"/>
    </row>
    <row r="52" s="45" customFormat="1" spans="4:8">
      <c r="D52" s="2"/>
      <c r="E52" s="3"/>
      <c r="F52" s="3"/>
      <c r="G52" s="3"/>
      <c r="H52" s="3"/>
    </row>
    <row r="53" s="45" customFormat="1" spans="4:8">
      <c r="D53" s="2"/>
      <c r="E53" s="3"/>
      <c r="F53" s="3"/>
      <c r="G53" s="3"/>
      <c r="H53" s="3"/>
    </row>
    <row r="54" s="45" customFormat="1" spans="4:8">
      <c r="D54" s="2"/>
      <c r="E54" s="3"/>
      <c r="F54" s="3"/>
      <c r="G54" s="3"/>
      <c r="H54" s="3"/>
    </row>
    <row r="55" s="45" customFormat="1" spans="4:8">
      <c r="D55" s="2"/>
      <c r="E55" s="3"/>
      <c r="F55" s="3"/>
      <c r="G55" s="3"/>
      <c r="H55" s="3"/>
    </row>
    <row r="56" s="45" customFormat="1" spans="4:8">
      <c r="D56" s="2"/>
      <c r="E56" s="3"/>
      <c r="F56" s="3"/>
      <c r="G56" s="3"/>
      <c r="H56" s="3"/>
    </row>
    <row r="57" s="45" customFormat="1" spans="4:8">
      <c r="D57" s="2"/>
      <c r="E57" s="3"/>
      <c r="F57" s="3"/>
      <c r="G57" s="3"/>
      <c r="H57" s="3"/>
    </row>
  </sheetData>
  <autoFilter ref="A2:I46">
    <extLst/>
  </autoFilter>
  <mergeCells count="11">
    <mergeCell ref="F3:G3"/>
    <mergeCell ref="A45:B45"/>
    <mergeCell ref="A46:B46"/>
    <mergeCell ref="A3:A4"/>
    <mergeCell ref="B3:B4"/>
    <mergeCell ref="C3:C4"/>
    <mergeCell ref="D3:D4"/>
    <mergeCell ref="E3:E4"/>
    <mergeCell ref="H3:H4"/>
    <mergeCell ref="I3:I4"/>
    <mergeCell ref="A1:I2"/>
  </mergeCells>
  <dataValidations count="1">
    <dataValidation type="list" allowBlank="1" showInputMessage="1" sqref="B39 B40 B41">
      <formula1>"给水,排水,集水井排水,雨水,空调冷凝水,中水,废水,压力排污,燃气,洁具,空调水系统,采暖"</formula1>
    </dataValidation>
  </dataValidations>
  <printOptions horizontalCentered="1"/>
  <pageMargins left="0.118055555555556" right="0.118055555555556" top="0.196527777777778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7"/>
  <sheetViews>
    <sheetView topLeftCell="A139" workbookViewId="0">
      <selection activeCell="H6" sqref="H145:H146 H141:H143 H134:H139 H133 H128:H131 H126:H127 H119:H124 H113:H118 H104:H111 H93:H102 H83:H91 H75:H82 H64:H74 H56:H63 H47:H55 H38:H46 H30:H37 H20:H25 H12:H19 H6:H10"/>
    </sheetView>
  </sheetViews>
  <sheetFormatPr defaultColWidth="9" defaultRowHeight="14.25"/>
  <cols>
    <col min="1" max="1" width="4.75" style="146" customWidth="1"/>
    <col min="2" max="2" width="12.625" style="147" customWidth="1"/>
    <col min="3" max="3" width="23" style="148" customWidth="1"/>
    <col min="4" max="4" width="5" style="2" customWidth="1"/>
    <col min="5" max="5" width="7.625" style="149" customWidth="1"/>
    <col min="6" max="6" width="9" style="2" customWidth="1"/>
    <col min="7" max="7" width="8.375" style="2" customWidth="1"/>
    <col min="8" max="8" width="9" style="149" customWidth="1"/>
    <col min="9" max="9" width="9.75" style="150" customWidth="1"/>
    <col min="10" max="10" width="13.375" style="150" hidden="1" customWidth="1"/>
    <col min="11" max="11" width="11.5" style="150" hidden="1" customWidth="1"/>
    <col min="12" max="12" width="11.5" style="150"/>
    <col min="13" max="13" width="13.75" style="2"/>
    <col min="14" max="15" width="9" style="150"/>
    <col min="16" max="16384" width="9" style="2"/>
  </cols>
  <sheetData>
    <row r="1" ht="19.5" spans="1:9">
      <c r="A1" s="151" t="s">
        <v>651</v>
      </c>
      <c r="B1" s="151"/>
      <c r="C1" s="151"/>
      <c r="D1" s="151"/>
      <c r="E1" s="151"/>
      <c r="F1" s="151"/>
      <c r="G1" s="151"/>
      <c r="H1" s="151"/>
      <c r="I1" s="151"/>
    </row>
    <row r="2" spans="1:9">
      <c r="A2" s="111" t="s">
        <v>1</v>
      </c>
      <c r="B2" s="112" t="s">
        <v>343</v>
      </c>
      <c r="C2" s="112" t="s">
        <v>516</v>
      </c>
      <c r="D2" s="152" t="s">
        <v>517</v>
      </c>
      <c r="E2" s="113" t="s">
        <v>518</v>
      </c>
      <c r="F2" s="152" t="s">
        <v>519</v>
      </c>
      <c r="G2" s="113"/>
      <c r="H2" s="152" t="s">
        <v>520</v>
      </c>
      <c r="I2" s="126" t="s">
        <v>374</v>
      </c>
    </row>
    <row r="3" spans="1:9">
      <c r="A3" s="114" t="s">
        <v>1</v>
      </c>
      <c r="B3" s="115"/>
      <c r="C3" s="115"/>
      <c r="D3" s="153"/>
      <c r="E3" s="116"/>
      <c r="F3" s="153"/>
      <c r="G3" s="154" t="s">
        <v>521</v>
      </c>
      <c r="H3" s="153"/>
      <c r="I3" s="128"/>
    </row>
    <row r="4" s="145" customFormat="1" ht="22.5" spans="1:15">
      <c r="A4" s="155" t="s">
        <v>441</v>
      </c>
      <c r="B4" s="10" t="s">
        <v>652</v>
      </c>
      <c r="C4" s="156"/>
      <c r="D4" s="157"/>
      <c r="E4" s="158"/>
      <c r="F4" s="159"/>
      <c r="G4" s="158"/>
      <c r="H4" s="159">
        <f>SUM(H6:H25)</f>
        <v>-124565.25</v>
      </c>
      <c r="I4" s="166"/>
      <c r="J4" s="150"/>
      <c r="K4" s="150"/>
      <c r="L4" s="150"/>
      <c r="M4" s="167"/>
      <c r="N4" s="150"/>
      <c r="O4" s="150"/>
    </row>
    <row r="5" s="145" customFormat="1" ht="22.5" spans="1:15">
      <c r="A5" s="155">
        <v>1</v>
      </c>
      <c r="B5" s="10" t="s">
        <v>653</v>
      </c>
      <c r="C5" s="156"/>
      <c r="D5" s="157"/>
      <c r="E5" s="158"/>
      <c r="F5" s="159"/>
      <c r="G5" s="158"/>
      <c r="H5" s="159"/>
      <c r="I5" s="166"/>
      <c r="J5" s="150"/>
      <c r="K5" s="150"/>
      <c r="L5" s="150"/>
      <c r="M5" s="167"/>
      <c r="N5" s="150"/>
      <c r="O5" s="150"/>
    </row>
    <row r="6" s="145" customFormat="1" ht="56.25" spans="1:15">
      <c r="A6" s="155">
        <v>1.1</v>
      </c>
      <c r="B6" s="119" t="s">
        <v>654</v>
      </c>
      <c r="C6" s="156" t="s">
        <v>655</v>
      </c>
      <c r="D6" s="119" t="s">
        <v>525</v>
      </c>
      <c r="E6" s="158">
        <v>-5.6</v>
      </c>
      <c r="F6" s="119">
        <v>472.35</v>
      </c>
      <c r="G6" s="160">
        <v>321.43</v>
      </c>
      <c r="H6" s="159">
        <f t="shared" ref="H6:H10" si="0">E6*F6</f>
        <v>-2645.16</v>
      </c>
      <c r="I6" s="168" t="s">
        <v>526</v>
      </c>
      <c r="J6" s="150"/>
      <c r="K6" s="150"/>
      <c r="L6" s="150"/>
      <c r="M6" s="167"/>
      <c r="N6" s="150"/>
      <c r="O6" s="150"/>
    </row>
    <row r="7" s="145" customFormat="1" ht="56.25" spans="1:15">
      <c r="A7" s="155">
        <v>1.2</v>
      </c>
      <c r="B7" s="119" t="s">
        <v>654</v>
      </c>
      <c r="C7" s="156" t="s">
        <v>656</v>
      </c>
      <c r="D7" s="119" t="s">
        <v>525</v>
      </c>
      <c r="E7" s="158">
        <f>5.6-24.61*0.05</f>
        <v>4.37</v>
      </c>
      <c r="F7" s="159">
        <v>472.35</v>
      </c>
      <c r="G7" s="158"/>
      <c r="H7" s="159">
        <f t="shared" si="0"/>
        <v>2064.17</v>
      </c>
      <c r="I7" s="166" t="s">
        <v>526</v>
      </c>
      <c r="J7" s="150"/>
      <c r="K7" s="150"/>
      <c r="L7" s="150"/>
      <c r="M7" s="167"/>
      <c r="N7" s="150"/>
      <c r="O7" s="150"/>
    </row>
    <row r="8" s="145" customFormat="1" ht="45" spans="1:15">
      <c r="A8" s="155">
        <v>2</v>
      </c>
      <c r="B8" s="119" t="s">
        <v>657</v>
      </c>
      <c r="C8" s="156"/>
      <c r="D8" s="119"/>
      <c r="E8" s="158"/>
      <c r="F8" s="159"/>
      <c r="G8" s="158"/>
      <c r="H8" s="159"/>
      <c r="I8" s="166"/>
      <c r="J8" s="150"/>
      <c r="K8" s="150"/>
      <c r="L8" s="150"/>
      <c r="M8" s="167"/>
      <c r="N8" s="150"/>
      <c r="O8" s="150"/>
    </row>
    <row r="9" s="2" customFormat="1" ht="45" spans="1:11">
      <c r="A9" s="161">
        <v>2.1</v>
      </c>
      <c r="B9" s="10" t="s">
        <v>658</v>
      </c>
      <c r="C9" s="156" t="s">
        <v>659</v>
      </c>
      <c r="D9" s="157" t="s">
        <v>525</v>
      </c>
      <c r="E9" s="158">
        <f>-(8.99+8.08+8.08+8.98)*(0.33+0.05*2)</f>
        <v>-14.68</v>
      </c>
      <c r="F9" s="162">
        <v>129</v>
      </c>
      <c r="G9" s="160">
        <v>85</v>
      </c>
      <c r="H9" s="159">
        <f t="shared" si="0"/>
        <v>-1893.72</v>
      </c>
      <c r="I9" s="168" t="s">
        <v>526</v>
      </c>
      <c r="J9" s="146"/>
      <c r="K9" s="150"/>
    </row>
    <row r="10" s="2" customFormat="1" ht="44.15" spans="1:11">
      <c r="A10" s="161">
        <v>2.2</v>
      </c>
      <c r="B10" s="119" t="s">
        <v>660</v>
      </c>
      <c r="C10" s="156" t="s">
        <v>661</v>
      </c>
      <c r="D10" s="119" t="s">
        <v>525</v>
      </c>
      <c r="E10" s="160">
        <f>(8.99+8.08+8.08+8.98)*(0.33+0.05*2)</f>
        <v>14.68</v>
      </c>
      <c r="F10" s="119">
        <v>650</v>
      </c>
      <c r="G10" s="160">
        <v>550</v>
      </c>
      <c r="H10" s="162">
        <f t="shared" si="0"/>
        <v>9542</v>
      </c>
      <c r="I10" s="166" t="s">
        <v>662</v>
      </c>
      <c r="J10" s="146" t="str">
        <f>_xlfn.DISPIMG("ID_F9D856B635DC46CDBA66DA378AE00C81",1)</f>
        <v>=DISPIMG("ID_F9D856B635DC46CDBA66DA378AE00C81",1)</v>
      </c>
      <c r="K10" s="150" t="s">
        <v>663</v>
      </c>
    </row>
    <row r="11" s="145" customFormat="1" ht="22.5" spans="1:15">
      <c r="A11" s="155">
        <v>3</v>
      </c>
      <c r="B11" s="119" t="s">
        <v>664</v>
      </c>
      <c r="C11" s="156"/>
      <c r="D11" s="119"/>
      <c r="E11" s="158"/>
      <c r="F11" s="159"/>
      <c r="G11" s="158"/>
      <c r="H11" s="159"/>
      <c r="I11" s="166"/>
      <c r="J11" s="150"/>
      <c r="K11" s="150"/>
      <c r="L11" s="150"/>
      <c r="M11" s="167"/>
      <c r="N11" s="150"/>
      <c r="O11" s="150"/>
    </row>
    <row r="12" s="145" customFormat="1" ht="22.5" spans="1:15">
      <c r="A12" s="163">
        <v>3.1</v>
      </c>
      <c r="B12" s="10" t="s">
        <v>665</v>
      </c>
      <c r="C12" s="156" t="s">
        <v>666</v>
      </c>
      <c r="D12" s="157" t="s">
        <v>531</v>
      </c>
      <c r="E12" s="158">
        <v>-2.53</v>
      </c>
      <c r="F12" s="162">
        <v>429</v>
      </c>
      <c r="G12" s="160">
        <v>348</v>
      </c>
      <c r="H12" s="159">
        <v>-1087.26</v>
      </c>
      <c r="I12" s="168" t="s">
        <v>526</v>
      </c>
      <c r="J12" s="150"/>
      <c r="K12" s="150"/>
      <c r="L12" s="150"/>
      <c r="M12" s="167"/>
      <c r="N12" s="150"/>
      <c r="O12" s="150"/>
    </row>
    <row r="13" s="145" customFormat="1" ht="22.5" spans="1:15">
      <c r="A13" s="161">
        <v>3.2</v>
      </c>
      <c r="B13" s="10" t="s">
        <v>667</v>
      </c>
      <c r="C13" s="156" t="s">
        <v>668</v>
      </c>
      <c r="D13" s="157" t="s">
        <v>531</v>
      </c>
      <c r="E13" s="158">
        <v>-0.84</v>
      </c>
      <c r="F13" s="162">
        <v>565</v>
      </c>
      <c r="G13" s="160">
        <v>520</v>
      </c>
      <c r="H13" s="159">
        <v>-471.89</v>
      </c>
      <c r="I13" s="168" t="s">
        <v>526</v>
      </c>
      <c r="J13" s="150"/>
      <c r="K13" s="150"/>
      <c r="L13" s="150"/>
      <c r="M13" s="167"/>
      <c r="N13" s="150"/>
      <c r="O13" s="150"/>
    </row>
    <row r="14" s="145" customFormat="1" ht="22.5" spans="1:15">
      <c r="A14" s="163">
        <v>3.3</v>
      </c>
      <c r="B14" s="119" t="s">
        <v>669</v>
      </c>
      <c r="C14" s="156" t="s">
        <v>670</v>
      </c>
      <c r="D14" s="119" t="s">
        <v>531</v>
      </c>
      <c r="E14" s="158">
        <v>-2.33</v>
      </c>
      <c r="F14" s="119">
        <v>486.65</v>
      </c>
      <c r="G14" s="160">
        <v>407</v>
      </c>
      <c r="H14" s="159">
        <v>-1135.26</v>
      </c>
      <c r="I14" s="168" t="s">
        <v>526</v>
      </c>
      <c r="J14" s="150"/>
      <c r="K14" s="150"/>
      <c r="L14" s="150"/>
      <c r="M14" s="167"/>
      <c r="N14" s="150"/>
      <c r="O14" s="150"/>
    </row>
    <row r="15" s="145" customFormat="1" ht="22.5" spans="1:15">
      <c r="A15" s="161">
        <v>3.4</v>
      </c>
      <c r="B15" s="10" t="s">
        <v>671</v>
      </c>
      <c r="C15" s="156" t="s">
        <v>670</v>
      </c>
      <c r="D15" s="157" t="s">
        <v>531</v>
      </c>
      <c r="E15" s="158">
        <v>-9.85</v>
      </c>
      <c r="F15" s="162">
        <v>526.58</v>
      </c>
      <c r="G15" s="160">
        <v>407</v>
      </c>
      <c r="H15" s="159">
        <v>-5186.6</v>
      </c>
      <c r="I15" s="168" t="s">
        <v>526</v>
      </c>
      <c r="J15" s="150"/>
      <c r="K15" s="150"/>
      <c r="L15" s="150"/>
      <c r="M15" s="167"/>
      <c r="N15" s="150"/>
      <c r="O15" s="150"/>
    </row>
    <row r="16" s="145" customFormat="1" ht="67.5" spans="1:15">
      <c r="A16" s="163">
        <v>3.5</v>
      </c>
      <c r="B16" s="10" t="s">
        <v>672</v>
      </c>
      <c r="C16" s="156" t="s">
        <v>673</v>
      </c>
      <c r="D16" s="157" t="s">
        <v>531</v>
      </c>
      <c r="E16" s="158">
        <v>-0.69</v>
      </c>
      <c r="F16" s="162">
        <v>1006</v>
      </c>
      <c r="G16" s="160">
        <v>850</v>
      </c>
      <c r="H16" s="159">
        <v>-695.35</v>
      </c>
      <c r="I16" s="168" t="s">
        <v>526</v>
      </c>
      <c r="J16" s="150"/>
      <c r="K16" s="150"/>
      <c r="L16" s="150"/>
      <c r="M16" s="167"/>
      <c r="N16" s="150"/>
      <c r="O16" s="150"/>
    </row>
    <row r="17" s="145" customFormat="1" ht="90" spans="1:15">
      <c r="A17" s="161">
        <v>3.6</v>
      </c>
      <c r="B17" s="119" t="s">
        <v>658</v>
      </c>
      <c r="C17" s="156" t="s">
        <v>674</v>
      </c>
      <c r="D17" s="119" t="s">
        <v>525</v>
      </c>
      <c r="E17" s="158">
        <v>-86.69</v>
      </c>
      <c r="F17" s="119">
        <v>179.6</v>
      </c>
      <c r="G17" s="160">
        <v>100</v>
      </c>
      <c r="H17" s="159">
        <v>-15569.16</v>
      </c>
      <c r="I17" s="168" t="s">
        <v>526</v>
      </c>
      <c r="J17" s="150"/>
      <c r="K17" s="150"/>
      <c r="L17" s="150"/>
      <c r="M17" s="167"/>
      <c r="N17" s="150"/>
      <c r="O17" s="150"/>
    </row>
    <row r="18" s="145" customFormat="1" ht="56.25" spans="1:15">
      <c r="A18" s="163">
        <v>3.7</v>
      </c>
      <c r="B18" s="10" t="s">
        <v>675</v>
      </c>
      <c r="C18" s="156" t="s">
        <v>676</v>
      </c>
      <c r="D18" s="157" t="s">
        <v>525</v>
      </c>
      <c r="E18" s="158">
        <v>-14.14</v>
      </c>
      <c r="F18" s="162">
        <v>3500</v>
      </c>
      <c r="G18" s="160"/>
      <c r="H18" s="159">
        <v>-49504</v>
      </c>
      <c r="I18" s="168" t="s">
        <v>526</v>
      </c>
      <c r="J18" s="150"/>
      <c r="K18" s="150"/>
      <c r="L18" s="150"/>
      <c r="M18" s="167"/>
      <c r="N18" s="150"/>
      <c r="O18" s="150"/>
    </row>
    <row r="19" s="145" customFormat="1" ht="67.5" spans="1:15">
      <c r="A19" s="161">
        <v>3.8</v>
      </c>
      <c r="B19" s="10" t="s">
        <v>552</v>
      </c>
      <c r="C19" s="156" t="s">
        <v>553</v>
      </c>
      <c r="D19" s="157" t="s">
        <v>554</v>
      </c>
      <c r="E19" s="158">
        <v>-1</v>
      </c>
      <c r="F19" s="162">
        <v>15000</v>
      </c>
      <c r="G19" s="160"/>
      <c r="H19" s="159">
        <v>-15000</v>
      </c>
      <c r="I19" s="168" t="s">
        <v>526</v>
      </c>
      <c r="J19" s="150"/>
      <c r="K19" s="150"/>
      <c r="L19" s="150"/>
      <c r="M19" s="167"/>
      <c r="N19" s="150"/>
      <c r="O19" s="150"/>
    </row>
    <row r="20" s="145" customFormat="1" ht="56.25" spans="1:15">
      <c r="A20" s="163">
        <v>3.9</v>
      </c>
      <c r="B20" s="119" t="s">
        <v>677</v>
      </c>
      <c r="C20" s="156" t="s">
        <v>678</v>
      </c>
      <c r="D20" s="119" t="s">
        <v>525</v>
      </c>
      <c r="E20" s="158">
        <v>-29.44</v>
      </c>
      <c r="F20" s="119">
        <v>1700</v>
      </c>
      <c r="G20" s="160">
        <v>1500</v>
      </c>
      <c r="H20" s="159">
        <v>-50048</v>
      </c>
      <c r="I20" s="168" t="s">
        <v>526</v>
      </c>
      <c r="J20" s="150"/>
      <c r="K20" s="150"/>
      <c r="L20" s="150"/>
      <c r="M20" s="167"/>
      <c r="N20" s="150"/>
      <c r="O20" s="150"/>
    </row>
    <row r="21" s="145" customFormat="1" ht="67.5" spans="1:15">
      <c r="A21" s="164">
        <v>3.1</v>
      </c>
      <c r="B21" s="10" t="s">
        <v>679</v>
      </c>
      <c r="C21" s="156" t="s">
        <v>680</v>
      </c>
      <c r="D21" s="157" t="s">
        <v>613</v>
      </c>
      <c r="E21" s="158">
        <v>-25.35</v>
      </c>
      <c r="F21" s="162">
        <v>1200</v>
      </c>
      <c r="G21" s="160">
        <v>850</v>
      </c>
      <c r="H21" s="159">
        <v>-30420</v>
      </c>
      <c r="I21" s="168" t="s">
        <v>526</v>
      </c>
      <c r="J21" s="150"/>
      <c r="K21" s="150"/>
      <c r="L21" s="150"/>
      <c r="M21" s="167"/>
      <c r="N21" s="150"/>
      <c r="O21" s="150"/>
    </row>
    <row r="22" s="145" customFormat="1" ht="67.5" spans="1:15">
      <c r="A22" s="163">
        <v>3.11</v>
      </c>
      <c r="B22" s="10" t="s">
        <v>681</v>
      </c>
      <c r="C22" s="156" t="s">
        <v>682</v>
      </c>
      <c r="D22" s="157" t="s">
        <v>531</v>
      </c>
      <c r="E22" s="158">
        <v>-2.42</v>
      </c>
      <c r="F22" s="162">
        <v>756</v>
      </c>
      <c r="G22" s="160"/>
      <c r="H22" s="159">
        <v>-1828.92</v>
      </c>
      <c r="I22" s="168" t="s">
        <v>526</v>
      </c>
      <c r="J22" s="150"/>
      <c r="K22" s="150"/>
      <c r="L22" s="150"/>
      <c r="M22" s="167"/>
      <c r="N22" s="150"/>
      <c r="O22" s="150"/>
    </row>
    <row r="23" s="145" customFormat="1" ht="67.5" spans="1:15">
      <c r="A23" s="164">
        <v>3.12</v>
      </c>
      <c r="B23" s="119" t="s">
        <v>683</v>
      </c>
      <c r="C23" s="156" t="s">
        <v>682</v>
      </c>
      <c r="D23" s="119" t="s">
        <v>531</v>
      </c>
      <c r="E23" s="158">
        <v>-1.66</v>
      </c>
      <c r="F23" s="119">
        <v>800</v>
      </c>
      <c r="G23" s="160"/>
      <c r="H23" s="159">
        <v>-1327.1</v>
      </c>
      <c r="I23" s="168" t="s">
        <v>526</v>
      </c>
      <c r="J23" s="150"/>
      <c r="K23" s="150"/>
      <c r="L23" s="150"/>
      <c r="M23" s="167"/>
      <c r="N23" s="150"/>
      <c r="O23" s="150"/>
    </row>
    <row r="24" s="145" customFormat="1" ht="33.75" spans="1:15">
      <c r="A24" s="155">
        <v>3.13</v>
      </c>
      <c r="B24" s="119" t="s">
        <v>684</v>
      </c>
      <c r="C24" s="156" t="s">
        <v>685</v>
      </c>
      <c r="D24" s="119" t="s">
        <v>525</v>
      </c>
      <c r="E24" s="158">
        <f>2.24*23.4</f>
        <v>52.42</v>
      </c>
      <c r="F24" s="159">
        <v>1050</v>
      </c>
      <c r="G24" s="158"/>
      <c r="H24" s="159">
        <f>E24*F24</f>
        <v>55041</v>
      </c>
      <c r="I24" s="166" t="s">
        <v>686</v>
      </c>
      <c r="J24" s="150"/>
      <c r="K24" s="150"/>
      <c r="L24" s="150"/>
      <c r="M24" s="167"/>
      <c r="N24" s="150"/>
      <c r="O24" s="150"/>
    </row>
    <row r="25" s="145" customFormat="1" ht="33.75" spans="1:15">
      <c r="A25" s="155">
        <v>3.14</v>
      </c>
      <c r="B25" s="10" t="s">
        <v>687</v>
      </c>
      <c r="C25" s="156" t="s">
        <v>688</v>
      </c>
      <c r="D25" s="157" t="s">
        <v>565</v>
      </c>
      <c r="E25" s="158">
        <v>-9</v>
      </c>
      <c r="F25" s="119">
        <v>1600</v>
      </c>
      <c r="G25" s="160">
        <v>1400</v>
      </c>
      <c r="H25" s="159">
        <f>E25*F25</f>
        <v>-14400</v>
      </c>
      <c r="I25" s="168" t="s">
        <v>526</v>
      </c>
      <c r="J25" s="150"/>
      <c r="K25" s="150"/>
      <c r="L25" s="150"/>
      <c r="M25" s="167"/>
      <c r="N25" s="150"/>
      <c r="O25" s="150"/>
    </row>
    <row r="26" s="145" customFormat="1" ht="45" spans="1:15">
      <c r="A26" s="155" t="s">
        <v>447</v>
      </c>
      <c r="B26" s="10" t="s">
        <v>689</v>
      </c>
      <c r="C26" s="156"/>
      <c r="D26" s="119"/>
      <c r="E26" s="158"/>
      <c r="F26" s="159"/>
      <c r="G26" s="158"/>
      <c r="H26" s="159">
        <f>SUM(H30:H111)</f>
        <v>-386799.36</v>
      </c>
      <c r="I26" s="166"/>
      <c r="J26" s="150"/>
      <c r="K26" s="150"/>
      <c r="L26" s="150"/>
      <c r="M26" s="167"/>
      <c r="N26" s="150"/>
      <c r="O26" s="150"/>
    </row>
    <row r="27" s="145" customFormat="1" spans="1:15">
      <c r="A27" s="155">
        <v>1</v>
      </c>
      <c r="B27" s="10" t="s">
        <v>690</v>
      </c>
      <c r="C27" s="156"/>
      <c r="D27" s="119"/>
      <c r="E27" s="158"/>
      <c r="F27" s="159"/>
      <c r="G27" s="158"/>
      <c r="H27" s="159"/>
      <c r="I27" s="166"/>
      <c r="J27" s="150"/>
      <c r="K27" s="150"/>
      <c r="L27" s="150"/>
      <c r="M27" s="167"/>
      <c r="N27" s="150"/>
      <c r="O27" s="150"/>
    </row>
    <row r="28" s="2" customFormat="1" ht="45" spans="1:15">
      <c r="A28" s="161">
        <v>1.1</v>
      </c>
      <c r="B28" s="165" t="s">
        <v>691</v>
      </c>
      <c r="C28" s="156"/>
      <c r="D28" s="157"/>
      <c r="E28" s="158"/>
      <c r="F28" s="162"/>
      <c r="G28" s="160"/>
      <c r="H28" s="159"/>
      <c r="I28" s="168"/>
      <c r="J28" s="150"/>
      <c r="K28" s="150"/>
      <c r="L28" s="150"/>
      <c r="N28" s="150"/>
      <c r="O28" s="150"/>
    </row>
    <row r="29" s="2" customFormat="1" spans="1:15">
      <c r="A29" s="161" t="s">
        <v>692</v>
      </c>
      <c r="B29" s="10" t="s">
        <v>693</v>
      </c>
      <c r="C29" s="156"/>
      <c r="D29" s="157"/>
      <c r="E29" s="158"/>
      <c r="F29" s="162"/>
      <c r="G29" s="160"/>
      <c r="H29" s="159"/>
      <c r="I29" s="168"/>
      <c r="J29" s="150"/>
      <c r="K29" s="150"/>
      <c r="L29" s="150"/>
      <c r="N29" s="150"/>
      <c r="O29" s="150"/>
    </row>
    <row r="30" s="2" customFormat="1" ht="78.75" spans="1:15">
      <c r="A30" s="161" t="s">
        <v>694</v>
      </c>
      <c r="B30" s="119" t="s">
        <v>695</v>
      </c>
      <c r="C30" s="156" t="s">
        <v>696</v>
      </c>
      <c r="D30" s="119" t="s">
        <v>531</v>
      </c>
      <c r="E30" s="158">
        <f>-(((1.1*2*3.14*0.06+1.45*2*3.14*0.16+3*2*3.14*0.06)*2+(3*3*3.14-1*1*3.14)*0.15)*2)</f>
        <v>-19.54</v>
      </c>
      <c r="F30" s="119">
        <v>920</v>
      </c>
      <c r="G30" s="160">
        <v>780</v>
      </c>
      <c r="H30" s="159">
        <v>-17979.89</v>
      </c>
      <c r="I30" s="168" t="s">
        <v>526</v>
      </c>
      <c r="J30" s="150"/>
      <c r="K30" s="169"/>
      <c r="L30" s="150"/>
      <c r="N30" s="150"/>
      <c r="O30" s="150"/>
    </row>
    <row r="31" s="2" customFormat="1" ht="45" spans="1:15">
      <c r="A31" s="161" t="s">
        <v>697</v>
      </c>
      <c r="B31" s="10" t="s">
        <v>698</v>
      </c>
      <c r="C31" s="156" t="s">
        <v>699</v>
      </c>
      <c r="D31" s="157" t="s">
        <v>700</v>
      </c>
      <c r="E31" s="158">
        <v>-1.32</v>
      </c>
      <c r="F31" s="162">
        <v>5086</v>
      </c>
      <c r="G31" s="160">
        <v>3800</v>
      </c>
      <c r="H31" s="159">
        <v>-6713.52</v>
      </c>
      <c r="I31" s="168" t="s">
        <v>526</v>
      </c>
      <c r="J31" s="150"/>
      <c r="K31" s="169"/>
      <c r="L31" s="150"/>
      <c r="N31" s="150"/>
      <c r="O31" s="150"/>
    </row>
    <row r="32" s="2" customFormat="1" ht="67.5" spans="1:15">
      <c r="A32" s="161" t="s">
        <v>701</v>
      </c>
      <c r="B32" s="10" t="s">
        <v>702</v>
      </c>
      <c r="C32" s="156" t="s">
        <v>703</v>
      </c>
      <c r="D32" s="157" t="s">
        <v>531</v>
      </c>
      <c r="E32" s="158">
        <f>-(3*3*3.14-1*1*3.14)*0.04*2</f>
        <v>-2.01</v>
      </c>
      <c r="F32" s="162">
        <v>1031</v>
      </c>
      <c r="G32" s="160">
        <v>780</v>
      </c>
      <c r="H32" s="159">
        <v>-2071.9</v>
      </c>
      <c r="I32" s="168" t="s">
        <v>526</v>
      </c>
      <c r="J32" s="150"/>
      <c r="K32" s="169"/>
      <c r="L32" s="150"/>
      <c r="N32" s="150"/>
      <c r="O32" s="150"/>
    </row>
    <row r="33" s="2" customFormat="1" ht="22.5" spans="1:15">
      <c r="A33" s="161" t="s">
        <v>704</v>
      </c>
      <c r="B33" s="119" t="s">
        <v>705</v>
      </c>
      <c r="C33" s="156" t="s">
        <v>706</v>
      </c>
      <c r="D33" s="119" t="s">
        <v>525</v>
      </c>
      <c r="E33" s="158">
        <f>-((3*3*3.14-1*1*3.14)+2.2*3.14*0.44+4*3.14*(1.07+0.23)+6.4*3.14*0.23)</f>
        <v>-49.11</v>
      </c>
      <c r="F33" s="119">
        <v>16.32</v>
      </c>
      <c r="G33" s="160">
        <v>8.1</v>
      </c>
      <c r="H33" s="159">
        <v>-801.47</v>
      </c>
      <c r="I33" s="168" t="s">
        <v>526</v>
      </c>
      <c r="J33" s="150"/>
      <c r="K33" s="169"/>
      <c r="L33" s="150"/>
      <c r="N33" s="150"/>
      <c r="O33" s="150"/>
    </row>
    <row r="34" s="2" customFormat="1" ht="22.5" spans="1:15">
      <c r="A34" s="161" t="s">
        <v>707</v>
      </c>
      <c r="B34" s="10" t="s">
        <v>708</v>
      </c>
      <c r="C34" s="156" t="s">
        <v>709</v>
      </c>
      <c r="D34" s="157" t="s">
        <v>525</v>
      </c>
      <c r="E34" s="158">
        <f>-((3*3*3.14-1*1*3.14)+2.2*3.14*0.44+4*3.14*(1.07+0.23)+6.4*3.14*0.23)*2</f>
        <v>-98.22</v>
      </c>
      <c r="F34" s="162">
        <v>105.8</v>
      </c>
      <c r="G34" s="160">
        <v>58</v>
      </c>
      <c r="H34" s="159">
        <v>-10391.59</v>
      </c>
      <c r="I34" s="168" t="s">
        <v>526</v>
      </c>
      <c r="J34" s="150"/>
      <c r="K34" s="169"/>
      <c r="L34" s="150"/>
      <c r="N34" s="150"/>
      <c r="O34" s="150"/>
    </row>
    <row r="35" s="2" customFormat="1" ht="56.25" spans="1:15">
      <c r="A35" s="161" t="s">
        <v>710</v>
      </c>
      <c r="B35" s="10" t="s">
        <v>654</v>
      </c>
      <c r="C35" s="156" t="s">
        <v>711</v>
      </c>
      <c r="D35" s="157" t="s">
        <v>525</v>
      </c>
      <c r="E35" s="158">
        <f>-2.52*3.14*0.3*2</f>
        <v>-4.75</v>
      </c>
      <c r="F35" s="162">
        <v>445</v>
      </c>
      <c r="G35" s="160">
        <v>303</v>
      </c>
      <c r="H35" s="159">
        <v>-2112.72</v>
      </c>
      <c r="I35" s="168" t="s">
        <v>526</v>
      </c>
      <c r="J35" s="150"/>
      <c r="K35" s="169"/>
      <c r="L35" s="150"/>
      <c r="N35" s="150"/>
      <c r="O35" s="150"/>
    </row>
    <row r="36" s="2" customFormat="1" ht="56.25" spans="1:15">
      <c r="A36" s="161" t="s">
        <v>712</v>
      </c>
      <c r="B36" s="119" t="s">
        <v>713</v>
      </c>
      <c r="C36" s="156" t="s">
        <v>714</v>
      </c>
      <c r="D36" s="119" t="s">
        <v>525</v>
      </c>
      <c r="E36" s="158">
        <f>-(3.45*3.14*0.8+1.95*3.14*0.8)</f>
        <v>-13.56</v>
      </c>
      <c r="F36" s="119">
        <v>650</v>
      </c>
      <c r="G36" s="160"/>
      <c r="H36" s="159">
        <v>-8817.12</v>
      </c>
      <c r="I36" s="168" t="s">
        <v>526</v>
      </c>
      <c r="J36" s="150"/>
      <c r="K36" s="169"/>
      <c r="L36" s="150"/>
      <c r="N36" s="150"/>
      <c r="O36" s="150"/>
    </row>
    <row r="37" s="2" customFormat="1" ht="33.75" spans="1:15">
      <c r="A37" s="161" t="s">
        <v>715</v>
      </c>
      <c r="B37" s="10" t="s">
        <v>716</v>
      </c>
      <c r="C37" s="156" t="s">
        <v>717</v>
      </c>
      <c r="D37" s="157" t="s">
        <v>613</v>
      </c>
      <c r="E37" s="158">
        <f>-(4*3.14+6.4*3.14)</f>
        <v>-32.66</v>
      </c>
      <c r="F37" s="162">
        <v>48.07</v>
      </c>
      <c r="G37" s="160"/>
      <c r="H37" s="159">
        <v>-1569.77</v>
      </c>
      <c r="I37" s="168" t="s">
        <v>526</v>
      </c>
      <c r="J37" s="150"/>
      <c r="K37" s="169"/>
      <c r="L37" s="150"/>
      <c r="N37" s="150"/>
      <c r="O37" s="150"/>
    </row>
    <row r="38" s="2" customFormat="1" ht="45" spans="1:15">
      <c r="A38" s="161" t="s">
        <v>718</v>
      </c>
      <c r="B38" s="10" t="s">
        <v>719</v>
      </c>
      <c r="C38" s="156" t="s">
        <v>720</v>
      </c>
      <c r="D38" s="157" t="s">
        <v>525</v>
      </c>
      <c r="E38" s="158">
        <f>-5*3.14*1*2</f>
        <v>-31.4</v>
      </c>
      <c r="F38" s="162">
        <v>306</v>
      </c>
      <c r="G38" s="160">
        <v>240</v>
      </c>
      <c r="H38" s="159">
        <v>-9608.4</v>
      </c>
      <c r="I38" s="168" t="s">
        <v>526</v>
      </c>
      <c r="J38" s="150"/>
      <c r="K38" s="169"/>
      <c r="L38" s="150"/>
      <c r="N38" s="150"/>
      <c r="O38" s="150"/>
    </row>
    <row r="39" s="2" customFormat="1" spans="1:15">
      <c r="A39" s="161" t="s">
        <v>721</v>
      </c>
      <c r="B39" s="119" t="s">
        <v>722</v>
      </c>
      <c r="C39" s="156"/>
      <c r="D39" s="119"/>
      <c r="E39" s="158"/>
      <c r="F39" s="119"/>
      <c r="G39" s="160"/>
      <c r="H39" s="159"/>
      <c r="I39" s="168"/>
      <c r="J39" s="150"/>
      <c r="K39" s="169"/>
      <c r="L39" s="150"/>
      <c r="N39" s="150"/>
      <c r="O39" s="150"/>
    </row>
    <row r="40" s="2" customFormat="1" ht="45" spans="1:15">
      <c r="A40" s="161" t="s">
        <v>723</v>
      </c>
      <c r="B40" s="10" t="s">
        <v>523</v>
      </c>
      <c r="C40" s="156" t="s">
        <v>524</v>
      </c>
      <c r="D40" s="157" t="s">
        <v>525</v>
      </c>
      <c r="E40" s="158">
        <v>-254.4</v>
      </c>
      <c r="F40" s="162">
        <v>0.63</v>
      </c>
      <c r="G40" s="160"/>
      <c r="H40" s="159">
        <v>-160.27</v>
      </c>
      <c r="I40" s="168" t="s">
        <v>526</v>
      </c>
      <c r="J40" s="150"/>
      <c r="K40" s="169"/>
      <c r="L40" s="150"/>
      <c r="N40" s="150"/>
      <c r="O40" s="150"/>
    </row>
    <row r="41" s="2" customFormat="1" ht="67.5" spans="1:15">
      <c r="A41" s="161" t="s">
        <v>724</v>
      </c>
      <c r="B41" s="10" t="s">
        <v>542</v>
      </c>
      <c r="C41" s="156" t="s">
        <v>543</v>
      </c>
      <c r="D41" s="157" t="s">
        <v>531</v>
      </c>
      <c r="E41" s="158">
        <f>-3.5*3.5*3.14*1.3*2</f>
        <v>-100.01</v>
      </c>
      <c r="F41" s="162">
        <v>3.38</v>
      </c>
      <c r="G41" s="160"/>
      <c r="H41" s="159">
        <v>-338.03</v>
      </c>
      <c r="I41" s="168" t="s">
        <v>526</v>
      </c>
      <c r="J41" s="150"/>
      <c r="K41" s="169"/>
      <c r="L41" s="150"/>
      <c r="N41" s="150"/>
      <c r="O41" s="150"/>
    </row>
    <row r="42" s="2" customFormat="1" ht="78.75" spans="1:15">
      <c r="A42" s="161" t="s">
        <v>725</v>
      </c>
      <c r="B42" s="119" t="s">
        <v>544</v>
      </c>
      <c r="C42" s="156" t="s">
        <v>545</v>
      </c>
      <c r="D42" s="119" t="s">
        <v>531</v>
      </c>
      <c r="E42" s="158">
        <f>-1*1*3*3.14*2</f>
        <v>-18.84</v>
      </c>
      <c r="F42" s="119">
        <v>11.05</v>
      </c>
      <c r="G42" s="160"/>
      <c r="H42" s="159">
        <v>-208.18</v>
      </c>
      <c r="I42" s="168" t="s">
        <v>526</v>
      </c>
      <c r="J42" s="150"/>
      <c r="K42" s="169"/>
      <c r="L42" s="150"/>
      <c r="N42" s="150"/>
      <c r="O42" s="150"/>
    </row>
    <row r="43" s="2" customFormat="1" ht="22.5" spans="1:15">
      <c r="A43" s="161" t="s">
        <v>726</v>
      </c>
      <c r="B43" s="10" t="s">
        <v>546</v>
      </c>
      <c r="C43" s="156" t="s">
        <v>547</v>
      </c>
      <c r="D43" s="157" t="s">
        <v>531</v>
      </c>
      <c r="E43" s="158">
        <f>-(255.04+100*0.25)*0.15</f>
        <v>-42.01</v>
      </c>
      <c r="F43" s="162">
        <v>380</v>
      </c>
      <c r="G43" s="160">
        <v>348</v>
      </c>
      <c r="H43" s="159">
        <v>-15962.28</v>
      </c>
      <c r="I43" s="168" t="s">
        <v>526</v>
      </c>
      <c r="J43" s="150"/>
      <c r="K43" s="169"/>
      <c r="L43" s="150"/>
      <c r="N43" s="150"/>
      <c r="O43" s="150"/>
    </row>
    <row r="44" s="2" customFormat="1" ht="78.75" spans="1:15">
      <c r="A44" s="161" t="s">
        <v>727</v>
      </c>
      <c r="B44" s="10" t="s">
        <v>548</v>
      </c>
      <c r="C44" s="156" t="s">
        <v>549</v>
      </c>
      <c r="D44" s="157" t="s">
        <v>531</v>
      </c>
      <c r="E44" s="158">
        <f>-(255.04+100*0.25)*0.1</f>
        <v>-28</v>
      </c>
      <c r="F44" s="162">
        <v>565</v>
      </c>
      <c r="G44" s="160">
        <v>520</v>
      </c>
      <c r="H44" s="159">
        <v>-15822.26</v>
      </c>
      <c r="I44" s="168" t="s">
        <v>526</v>
      </c>
      <c r="J44" s="150"/>
      <c r="K44" s="169"/>
      <c r="L44" s="150"/>
      <c r="N44" s="150"/>
      <c r="O44" s="150"/>
    </row>
    <row r="45" s="2" customFormat="1" ht="78.75" spans="1:15">
      <c r="A45" s="161" t="s">
        <v>728</v>
      </c>
      <c r="B45" s="119" t="s">
        <v>729</v>
      </c>
      <c r="C45" s="156" t="s">
        <v>730</v>
      </c>
      <c r="D45" s="119" t="s">
        <v>525</v>
      </c>
      <c r="E45" s="158">
        <v>-75.5</v>
      </c>
      <c r="F45" s="119">
        <v>190</v>
      </c>
      <c r="G45" s="160">
        <v>145</v>
      </c>
      <c r="H45" s="159">
        <v>-14345</v>
      </c>
      <c r="I45" s="168" t="s">
        <v>526</v>
      </c>
      <c r="J45" s="150"/>
      <c r="K45" s="169"/>
      <c r="L45" s="150"/>
      <c r="N45" s="150"/>
      <c r="O45" s="150"/>
    </row>
    <row r="46" s="2" customFormat="1" ht="45" spans="1:15">
      <c r="A46" s="161" t="s">
        <v>731</v>
      </c>
      <c r="B46" s="10" t="s">
        <v>732</v>
      </c>
      <c r="C46" s="156" t="s">
        <v>733</v>
      </c>
      <c r="D46" s="157" t="s">
        <v>525</v>
      </c>
      <c r="E46" s="158">
        <f>-7.82*1.3</f>
        <v>-10.17</v>
      </c>
      <c r="F46" s="162">
        <v>210</v>
      </c>
      <c r="G46" s="160">
        <v>165</v>
      </c>
      <c r="H46" s="159">
        <v>-2134.86</v>
      </c>
      <c r="I46" s="168" t="s">
        <v>526</v>
      </c>
      <c r="J46" s="150"/>
      <c r="K46" s="169"/>
      <c r="L46" s="150"/>
      <c r="N46" s="150"/>
      <c r="O46" s="150"/>
    </row>
    <row r="47" s="2" customFormat="1" ht="45" spans="1:15">
      <c r="A47" s="161" t="s">
        <v>734</v>
      </c>
      <c r="B47" s="10" t="s">
        <v>735</v>
      </c>
      <c r="C47" s="156" t="s">
        <v>736</v>
      </c>
      <c r="D47" s="157" t="s">
        <v>531</v>
      </c>
      <c r="E47" s="158">
        <f>-122.02*0.06</f>
        <v>-7.32</v>
      </c>
      <c r="F47" s="162">
        <v>4822</v>
      </c>
      <c r="G47" s="160">
        <v>3600</v>
      </c>
      <c r="H47" s="159">
        <v>-35302.83</v>
      </c>
      <c r="I47" s="168" t="s">
        <v>526</v>
      </c>
      <c r="J47" s="150"/>
      <c r="K47" s="169"/>
      <c r="L47" s="150"/>
      <c r="N47" s="150"/>
      <c r="O47" s="150"/>
    </row>
    <row r="48" s="2" customFormat="1" ht="45" spans="1:15">
      <c r="A48" s="161" t="s">
        <v>737</v>
      </c>
      <c r="B48" s="119" t="s">
        <v>738</v>
      </c>
      <c r="C48" s="156" t="s">
        <v>739</v>
      </c>
      <c r="D48" s="119" t="s">
        <v>525</v>
      </c>
      <c r="E48" s="158">
        <v>-10.43</v>
      </c>
      <c r="F48" s="119">
        <v>326</v>
      </c>
      <c r="G48" s="160">
        <v>240</v>
      </c>
      <c r="H48" s="159">
        <v>-3400.18</v>
      </c>
      <c r="I48" s="168" t="s">
        <v>526</v>
      </c>
      <c r="J48" s="150"/>
      <c r="K48" s="169"/>
      <c r="L48" s="150"/>
      <c r="N48" s="150"/>
      <c r="O48" s="150"/>
    </row>
    <row r="49" s="2" customFormat="1" ht="45" spans="1:15">
      <c r="A49" s="161" t="s">
        <v>740</v>
      </c>
      <c r="B49" s="10" t="s">
        <v>741</v>
      </c>
      <c r="C49" s="156" t="s">
        <v>742</v>
      </c>
      <c r="D49" s="157" t="s">
        <v>743</v>
      </c>
      <c r="E49" s="158">
        <v>-6</v>
      </c>
      <c r="F49" s="162">
        <v>1450</v>
      </c>
      <c r="G49" s="160">
        <v>850</v>
      </c>
      <c r="H49" s="159">
        <v>-8700</v>
      </c>
      <c r="I49" s="168" t="s">
        <v>526</v>
      </c>
      <c r="J49" s="150"/>
      <c r="K49" s="169"/>
      <c r="L49" s="150"/>
      <c r="N49" s="150"/>
      <c r="O49" s="150"/>
    </row>
    <row r="50" s="2" customFormat="1" ht="67.5" spans="1:15">
      <c r="A50" s="161" t="s">
        <v>744</v>
      </c>
      <c r="B50" s="119" t="s">
        <v>535</v>
      </c>
      <c r="C50" s="156" t="s">
        <v>536</v>
      </c>
      <c r="D50" s="119" t="s">
        <v>531</v>
      </c>
      <c r="E50" s="158">
        <f>-(0.25*3*80+80*1.32)</f>
        <v>-165.6</v>
      </c>
      <c r="F50" s="119">
        <v>634</v>
      </c>
      <c r="G50" s="160">
        <v>580</v>
      </c>
      <c r="H50" s="159">
        <v>-104990.4</v>
      </c>
      <c r="I50" s="168" t="s">
        <v>526</v>
      </c>
      <c r="J50" s="150"/>
      <c r="K50" s="169"/>
      <c r="L50" s="150"/>
      <c r="N50" s="150"/>
      <c r="O50" s="150"/>
    </row>
    <row r="51" s="2" customFormat="1" ht="45" spans="1:15">
      <c r="A51" s="161" t="s">
        <v>745</v>
      </c>
      <c r="B51" s="10" t="s">
        <v>698</v>
      </c>
      <c r="C51" s="156" t="s">
        <v>746</v>
      </c>
      <c r="D51" s="157" t="s">
        <v>700</v>
      </c>
      <c r="E51" s="158">
        <f>-(80*3*27.5/1000+80*81.29/1000)</f>
        <v>-13.1</v>
      </c>
      <c r="F51" s="162">
        <v>5086</v>
      </c>
      <c r="G51" s="160">
        <v>3800</v>
      </c>
      <c r="H51" s="159">
        <v>-66642.88</v>
      </c>
      <c r="I51" s="168" t="s">
        <v>526</v>
      </c>
      <c r="J51" s="150"/>
      <c r="K51" s="169"/>
      <c r="L51" s="150"/>
      <c r="N51" s="150"/>
      <c r="O51" s="150"/>
    </row>
    <row r="52" s="2" customFormat="1" ht="22.5" spans="1:15">
      <c r="A52" s="161">
        <v>1.2</v>
      </c>
      <c r="B52" s="165" t="s">
        <v>747</v>
      </c>
      <c r="C52" s="156"/>
      <c r="D52" s="157"/>
      <c r="E52" s="158"/>
      <c r="F52" s="162"/>
      <c r="G52" s="160"/>
      <c r="H52" s="159"/>
      <c r="I52" s="168"/>
      <c r="J52" s="150"/>
      <c r="K52" s="169"/>
      <c r="L52" s="150"/>
      <c r="N52" s="150"/>
      <c r="O52" s="150"/>
    </row>
    <row r="53" s="2" customFormat="1" spans="1:15">
      <c r="A53" s="161" t="s">
        <v>748</v>
      </c>
      <c r="B53" s="119" t="s">
        <v>722</v>
      </c>
      <c r="C53" s="156"/>
      <c r="D53" s="119"/>
      <c r="E53" s="158"/>
      <c r="F53" s="119"/>
      <c r="G53" s="160"/>
      <c r="H53" s="159"/>
      <c r="I53" s="168"/>
      <c r="J53" s="150"/>
      <c r="K53" s="169"/>
      <c r="L53" s="150"/>
      <c r="N53" s="150"/>
      <c r="O53" s="150"/>
    </row>
    <row r="54" s="2" customFormat="1" ht="45" spans="1:15">
      <c r="A54" s="161" t="s">
        <v>749</v>
      </c>
      <c r="B54" s="10" t="s">
        <v>523</v>
      </c>
      <c r="C54" s="156" t="s">
        <v>524</v>
      </c>
      <c r="D54" s="157" t="s">
        <v>525</v>
      </c>
      <c r="E54" s="158">
        <v>-7.87</v>
      </c>
      <c r="F54" s="162">
        <v>0.63</v>
      </c>
      <c r="G54" s="160"/>
      <c r="H54" s="159">
        <v>-4.96</v>
      </c>
      <c r="I54" s="168" t="s">
        <v>526</v>
      </c>
      <c r="J54" s="150"/>
      <c r="K54" s="169"/>
      <c r="L54" s="150"/>
      <c r="N54" s="150"/>
      <c r="O54" s="150"/>
    </row>
    <row r="55" s="2" customFormat="1" ht="67.5" spans="1:15">
      <c r="A55" s="161" t="s">
        <v>750</v>
      </c>
      <c r="B55" s="10" t="s">
        <v>542</v>
      </c>
      <c r="C55" s="156" t="s">
        <v>751</v>
      </c>
      <c r="D55" s="157" t="s">
        <v>531</v>
      </c>
      <c r="E55" s="158">
        <f>-(1.05*1.05*3.14*1.5+3)</f>
        <v>-8.19</v>
      </c>
      <c r="F55" s="162">
        <v>3.38</v>
      </c>
      <c r="G55" s="160"/>
      <c r="H55" s="159">
        <v>-27.69</v>
      </c>
      <c r="I55" s="168" t="s">
        <v>526</v>
      </c>
      <c r="J55" s="150"/>
      <c r="K55" s="169"/>
      <c r="L55" s="150"/>
      <c r="N55" s="150"/>
      <c r="O55" s="150"/>
    </row>
    <row r="56" s="2" customFormat="1" ht="78.75" spans="1:15">
      <c r="A56" s="161" t="s">
        <v>752</v>
      </c>
      <c r="B56" s="119" t="s">
        <v>544</v>
      </c>
      <c r="C56" s="156" t="s">
        <v>545</v>
      </c>
      <c r="D56" s="119" t="s">
        <v>531</v>
      </c>
      <c r="E56" s="158">
        <v>-8.41</v>
      </c>
      <c r="F56" s="119">
        <v>11.05</v>
      </c>
      <c r="G56" s="160"/>
      <c r="H56" s="159">
        <v>-92.93</v>
      </c>
      <c r="I56" s="168" t="s">
        <v>526</v>
      </c>
      <c r="J56" s="150"/>
      <c r="K56" s="169"/>
      <c r="L56" s="150"/>
      <c r="N56" s="150"/>
      <c r="O56" s="150"/>
    </row>
    <row r="57" s="2" customFormat="1" ht="22.5" spans="1:15">
      <c r="A57" s="161" t="s">
        <v>753</v>
      </c>
      <c r="B57" s="10" t="s">
        <v>546</v>
      </c>
      <c r="C57" s="156" t="s">
        <v>547</v>
      </c>
      <c r="D57" s="157" t="s">
        <v>531</v>
      </c>
      <c r="E57" s="158">
        <f>-(7.87*0.15+(52.8+2.99+22.57+2.9)*200/1000*0.15)</f>
        <v>-3.62</v>
      </c>
      <c r="F57" s="162">
        <v>380</v>
      </c>
      <c r="G57" s="160">
        <v>348</v>
      </c>
      <c r="H57" s="159">
        <v>-1374.95</v>
      </c>
      <c r="I57" s="168" t="s">
        <v>526</v>
      </c>
      <c r="J57" s="150"/>
      <c r="K57" s="169"/>
      <c r="L57" s="150"/>
      <c r="N57" s="150"/>
      <c r="O57" s="150"/>
    </row>
    <row r="58" s="2" customFormat="1" ht="78.75" spans="1:15">
      <c r="A58" s="161" t="s">
        <v>754</v>
      </c>
      <c r="B58" s="10" t="s">
        <v>548</v>
      </c>
      <c r="C58" s="156" t="s">
        <v>549</v>
      </c>
      <c r="D58" s="157" t="s">
        <v>531</v>
      </c>
      <c r="E58" s="158">
        <f>-(7.87*0.1+(52.8+2.99+22.57+2.9)*200/1000*0.1)</f>
        <v>-2.41</v>
      </c>
      <c r="F58" s="162">
        <v>565</v>
      </c>
      <c r="G58" s="160">
        <v>520</v>
      </c>
      <c r="H58" s="159">
        <v>-1362.89</v>
      </c>
      <c r="I58" s="168" t="s">
        <v>526</v>
      </c>
      <c r="J58" s="150"/>
      <c r="K58" s="169"/>
      <c r="L58" s="150"/>
      <c r="N58" s="150"/>
      <c r="O58" s="150"/>
    </row>
    <row r="59" s="2" customFormat="1" ht="56.25" spans="1:15">
      <c r="A59" s="161" t="s">
        <v>755</v>
      </c>
      <c r="B59" s="119" t="s">
        <v>735</v>
      </c>
      <c r="C59" s="156" t="s">
        <v>756</v>
      </c>
      <c r="D59" s="119" t="s">
        <v>531</v>
      </c>
      <c r="E59" s="158">
        <f>-5.36*0.06</f>
        <v>-0.32</v>
      </c>
      <c r="F59" s="162">
        <v>4822</v>
      </c>
      <c r="G59" s="160">
        <v>3600</v>
      </c>
      <c r="H59" s="159">
        <v>-1550.76</v>
      </c>
      <c r="I59" s="168" t="s">
        <v>526</v>
      </c>
      <c r="J59" s="150"/>
      <c r="K59" s="169"/>
      <c r="L59" s="150"/>
      <c r="N59" s="150"/>
      <c r="O59" s="150"/>
    </row>
    <row r="60" s="2" customFormat="1" ht="45" spans="1:15">
      <c r="A60" s="161" t="s">
        <v>757</v>
      </c>
      <c r="B60" s="10" t="s">
        <v>758</v>
      </c>
      <c r="C60" s="156" t="s">
        <v>759</v>
      </c>
      <c r="D60" s="157" t="s">
        <v>743</v>
      </c>
      <c r="E60" s="158">
        <v>-4</v>
      </c>
      <c r="F60" s="162">
        <v>2390</v>
      </c>
      <c r="G60" s="160"/>
      <c r="H60" s="159">
        <v>-9560</v>
      </c>
      <c r="I60" s="168" t="s">
        <v>526</v>
      </c>
      <c r="J60" s="150"/>
      <c r="K60" s="169"/>
      <c r="L60" s="150"/>
      <c r="N60" s="150"/>
      <c r="O60" s="150"/>
    </row>
    <row r="61" s="2" customFormat="1" ht="45" spans="1:15">
      <c r="A61" s="161" t="s">
        <v>760</v>
      </c>
      <c r="B61" s="10" t="s">
        <v>741</v>
      </c>
      <c r="C61" s="156" t="s">
        <v>742</v>
      </c>
      <c r="D61" s="157" t="s">
        <v>743</v>
      </c>
      <c r="E61" s="158">
        <v>-3</v>
      </c>
      <c r="F61" s="162">
        <v>1450</v>
      </c>
      <c r="G61" s="160">
        <v>850</v>
      </c>
      <c r="H61" s="159">
        <v>-4350</v>
      </c>
      <c r="I61" s="168" t="s">
        <v>526</v>
      </c>
      <c r="J61" s="150"/>
      <c r="K61" s="169"/>
      <c r="L61" s="150"/>
      <c r="N61" s="150"/>
      <c r="O61" s="150"/>
    </row>
    <row r="62" s="2" customFormat="1" spans="1:15">
      <c r="A62" s="161" t="s">
        <v>761</v>
      </c>
      <c r="B62" s="119" t="s">
        <v>762</v>
      </c>
      <c r="C62" s="156"/>
      <c r="D62" s="119"/>
      <c r="E62" s="158"/>
      <c r="F62" s="119"/>
      <c r="G62" s="160"/>
      <c r="H62" s="159"/>
      <c r="I62" s="168"/>
      <c r="J62" s="150"/>
      <c r="K62" s="169"/>
      <c r="L62" s="150"/>
      <c r="N62" s="150"/>
      <c r="O62" s="150"/>
    </row>
    <row r="63" s="2" customFormat="1" ht="90" spans="1:15">
      <c r="A63" s="161" t="s">
        <v>763</v>
      </c>
      <c r="B63" s="10" t="s">
        <v>695</v>
      </c>
      <c r="C63" s="156" t="s">
        <v>764</v>
      </c>
      <c r="D63" s="157" t="s">
        <v>531</v>
      </c>
      <c r="E63" s="158">
        <f>-0.25*0.56*3.14</f>
        <v>-0.44</v>
      </c>
      <c r="F63" s="162">
        <v>920</v>
      </c>
      <c r="G63" s="160">
        <v>750</v>
      </c>
      <c r="H63" s="159">
        <v>-404.43</v>
      </c>
      <c r="I63" s="168" t="s">
        <v>526</v>
      </c>
      <c r="J63" s="150"/>
      <c r="K63" s="169"/>
      <c r="L63" s="150"/>
      <c r="N63" s="150"/>
      <c r="O63" s="150"/>
    </row>
    <row r="64" s="2" customFormat="1" ht="45" spans="1:15">
      <c r="A64" s="161" t="s">
        <v>765</v>
      </c>
      <c r="B64" s="10" t="s">
        <v>698</v>
      </c>
      <c r="C64" s="156" t="s">
        <v>746</v>
      </c>
      <c r="D64" s="157" t="s">
        <v>700</v>
      </c>
      <c r="E64" s="158">
        <v>-0.31</v>
      </c>
      <c r="F64" s="162">
        <v>5086</v>
      </c>
      <c r="G64" s="160">
        <v>3800</v>
      </c>
      <c r="H64" s="159">
        <v>-1586.83</v>
      </c>
      <c r="I64" s="168" t="s">
        <v>526</v>
      </c>
      <c r="J64" s="150"/>
      <c r="K64" s="169"/>
      <c r="L64" s="150"/>
      <c r="N64" s="150"/>
      <c r="O64" s="150"/>
    </row>
    <row r="65" s="2" customFormat="1" ht="22.5" spans="1:15">
      <c r="A65" s="161" t="s">
        <v>766</v>
      </c>
      <c r="B65" s="119" t="s">
        <v>705</v>
      </c>
      <c r="C65" s="156" t="s">
        <v>767</v>
      </c>
      <c r="D65" s="119" t="s">
        <v>525</v>
      </c>
      <c r="E65" s="158">
        <f>-((3-0.56)*0.56*3.14+(0.28*0.28*3.14))</f>
        <v>-4.54</v>
      </c>
      <c r="F65" s="119">
        <v>16.32</v>
      </c>
      <c r="G65" s="160">
        <v>8.1</v>
      </c>
      <c r="H65" s="159">
        <v>-74.04</v>
      </c>
      <c r="I65" s="168" t="s">
        <v>526</v>
      </c>
      <c r="J65" s="150"/>
      <c r="K65" s="169"/>
      <c r="L65" s="150"/>
      <c r="N65" s="150"/>
      <c r="O65" s="150"/>
    </row>
    <row r="66" s="2" customFormat="1" ht="22.5" spans="1:15">
      <c r="A66" s="161" t="s">
        <v>768</v>
      </c>
      <c r="B66" s="10" t="s">
        <v>708</v>
      </c>
      <c r="C66" s="156" t="s">
        <v>709</v>
      </c>
      <c r="D66" s="157" t="s">
        <v>525</v>
      </c>
      <c r="E66" s="158">
        <f>-3*0.56*3.14</f>
        <v>-5.28</v>
      </c>
      <c r="F66" s="162">
        <v>105</v>
      </c>
      <c r="G66" s="160">
        <v>58</v>
      </c>
      <c r="H66" s="159">
        <v>-553.9</v>
      </c>
      <c r="I66" s="168" t="s">
        <v>526</v>
      </c>
      <c r="J66" s="150"/>
      <c r="K66" s="169"/>
      <c r="L66" s="150"/>
      <c r="N66" s="150"/>
      <c r="O66" s="150"/>
    </row>
    <row r="67" s="2" customFormat="1" ht="22.5" spans="1:15">
      <c r="A67" s="161" t="s">
        <v>769</v>
      </c>
      <c r="B67" s="10" t="s">
        <v>546</v>
      </c>
      <c r="C67" s="156" t="s">
        <v>770</v>
      </c>
      <c r="D67" s="157" t="s">
        <v>531</v>
      </c>
      <c r="E67" s="158">
        <f>-0.75*0.75*3.14*0.3</f>
        <v>-0.53</v>
      </c>
      <c r="F67" s="162">
        <v>429</v>
      </c>
      <c r="G67" s="160">
        <v>348</v>
      </c>
      <c r="H67" s="159">
        <v>-227.32</v>
      </c>
      <c r="I67" s="168" t="s">
        <v>526</v>
      </c>
      <c r="J67" s="150"/>
      <c r="K67" s="169"/>
      <c r="L67" s="150"/>
      <c r="N67" s="150"/>
      <c r="O67" s="150"/>
    </row>
    <row r="68" s="2" customFormat="1" ht="56.25" spans="1:15">
      <c r="A68" s="161" t="s">
        <v>771</v>
      </c>
      <c r="B68" s="119" t="s">
        <v>654</v>
      </c>
      <c r="C68" s="156" t="s">
        <v>711</v>
      </c>
      <c r="D68" s="119" t="s">
        <v>525</v>
      </c>
      <c r="E68" s="158">
        <f>-0.28*0.28*3.14</f>
        <v>-0.25</v>
      </c>
      <c r="F68" s="119">
        <v>1058</v>
      </c>
      <c r="G68" s="160">
        <v>550</v>
      </c>
      <c r="H68" s="159">
        <v>-260.45</v>
      </c>
      <c r="I68" s="168" t="s">
        <v>526</v>
      </c>
      <c r="J68" s="150"/>
      <c r="K68" s="169"/>
      <c r="L68" s="150"/>
      <c r="N68" s="150"/>
      <c r="O68" s="150"/>
    </row>
    <row r="69" s="2" customFormat="1" ht="45" spans="1:15">
      <c r="A69" s="161" t="s">
        <v>772</v>
      </c>
      <c r="B69" s="10" t="s">
        <v>773</v>
      </c>
      <c r="C69" s="156" t="s">
        <v>774</v>
      </c>
      <c r="D69" s="157" t="s">
        <v>565</v>
      </c>
      <c r="E69" s="158">
        <v>-1</v>
      </c>
      <c r="F69" s="162">
        <v>3200</v>
      </c>
      <c r="G69" s="160">
        <v>2800</v>
      </c>
      <c r="H69" s="159">
        <v>-3200</v>
      </c>
      <c r="I69" s="168" t="s">
        <v>526</v>
      </c>
      <c r="J69" s="150"/>
      <c r="K69" s="169"/>
      <c r="L69" s="150"/>
      <c r="N69" s="150"/>
      <c r="O69" s="150"/>
    </row>
    <row r="70" s="2" customFormat="1" spans="1:15">
      <c r="A70" s="161" t="s">
        <v>775</v>
      </c>
      <c r="B70" s="10" t="s">
        <v>550</v>
      </c>
      <c r="C70" s="156"/>
      <c r="D70" s="157"/>
      <c r="E70" s="158"/>
      <c r="F70" s="162"/>
      <c r="G70" s="160"/>
      <c r="H70" s="159"/>
      <c r="I70" s="168"/>
      <c r="J70" s="150"/>
      <c r="K70" s="169"/>
      <c r="L70" s="150"/>
      <c r="N70" s="150"/>
      <c r="O70" s="150"/>
    </row>
    <row r="71" s="2" customFormat="1" ht="33.75" spans="1:15">
      <c r="A71" s="161" t="s">
        <v>776</v>
      </c>
      <c r="B71" s="119" t="s">
        <v>777</v>
      </c>
      <c r="C71" s="156" t="s">
        <v>778</v>
      </c>
      <c r="D71" s="119" t="s">
        <v>531</v>
      </c>
      <c r="E71" s="158">
        <v>-0.34</v>
      </c>
      <c r="F71" s="119">
        <v>526</v>
      </c>
      <c r="G71" s="160">
        <v>407</v>
      </c>
      <c r="H71" s="159">
        <v>-180.02</v>
      </c>
      <c r="I71" s="168" t="s">
        <v>526</v>
      </c>
      <c r="J71" s="150"/>
      <c r="K71" s="169"/>
      <c r="L71" s="150"/>
      <c r="N71" s="150"/>
      <c r="O71" s="150"/>
    </row>
    <row r="72" s="2" customFormat="1" ht="22.5" spans="1:15">
      <c r="A72" s="161" t="s">
        <v>779</v>
      </c>
      <c r="B72" s="10" t="s">
        <v>669</v>
      </c>
      <c r="C72" s="156" t="s">
        <v>670</v>
      </c>
      <c r="D72" s="157" t="s">
        <v>531</v>
      </c>
      <c r="E72" s="158">
        <v>-0.11</v>
      </c>
      <c r="F72" s="162">
        <v>486</v>
      </c>
      <c r="G72" s="160">
        <v>407</v>
      </c>
      <c r="H72" s="159">
        <v>-52.51</v>
      </c>
      <c r="I72" s="168" t="s">
        <v>526</v>
      </c>
      <c r="J72" s="150"/>
      <c r="K72" s="169"/>
      <c r="L72" s="150"/>
      <c r="N72" s="150"/>
      <c r="O72" s="150"/>
    </row>
    <row r="73" s="2" customFormat="1" ht="22.5" spans="1:15">
      <c r="A73" s="161" t="s">
        <v>780</v>
      </c>
      <c r="B73" s="10" t="s">
        <v>781</v>
      </c>
      <c r="C73" s="156" t="s">
        <v>782</v>
      </c>
      <c r="D73" s="157" t="s">
        <v>525</v>
      </c>
      <c r="E73" s="158">
        <v>-4.98</v>
      </c>
      <c r="F73" s="162">
        <v>21.82</v>
      </c>
      <c r="G73" s="160">
        <v>6.5</v>
      </c>
      <c r="H73" s="159">
        <v>-108.77</v>
      </c>
      <c r="I73" s="168" t="s">
        <v>526</v>
      </c>
      <c r="J73" s="150"/>
      <c r="K73" s="169"/>
      <c r="L73" s="150"/>
      <c r="N73" s="150"/>
      <c r="O73" s="150"/>
    </row>
    <row r="74" s="2" customFormat="1" ht="45" spans="1:15">
      <c r="A74" s="161" t="s">
        <v>783</v>
      </c>
      <c r="B74" s="119" t="s">
        <v>784</v>
      </c>
      <c r="C74" s="156" t="s">
        <v>785</v>
      </c>
      <c r="D74" s="119" t="s">
        <v>525</v>
      </c>
      <c r="E74" s="158">
        <v>-4.81</v>
      </c>
      <c r="F74" s="162">
        <v>659</v>
      </c>
      <c r="G74" s="160">
        <v>230</v>
      </c>
      <c r="H74" s="159">
        <v>-3171.11</v>
      </c>
      <c r="I74" s="168" t="s">
        <v>526</v>
      </c>
      <c r="J74" s="150"/>
      <c r="K74" s="169"/>
      <c r="L74" s="150"/>
      <c r="N74" s="150"/>
      <c r="O74" s="150"/>
    </row>
    <row r="75" s="2" customFormat="1" ht="45" spans="1:15">
      <c r="A75" s="161" t="s">
        <v>786</v>
      </c>
      <c r="B75" s="10" t="s">
        <v>787</v>
      </c>
      <c r="C75" s="156" t="s">
        <v>788</v>
      </c>
      <c r="D75" s="157" t="s">
        <v>525</v>
      </c>
      <c r="E75" s="158">
        <v>-0.17</v>
      </c>
      <c r="F75" s="162">
        <v>659</v>
      </c>
      <c r="G75" s="160">
        <v>550</v>
      </c>
      <c r="H75" s="159">
        <v>-113.88</v>
      </c>
      <c r="I75" s="168" t="s">
        <v>526</v>
      </c>
      <c r="J75" s="150"/>
      <c r="K75" s="169"/>
      <c r="L75" s="150"/>
      <c r="N75" s="150"/>
      <c r="O75" s="150"/>
    </row>
    <row r="76" s="2" customFormat="1" ht="33.75" spans="1:15">
      <c r="A76" s="161" t="s">
        <v>789</v>
      </c>
      <c r="B76" s="10" t="s">
        <v>790</v>
      </c>
      <c r="C76" s="156" t="s">
        <v>791</v>
      </c>
      <c r="D76" s="157" t="s">
        <v>565</v>
      </c>
      <c r="E76" s="158">
        <v>-2</v>
      </c>
      <c r="F76" s="162">
        <v>800</v>
      </c>
      <c r="G76" s="160">
        <v>550</v>
      </c>
      <c r="H76" s="159">
        <v>-1600</v>
      </c>
      <c r="I76" s="168" t="s">
        <v>526</v>
      </c>
      <c r="J76" s="150"/>
      <c r="K76" s="169"/>
      <c r="L76" s="150"/>
      <c r="N76" s="150"/>
      <c r="O76" s="150"/>
    </row>
    <row r="77" s="2" customFormat="1" ht="45" spans="1:15">
      <c r="A77" s="161" t="s">
        <v>792</v>
      </c>
      <c r="B77" s="119" t="s">
        <v>793</v>
      </c>
      <c r="C77" s="156" t="s">
        <v>794</v>
      </c>
      <c r="D77" s="119" t="s">
        <v>565</v>
      </c>
      <c r="E77" s="158">
        <v>-2</v>
      </c>
      <c r="F77" s="119">
        <v>260</v>
      </c>
      <c r="G77" s="160">
        <v>160</v>
      </c>
      <c r="H77" s="159">
        <v>-520</v>
      </c>
      <c r="I77" s="168" t="s">
        <v>526</v>
      </c>
      <c r="J77" s="150"/>
      <c r="K77" s="169"/>
      <c r="L77" s="150"/>
      <c r="N77" s="150"/>
      <c r="O77" s="150"/>
    </row>
    <row r="78" s="2" customFormat="1" ht="56.25" spans="1:15">
      <c r="A78" s="161" t="s">
        <v>795</v>
      </c>
      <c r="B78" s="10" t="s">
        <v>550</v>
      </c>
      <c r="C78" s="156" t="s">
        <v>796</v>
      </c>
      <c r="D78" s="157" t="s">
        <v>525</v>
      </c>
      <c r="E78" s="158">
        <v>-1.58</v>
      </c>
      <c r="F78" s="162">
        <v>145</v>
      </c>
      <c r="G78" s="160">
        <v>145</v>
      </c>
      <c r="H78" s="159">
        <v>-229.39</v>
      </c>
      <c r="I78" s="168" t="s">
        <v>526</v>
      </c>
      <c r="J78" s="150"/>
      <c r="K78" s="169"/>
      <c r="L78" s="150"/>
      <c r="N78" s="150"/>
      <c r="O78" s="150"/>
    </row>
    <row r="79" s="2" customFormat="1" spans="1:15">
      <c r="A79" s="161">
        <v>1.3</v>
      </c>
      <c r="B79" s="10" t="s">
        <v>797</v>
      </c>
      <c r="C79" s="156"/>
      <c r="D79" s="157"/>
      <c r="E79" s="158"/>
      <c r="F79" s="162"/>
      <c r="G79" s="160"/>
      <c r="H79" s="159"/>
      <c r="I79" s="168"/>
      <c r="J79" s="150"/>
      <c r="K79" s="169"/>
      <c r="L79" s="150"/>
      <c r="N79" s="150"/>
      <c r="O79" s="150"/>
    </row>
    <row r="80" s="2" customFormat="1" spans="1:15">
      <c r="A80" s="161" t="s">
        <v>798</v>
      </c>
      <c r="B80" s="119" t="s">
        <v>722</v>
      </c>
      <c r="C80" s="156"/>
      <c r="D80" s="119"/>
      <c r="E80" s="158"/>
      <c r="F80" s="119"/>
      <c r="G80" s="160"/>
      <c r="H80" s="159"/>
      <c r="I80" s="168"/>
      <c r="J80" s="150"/>
      <c r="K80" s="169"/>
      <c r="L80" s="150"/>
      <c r="N80" s="150"/>
      <c r="O80" s="150"/>
    </row>
    <row r="81" s="2" customFormat="1" ht="45" spans="1:15">
      <c r="A81" s="161" t="s">
        <v>799</v>
      </c>
      <c r="B81" s="10" t="s">
        <v>523</v>
      </c>
      <c r="C81" s="156" t="s">
        <v>524</v>
      </c>
      <c r="D81" s="157" t="s">
        <v>525</v>
      </c>
      <c r="E81" s="158">
        <v>-63.52</v>
      </c>
      <c r="F81" s="162">
        <v>0.63</v>
      </c>
      <c r="G81" s="160"/>
      <c r="H81" s="159">
        <v>-40.02</v>
      </c>
      <c r="I81" s="168" t="s">
        <v>526</v>
      </c>
      <c r="J81" s="150"/>
      <c r="K81" s="169"/>
      <c r="L81" s="150"/>
      <c r="N81" s="150"/>
      <c r="O81" s="150"/>
    </row>
    <row r="82" s="2" customFormat="1" ht="22.5" spans="1:15">
      <c r="A82" s="161" t="s">
        <v>800</v>
      </c>
      <c r="B82" s="10" t="s">
        <v>546</v>
      </c>
      <c r="C82" s="156" t="s">
        <v>547</v>
      </c>
      <c r="D82" s="157" t="s">
        <v>531</v>
      </c>
      <c r="E82" s="158">
        <v>-5.63</v>
      </c>
      <c r="F82" s="162">
        <v>380</v>
      </c>
      <c r="G82" s="160">
        <v>348</v>
      </c>
      <c r="H82" s="159">
        <v>-2140.87</v>
      </c>
      <c r="I82" s="168" t="s">
        <v>526</v>
      </c>
      <c r="J82" s="150"/>
      <c r="K82" s="169"/>
      <c r="L82" s="150"/>
      <c r="N82" s="150"/>
      <c r="O82" s="150"/>
    </row>
    <row r="83" s="2" customFormat="1" ht="78.75" spans="1:15">
      <c r="A83" s="161" t="s">
        <v>801</v>
      </c>
      <c r="B83" s="119" t="s">
        <v>548</v>
      </c>
      <c r="C83" s="156" t="s">
        <v>549</v>
      </c>
      <c r="D83" s="119" t="s">
        <v>531</v>
      </c>
      <c r="E83" s="158">
        <v>-3.08</v>
      </c>
      <c r="F83" s="119">
        <v>565</v>
      </c>
      <c r="G83" s="160">
        <v>520</v>
      </c>
      <c r="H83" s="159">
        <v>-1740.72</v>
      </c>
      <c r="I83" s="168" t="s">
        <v>526</v>
      </c>
      <c r="J83" s="150"/>
      <c r="K83" s="169"/>
      <c r="L83" s="150"/>
      <c r="N83" s="150"/>
      <c r="O83" s="150"/>
    </row>
    <row r="84" s="2" customFormat="1" ht="33.75" spans="1:15">
      <c r="A84" s="161" t="s">
        <v>802</v>
      </c>
      <c r="B84" s="10" t="s">
        <v>803</v>
      </c>
      <c r="C84" s="156" t="s">
        <v>804</v>
      </c>
      <c r="D84" s="157" t="s">
        <v>525</v>
      </c>
      <c r="E84" s="158">
        <v>-2.21</v>
      </c>
      <c r="F84" s="162">
        <v>210</v>
      </c>
      <c r="G84" s="160">
        <v>165</v>
      </c>
      <c r="H84" s="159">
        <v>-464.1</v>
      </c>
      <c r="I84" s="168" t="s">
        <v>526</v>
      </c>
      <c r="J84" s="150"/>
      <c r="K84" s="169"/>
      <c r="L84" s="150"/>
      <c r="N84" s="150"/>
      <c r="O84" s="150"/>
    </row>
    <row r="85" s="2" customFormat="1" ht="45" spans="1:15">
      <c r="A85" s="161" t="s">
        <v>805</v>
      </c>
      <c r="B85" s="10" t="s">
        <v>540</v>
      </c>
      <c r="C85" s="156" t="s">
        <v>806</v>
      </c>
      <c r="D85" s="157" t="s">
        <v>525</v>
      </c>
      <c r="E85" s="158">
        <v>-12.38</v>
      </c>
      <c r="F85" s="162">
        <v>190</v>
      </c>
      <c r="G85" s="160">
        <v>145</v>
      </c>
      <c r="H85" s="159">
        <v>-2352.2</v>
      </c>
      <c r="I85" s="168" t="s">
        <v>526</v>
      </c>
      <c r="J85" s="150"/>
      <c r="K85" s="169"/>
      <c r="L85" s="150"/>
      <c r="N85" s="150"/>
      <c r="O85" s="150"/>
    </row>
    <row r="86" s="2" customFormat="1" ht="45" spans="1:15">
      <c r="A86" s="161" t="s">
        <v>807</v>
      </c>
      <c r="B86" s="119" t="s">
        <v>808</v>
      </c>
      <c r="C86" s="156" t="s">
        <v>809</v>
      </c>
      <c r="D86" s="119" t="s">
        <v>525</v>
      </c>
      <c r="E86" s="158">
        <v>-4.95</v>
      </c>
      <c r="F86" s="119">
        <v>190</v>
      </c>
      <c r="G86" s="160">
        <v>145</v>
      </c>
      <c r="H86" s="159">
        <v>-940.5</v>
      </c>
      <c r="I86" s="168" t="s">
        <v>526</v>
      </c>
      <c r="J86" s="150"/>
      <c r="K86" s="169"/>
      <c r="L86" s="150"/>
      <c r="N86" s="150"/>
      <c r="O86" s="150"/>
    </row>
    <row r="87" s="2" customFormat="1" ht="56.25" spans="1:15">
      <c r="A87" s="161" t="s">
        <v>810</v>
      </c>
      <c r="B87" s="10" t="s">
        <v>735</v>
      </c>
      <c r="C87" s="156" t="s">
        <v>811</v>
      </c>
      <c r="D87" s="157" t="s">
        <v>531</v>
      </c>
      <c r="E87" s="158">
        <v>-0.6</v>
      </c>
      <c r="F87" s="162">
        <v>4822</v>
      </c>
      <c r="G87" s="160">
        <v>3600</v>
      </c>
      <c r="H87" s="159">
        <v>-2913.45</v>
      </c>
      <c r="I87" s="168" t="s">
        <v>526</v>
      </c>
      <c r="J87" s="150"/>
      <c r="K87" s="169"/>
      <c r="L87" s="150"/>
      <c r="N87" s="150"/>
      <c r="O87" s="150"/>
    </row>
    <row r="88" s="2" customFormat="1" ht="56.25" spans="1:15">
      <c r="A88" s="161" t="s">
        <v>812</v>
      </c>
      <c r="B88" s="10" t="s">
        <v>813</v>
      </c>
      <c r="C88" s="156" t="s">
        <v>814</v>
      </c>
      <c r="D88" s="157" t="s">
        <v>565</v>
      </c>
      <c r="E88" s="158">
        <v>-5</v>
      </c>
      <c r="F88" s="162">
        <v>2390</v>
      </c>
      <c r="G88" s="160">
        <v>1800</v>
      </c>
      <c r="H88" s="159">
        <v>-11950</v>
      </c>
      <c r="I88" s="168" t="s">
        <v>526</v>
      </c>
      <c r="J88" s="150"/>
      <c r="K88" s="169"/>
      <c r="L88" s="150"/>
      <c r="N88" s="150"/>
      <c r="O88" s="150"/>
    </row>
    <row r="89" s="2" customFormat="1" ht="56.25" spans="1:15">
      <c r="A89" s="161" t="s">
        <v>815</v>
      </c>
      <c r="B89" s="119" t="s">
        <v>741</v>
      </c>
      <c r="C89" s="156" t="s">
        <v>816</v>
      </c>
      <c r="D89" s="119" t="s">
        <v>743</v>
      </c>
      <c r="E89" s="158">
        <v>-6</v>
      </c>
      <c r="F89" s="162">
        <v>1450</v>
      </c>
      <c r="G89" s="160">
        <v>850</v>
      </c>
      <c r="H89" s="159">
        <v>-8700</v>
      </c>
      <c r="I89" s="168" t="s">
        <v>526</v>
      </c>
      <c r="J89" s="150"/>
      <c r="K89" s="169"/>
      <c r="L89" s="150"/>
      <c r="N89" s="150"/>
      <c r="O89" s="150"/>
    </row>
    <row r="90" s="2" customFormat="1" ht="45" spans="1:15">
      <c r="A90" s="161" t="s">
        <v>817</v>
      </c>
      <c r="B90" s="10" t="s">
        <v>818</v>
      </c>
      <c r="C90" s="156" t="s">
        <v>819</v>
      </c>
      <c r="D90" s="157" t="s">
        <v>613</v>
      </c>
      <c r="E90" s="158">
        <v>-6.28</v>
      </c>
      <c r="F90" s="162">
        <v>80.14</v>
      </c>
      <c r="G90" s="160">
        <v>60</v>
      </c>
      <c r="H90" s="159">
        <v>-503.28</v>
      </c>
      <c r="I90" s="168" t="s">
        <v>526</v>
      </c>
      <c r="J90" s="150"/>
      <c r="K90" s="169"/>
      <c r="L90" s="150"/>
      <c r="N90" s="150"/>
      <c r="O90" s="150"/>
    </row>
    <row r="91" s="2" customFormat="1" ht="45" spans="1:15">
      <c r="A91" s="161" t="s">
        <v>820</v>
      </c>
      <c r="B91" s="10" t="s">
        <v>821</v>
      </c>
      <c r="C91" s="156" t="s">
        <v>822</v>
      </c>
      <c r="D91" s="157" t="s">
        <v>525</v>
      </c>
      <c r="E91" s="158">
        <v>-10.54</v>
      </c>
      <c r="F91" s="162">
        <v>284</v>
      </c>
      <c r="G91" s="160">
        <v>220</v>
      </c>
      <c r="H91" s="159">
        <v>-2993.36</v>
      </c>
      <c r="I91" s="168" t="s">
        <v>526</v>
      </c>
      <c r="J91" s="150"/>
      <c r="K91" s="169"/>
      <c r="L91" s="150"/>
      <c r="N91" s="150"/>
      <c r="O91" s="150"/>
    </row>
    <row r="92" s="2" customFormat="1" spans="1:15">
      <c r="A92" s="161" t="s">
        <v>823</v>
      </c>
      <c r="B92" s="119" t="s">
        <v>824</v>
      </c>
      <c r="C92" s="156"/>
      <c r="D92" s="119"/>
      <c r="E92" s="158"/>
      <c r="F92" s="119"/>
      <c r="G92" s="160"/>
      <c r="H92" s="159"/>
      <c r="I92" s="168"/>
      <c r="J92" s="150"/>
      <c r="K92" s="169"/>
      <c r="L92" s="150"/>
      <c r="N92" s="150"/>
      <c r="O92" s="150"/>
    </row>
    <row r="93" s="2" customFormat="1" ht="67.5" spans="1:15">
      <c r="A93" s="161" t="s">
        <v>825</v>
      </c>
      <c r="B93" s="10" t="s">
        <v>542</v>
      </c>
      <c r="C93" s="156" t="s">
        <v>543</v>
      </c>
      <c r="D93" s="157" t="s">
        <v>531</v>
      </c>
      <c r="E93" s="158">
        <v>-10.24</v>
      </c>
      <c r="F93" s="162">
        <v>3.38</v>
      </c>
      <c r="G93" s="160"/>
      <c r="H93" s="159">
        <v>-34.61</v>
      </c>
      <c r="I93" s="168" t="s">
        <v>526</v>
      </c>
      <c r="J93" s="150"/>
      <c r="K93" s="169"/>
      <c r="L93" s="150"/>
      <c r="N93" s="150"/>
      <c r="O93" s="150"/>
    </row>
    <row r="94" s="2" customFormat="1" ht="78.75" spans="1:15">
      <c r="A94" s="161" t="s">
        <v>826</v>
      </c>
      <c r="B94" s="10" t="s">
        <v>544</v>
      </c>
      <c r="C94" s="156" t="s">
        <v>545</v>
      </c>
      <c r="D94" s="157" t="s">
        <v>531</v>
      </c>
      <c r="E94" s="158">
        <v>-6.4</v>
      </c>
      <c r="F94" s="162">
        <v>11.05</v>
      </c>
      <c r="G94" s="160"/>
      <c r="H94" s="159">
        <v>-70.72</v>
      </c>
      <c r="I94" s="168" t="s">
        <v>526</v>
      </c>
      <c r="J94" s="150"/>
      <c r="K94" s="169"/>
      <c r="L94" s="150"/>
      <c r="N94" s="150"/>
      <c r="O94" s="150"/>
    </row>
    <row r="95" s="2" customFormat="1" ht="67.5" spans="1:15">
      <c r="A95" s="161" t="s">
        <v>827</v>
      </c>
      <c r="B95" s="119" t="s">
        <v>535</v>
      </c>
      <c r="C95" s="156" t="s">
        <v>536</v>
      </c>
      <c r="D95" s="119" t="s">
        <v>531</v>
      </c>
      <c r="E95" s="158">
        <v>-2.4</v>
      </c>
      <c r="F95" s="119">
        <v>908</v>
      </c>
      <c r="G95" s="160">
        <v>850</v>
      </c>
      <c r="H95" s="159">
        <v>-2179.2</v>
      </c>
      <c r="I95" s="168" t="s">
        <v>526</v>
      </c>
      <c r="J95" s="150"/>
      <c r="K95" s="169"/>
      <c r="L95" s="150"/>
      <c r="N95" s="150"/>
      <c r="O95" s="150"/>
    </row>
    <row r="96" s="2" customFormat="1" ht="45" spans="1:15">
      <c r="A96" s="161" t="s">
        <v>828</v>
      </c>
      <c r="B96" s="10" t="s">
        <v>698</v>
      </c>
      <c r="C96" s="156" t="s">
        <v>746</v>
      </c>
      <c r="D96" s="157" t="s">
        <v>700</v>
      </c>
      <c r="E96" s="158">
        <v>-0.47</v>
      </c>
      <c r="F96" s="162">
        <v>5086</v>
      </c>
      <c r="G96" s="160">
        <v>3800</v>
      </c>
      <c r="H96" s="159">
        <v>-2372.12</v>
      </c>
      <c r="I96" s="168" t="s">
        <v>526</v>
      </c>
      <c r="J96" s="150"/>
      <c r="K96" s="169"/>
      <c r="L96" s="150"/>
      <c r="N96" s="150"/>
      <c r="O96" s="150"/>
    </row>
    <row r="97" s="2" customFormat="1" ht="45" spans="1:15">
      <c r="A97" s="161" t="s">
        <v>829</v>
      </c>
      <c r="B97" s="10" t="s">
        <v>830</v>
      </c>
      <c r="C97" s="156" t="s">
        <v>831</v>
      </c>
      <c r="D97" s="157" t="s">
        <v>700</v>
      </c>
      <c r="E97" s="158">
        <v>-3.76</v>
      </c>
      <c r="F97" s="162">
        <v>5790</v>
      </c>
      <c r="G97" s="160">
        <v>5500</v>
      </c>
      <c r="H97" s="159">
        <v>-21786.42</v>
      </c>
      <c r="I97" s="168" t="s">
        <v>526</v>
      </c>
      <c r="J97" s="150"/>
      <c r="K97" s="169"/>
      <c r="L97" s="150"/>
      <c r="N97" s="150"/>
      <c r="O97" s="150"/>
    </row>
    <row r="98" s="2" customFormat="1" ht="67.5" spans="1:15">
      <c r="A98" s="161" t="s">
        <v>832</v>
      </c>
      <c r="B98" s="10" t="s">
        <v>833</v>
      </c>
      <c r="C98" s="156" t="s">
        <v>834</v>
      </c>
      <c r="D98" s="157" t="s">
        <v>531</v>
      </c>
      <c r="E98" s="158">
        <v>-1.12</v>
      </c>
      <c r="F98" s="162">
        <v>817</v>
      </c>
      <c r="G98" s="160">
        <v>530</v>
      </c>
      <c r="H98" s="159">
        <v>-911.77</v>
      </c>
      <c r="I98" s="168" t="s">
        <v>526</v>
      </c>
      <c r="J98" s="150"/>
      <c r="K98" s="169"/>
      <c r="L98" s="150"/>
      <c r="N98" s="150"/>
      <c r="O98" s="150"/>
    </row>
    <row r="99" s="2" customFormat="1" ht="22.5" spans="1:15">
      <c r="A99" s="161" t="s">
        <v>835</v>
      </c>
      <c r="B99" s="119" t="s">
        <v>836</v>
      </c>
      <c r="C99" s="156" t="s">
        <v>837</v>
      </c>
      <c r="D99" s="119" t="s">
        <v>525</v>
      </c>
      <c r="E99" s="158">
        <v>-11.73</v>
      </c>
      <c r="F99" s="119">
        <v>1200</v>
      </c>
      <c r="G99" s="160"/>
      <c r="H99" s="159">
        <v>-14076</v>
      </c>
      <c r="I99" s="168" t="s">
        <v>526</v>
      </c>
      <c r="J99" s="150"/>
      <c r="K99" s="169"/>
      <c r="L99" s="150"/>
      <c r="N99" s="150"/>
      <c r="O99" s="150"/>
    </row>
    <row r="100" s="2" customFormat="1" ht="22.5" spans="1:15">
      <c r="A100" s="161" t="s">
        <v>838</v>
      </c>
      <c r="B100" s="10" t="s">
        <v>839</v>
      </c>
      <c r="C100" s="156" t="s">
        <v>840</v>
      </c>
      <c r="D100" s="157" t="s">
        <v>700</v>
      </c>
      <c r="E100" s="158">
        <v>-0.21</v>
      </c>
      <c r="F100" s="162">
        <v>5790</v>
      </c>
      <c r="G100" s="160">
        <v>5500</v>
      </c>
      <c r="H100" s="159">
        <v>-1189.7</v>
      </c>
      <c r="I100" s="168" t="s">
        <v>526</v>
      </c>
      <c r="J100" s="150"/>
      <c r="K100" s="169"/>
      <c r="L100" s="150"/>
      <c r="N100" s="150"/>
      <c r="O100" s="150"/>
    </row>
    <row r="101" s="2" customFormat="1" ht="33.75" spans="1:15">
      <c r="A101" s="161" t="s">
        <v>841</v>
      </c>
      <c r="B101" s="10" t="s">
        <v>824</v>
      </c>
      <c r="C101" s="156" t="s">
        <v>842</v>
      </c>
      <c r="D101" s="157" t="s">
        <v>525</v>
      </c>
      <c r="E101" s="158">
        <v>-24.23</v>
      </c>
      <c r="F101" s="162">
        <v>284</v>
      </c>
      <c r="G101" s="160">
        <v>260</v>
      </c>
      <c r="H101" s="159">
        <v>-6879.9</v>
      </c>
      <c r="I101" s="168" t="s">
        <v>526</v>
      </c>
      <c r="J101" s="150"/>
      <c r="K101" s="169"/>
      <c r="L101" s="150"/>
      <c r="N101" s="150"/>
      <c r="O101" s="150"/>
    </row>
    <row r="102" s="2" customFormat="1" ht="33.75" spans="1:15">
      <c r="A102" s="161" t="s">
        <v>843</v>
      </c>
      <c r="B102" s="119" t="s">
        <v>844</v>
      </c>
      <c r="C102" s="156" t="s">
        <v>845</v>
      </c>
      <c r="D102" s="119" t="s">
        <v>700</v>
      </c>
      <c r="E102" s="158">
        <v>-0.67</v>
      </c>
      <c r="F102" s="119">
        <v>5908</v>
      </c>
      <c r="G102" s="160">
        <v>5500</v>
      </c>
      <c r="H102" s="159">
        <v>-3970.18</v>
      </c>
      <c r="I102" s="168" t="s">
        <v>526</v>
      </c>
      <c r="J102" s="150"/>
      <c r="K102" s="169"/>
      <c r="L102" s="150"/>
      <c r="N102" s="150"/>
      <c r="O102" s="150"/>
    </row>
    <row r="103" s="2" customFormat="1" spans="1:15">
      <c r="A103" s="161">
        <v>2</v>
      </c>
      <c r="B103" s="119" t="s">
        <v>846</v>
      </c>
      <c r="C103" s="156"/>
      <c r="D103" s="119"/>
      <c r="E103" s="158"/>
      <c r="F103" s="119"/>
      <c r="G103" s="160"/>
      <c r="H103" s="159"/>
      <c r="I103" s="168"/>
      <c r="J103" s="150"/>
      <c r="K103" s="169"/>
      <c r="L103" s="150"/>
      <c r="N103" s="150"/>
      <c r="O103" s="150"/>
    </row>
    <row r="104" s="2" customFormat="1" ht="56.25" spans="1:15">
      <c r="A104" s="161">
        <v>2.1</v>
      </c>
      <c r="B104" s="119" t="s">
        <v>735</v>
      </c>
      <c r="C104" s="156" t="s">
        <v>811</v>
      </c>
      <c r="D104" s="118" t="s">
        <v>531</v>
      </c>
      <c r="E104" s="158">
        <v>5.65</v>
      </c>
      <c r="F104" s="119">
        <v>4822</v>
      </c>
      <c r="G104" s="160"/>
      <c r="H104" s="159">
        <f>E104*F104</f>
        <v>27244.3</v>
      </c>
      <c r="I104" s="168" t="s">
        <v>526</v>
      </c>
      <c r="J104" s="150"/>
      <c r="K104" s="169"/>
      <c r="L104" s="150"/>
      <c r="N104" s="150"/>
      <c r="O104" s="150"/>
    </row>
    <row r="105" s="2" customFormat="1" ht="45" spans="1:15">
      <c r="A105" s="161">
        <v>2.2</v>
      </c>
      <c r="B105" s="119" t="s">
        <v>732</v>
      </c>
      <c r="C105" s="156" t="s">
        <v>847</v>
      </c>
      <c r="D105" s="118" t="s">
        <v>525</v>
      </c>
      <c r="E105" s="158">
        <v>9.21</v>
      </c>
      <c r="F105" s="119">
        <v>210</v>
      </c>
      <c r="G105" s="160"/>
      <c r="H105" s="159">
        <f t="shared" ref="H105:H111" si="1">E105*F105</f>
        <v>1934.1</v>
      </c>
      <c r="I105" s="168" t="s">
        <v>526</v>
      </c>
      <c r="J105" s="150"/>
      <c r="K105" s="169"/>
      <c r="L105" s="150"/>
      <c r="N105" s="150"/>
      <c r="O105" s="150"/>
    </row>
    <row r="106" s="2" customFormat="1" ht="78.75" spans="1:15">
      <c r="A106" s="161">
        <v>2.3</v>
      </c>
      <c r="B106" s="119" t="s">
        <v>729</v>
      </c>
      <c r="C106" s="156" t="s">
        <v>848</v>
      </c>
      <c r="D106" s="118" t="s">
        <v>525</v>
      </c>
      <c r="E106" s="158">
        <v>40.55</v>
      </c>
      <c r="F106" s="119">
        <v>190</v>
      </c>
      <c r="G106" s="160"/>
      <c r="H106" s="159">
        <f t="shared" si="1"/>
        <v>7704.5</v>
      </c>
      <c r="I106" s="168" t="s">
        <v>526</v>
      </c>
      <c r="J106" s="150"/>
      <c r="K106" s="169"/>
      <c r="L106" s="150"/>
      <c r="N106" s="150"/>
      <c r="O106" s="150"/>
    </row>
    <row r="107" s="2" customFormat="1" ht="123.75" spans="1:15">
      <c r="A107" s="161">
        <v>2.4</v>
      </c>
      <c r="B107" s="119" t="s">
        <v>849</v>
      </c>
      <c r="C107" s="156" t="s">
        <v>850</v>
      </c>
      <c r="D107" s="118" t="s">
        <v>525</v>
      </c>
      <c r="E107" s="158">
        <v>4.39</v>
      </c>
      <c r="F107" s="119">
        <f>190+(10*2)*1.2</f>
        <v>214</v>
      </c>
      <c r="G107" s="160"/>
      <c r="H107" s="159">
        <f t="shared" si="1"/>
        <v>939.46</v>
      </c>
      <c r="I107" s="168" t="s">
        <v>851</v>
      </c>
      <c r="J107" s="150"/>
      <c r="K107" s="169"/>
      <c r="L107" s="150"/>
      <c r="N107" s="150"/>
      <c r="O107" s="150"/>
    </row>
    <row r="108" s="2" customFormat="1" ht="22.5" spans="1:15">
      <c r="A108" s="161">
        <v>2.5</v>
      </c>
      <c r="B108" s="10" t="s">
        <v>546</v>
      </c>
      <c r="C108" s="156" t="s">
        <v>547</v>
      </c>
      <c r="D108" s="118" t="s">
        <v>531</v>
      </c>
      <c r="E108" s="158">
        <v>24.4</v>
      </c>
      <c r="F108" s="119">
        <v>380</v>
      </c>
      <c r="G108" s="160"/>
      <c r="H108" s="159">
        <f t="shared" si="1"/>
        <v>9272</v>
      </c>
      <c r="I108" s="168" t="s">
        <v>526</v>
      </c>
      <c r="J108" s="150"/>
      <c r="K108" s="169"/>
      <c r="L108" s="150"/>
      <c r="N108" s="150"/>
      <c r="O108" s="150"/>
    </row>
    <row r="109" s="2" customFormat="1" spans="1:15">
      <c r="A109" s="161">
        <v>2.6</v>
      </c>
      <c r="B109" s="119" t="s">
        <v>852</v>
      </c>
      <c r="C109" s="156" t="s">
        <v>852</v>
      </c>
      <c r="D109" s="118" t="s">
        <v>531</v>
      </c>
      <c r="E109" s="158">
        <v>15.19</v>
      </c>
      <c r="F109" s="119">
        <v>565</v>
      </c>
      <c r="G109" s="160"/>
      <c r="H109" s="159">
        <f t="shared" si="1"/>
        <v>8582.35</v>
      </c>
      <c r="I109" s="168" t="s">
        <v>526</v>
      </c>
      <c r="J109" s="150"/>
      <c r="K109" s="169"/>
      <c r="L109" s="150"/>
      <c r="N109" s="150"/>
      <c r="O109" s="150"/>
    </row>
    <row r="110" s="2" customFormat="1" spans="1:15">
      <c r="A110" s="161">
        <v>2.7</v>
      </c>
      <c r="B110" s="119" t="s">
        <v>741</v>
      </c>
      <c r="C110" s="156" t="s">
        <v>741</v>
      </c>
      <c r="D110" s="118" t="s">
        <v>743</v>
      </c>
      <c r="E110" s="158">
        <v>3</v>
      </c>
      <c r="F110" s="119">
        <v>1440</v>
      </c>
      <c r="G110" s="160"/>
      <c r="H110" s="159">
        <f t="shared" si="1"/>
        <v>4320</v>
      </c>
      <c r="I110" s="168" t="s">
        <v>526</v>
      </c>
      <c r="J110" s="150"/>
      <c r="K110" s="169"/>
      <c r="L110" s="150"/>
      <c r="N110" s="150"/>
      <c r="O110" s="150"/>
    </row>
    <row r="111" s="2" customFormat="1" spans="1:15">
      <c r="A111" s="161">
        <v>2.8</v>
      </c>
      <c r="B111" s="119" t="s">
        <v>523</v>
      </c>
      <c r="C111" s="156" t="s">
        <v>523</v>
      </c>
      <c r="D111" s="118" t="s">
        <v>525</v>
      </c>
      <c r="E111" s="158">
        <v>148.3</v>
      </c>
      <c r="F111" s="119">
        <v>0.63</v>
      </c>
      <c r="G111" s="160"/>
      <c r="H111" s="159">
        <f t="shared" si="1"/>
        <v>93.43</v>
      </c>
      <c r="I111" s="168" t="s">
        <v>526</v>
      </c>
      <c r="J111" s="150"/>
      <c r="K111" s="169"/>
      <c r="L111" s="150"/>
      <c r="N111" s="150"/>
      <c r="O111" s="150"/>
    </row>
    <row r="112" s="2" customFormat="1" ht="22.5" spans="1:15">
      <c r="A112" s="161" t="s">
        <v>451</v>
      </c>
      <c r="B112" s="119" t="s">
        <v>853</v>
      </c>
      <c r="C112" s="156"/>
      <c r="D112" s="119"/>
      <c r="E112" s="158"/>
      <c r="F112" s="119"/>
      <c r="G112" s="160"/>
      <c r="H112" s="159">
        <f>SUM(H114:H143)</f>
        <v>-21902.17</v>
      </c>
      <c r="I112" s="168"/>
      <c r="J112" s="150"/>
      <c r="K112" s="169"/>
      <c r="L112" s="150"/>
      <c r="N112" s="150"/>
      <c r="O112" s="150"/>
    </row>
    <row r="113" s="2" customFormat="1" ht="45" spans="1:15">
      <c r="A113" s="161">
        <v>1</v>
      </c>
      <c r="B113" s="119" t="s">
        <v>854</v>
      </c>
      <c r="C113" s="156"/>
      <c r="D113" s="119"/>
      <c r="E113" s="158"/>
      <c r="F113" s="119"/>
      <c r="G113" s="160"/>
      <c r="H113" s="159"/>
      <c r="I113" s="168"/>
      <c r="J113" s="150"/>
      <c r="K113" s="169"/>
      <c r="L113" s="150"/>
      <c r="N113" s="150"/>
      <c r="O113" s="150"/>
    </row>
    <row r="114" s="2" customFormat="1" ht="45" spans="1:15">
      <c r="A114" s="161">
        <v>1.1</v>
      </c>
      <c r="B114" s="10" t="s">
        <v>855</v>
      </c>
      <c r="C114" s="156" t="s">
        <v>856</v>
      </c>
      <c r="D114" s="157" t="s">
        <v>525</v>
      </c>
      <c r="E114" s="158">
        <f>-(13.85-0.04*5)*2</f>
        <v>-27.3</v>
      </c>
      <c r="F114" s="162">
        <v>273.2</v>
      </c>
      <c r="G114" s="160">
        <v>190</v>
      </c>
      <c r="H114" s="159">
        <f>E114*F114</f>
        <v>-7458.36</v>
      </c>
      <c r="I114" s="168" t="s">
        <v>526</v>
      </c>
      <c r="J114" s="150"/>
      <c r="K114" s="169"/>
      <c r="L114" s="150"/>
      <c r="N114" s="150"/>
      <c r="O114" s="150"/>
    </row>
    <row r="115" s="2" customFormat="1" ht="33.75" spans="1:15">
      <c r="A115" s="161">
        <v>1.2</v>
      </c>
      <c r="B115" s="119" t="s">
        <v>735</v>
      </c>
      <c r="C115" s="156" t="s">
        <v>857</v>
      </c>
      <c r="D115" s="118" t="s">
        <v>531</v>
      </c>
      <c r="E115" s="158">
        <f>(13.85-0.04*5)*2*0.06</f>
        <v>1.64</v>
      </c>
      <c r="F115" s="119">
        <v>4500</v>
      </c>
      <c r="G115" s="160"/>
      <c r="H115" s="159">
        <f>E115*F115</f>
        <v>7380</v>
      </c>
      <c r="I115" s="168" t="s">
        <v>858</v>
      </c>
      <c r="J115" s="150"/>
      <c r="K115" s="169"/>
      <c r="L115" s="150"/>
      <c r="N115" s="150"/>
      <c r="O115" s="150"/>
    </row>
    <row r="116" s="2" customFormat="1" ht="33.75" spans="1:15">
      <c r="A116" s="161">
        <v>1.3</v>
      </c>
      <c r="B116" s="119" t="s">
        <v>859</v>
      </c>
      <c r="C116" s="156" t="s">
        <v>860</v>
      </c>
      <c r="D116" s="157" t="s">
        <v>525</v>
      </c>
      <c r="E116" s="158">
        <f>(13.85-0.04*5)*2</f>
        <v>27.3</v>
      </c>
      <c r="F116" s="170">
        <v>4</v>
      </c>
      <c r="G116" s="160"/>
      <c r="H116" s="159">
        <f>E116*F116</f>
        <v>109.2</v>
      </c>
      <c r="I116" s="168" t="s">
        <v>861</v>
      </c>
      <c r="J116" s="150"/>
      <c r="K116" s="169"/>
      <c r="L116" s="150"/>
      <c r="N116" s="150"/>
      <c r="O116" s="150"/>
    </row>
    <row r="117" s="2" customFormat="1" ht="33.75" spans="1:15">
      <c r="A117" s="161">
        <v>1.4</v>
      </c>
      <c r="B117" s="119" t="s">
        <v>862</v>
      </c>
      <c r="C117" s="156" t="s">
        <v>863</v>
      </c>
      <c r="D117" s="118" t="s">
        <v>531</v>
      </c>
      <c r="E117" s="158">
        <f>(13.85-0.04*5)*2*0.05</f>
        <v>1.37</v>
      </c>
      <c r="F117" s="170">
        <f>205*1.2</f>
        <v>246</v>
      </c>
      <c r="G117" s="160"/>
      <c r="H117" s="159">
        <f>E117*F117</f>
        <v>337.02</v>
      </c>
      <c r="I117" s="168" t="s">
        <v>861</v>
      </c>
      <c r="J117" s="150"/>
      <c r="K117" s="169"/>
      <c r="L117" s="150"/>
      <c r="N117" s="150"/>
      <c r="O117" s="150"/>
    </row>
    <row r="118" s="2" customFormat="1" ht="22.5" spans="1:11">
      <c r="A118" s="161">
        <v>1.5</v>
      </c>
      <c r="B118" s="10" t="s">
        <v>864</v>
      </c>
      <c r="C118" s="156" t="s">
        <v>670</v>
      </c>
      <c r="D118" s="157" t="s">
        <v>531</v>
      </c>
      <c r="E118" s="158">
        <f>-0.37*0.12*21*2</f>
        <v>-1.86</v>
      </c>
      <c r="F118" s="162">
        <v>582</v>
      </c>
      <c r="G118" s="160">
        <v>407</v>
      </c>
      <c r="H118" s="159">
        <f>E118*F118</f>
        <v>-1082.52</v>
      </c>
      <c r="I118" s="168" t="s">
        <v>526</v>
      </c>
      <c r="J118" s="146"/>
      <c r="K118" s="150"/>
    </row>
    <row r="119" s="2" customFormat="1" ht="45" spans="1:15">
      <c r="A119" s="161">
        <v>2</v>
      </c>
      <c r="B119" s="119" t="s">
        <v>865</v>
      </c>
      <c r="C119" s="156"/>
      <c r="D119" s="119"/>
      <c r="E119" s="158"/>
      <c r="F119" s="119"/>
      <c r="G119" s="160"/>
      <c r="H119" s="159"/>
      <c r="I119" s="168"/>
      <c r="J119" s="150"/>
      <c r="K119" s="169"/>
      <c r="L119" s="150"/>
      <c r="N119" s="150"/>
      <c r="O119" s="150"/>
    </row>
    <row r="120" s="2" customFormat="1" ht="45" spans="1:15">
      <c r="A120" s="161">
        <v>2.1</v>
      </c>
      <c r="B120" s="157" t="s">
        <v>866</v>
      </c>
      <c r="C120" s="156" t="s">
        <v>867</v>
      </c>
      <c r="D120" s="157" t="s">
        <v>525</v>
      </c>
      <c r="E120" s="158">
        <f>-13.47*0.15*2</f>
        <v>-4.04</v>
      </c>
      <c r="F120" s="162">
        <v>1700</v>
      </c>
      <c r="G120" s="160">
        <v>650</v>
      </c>
      <c r="H120" s="159">
        <f>E120*F120</f>
        <v>-6868</v>
      </c>
      <c r="I120" s="168" t="s">
        <v>526</v>
      </c>
      <c r="J120" s="150"/>
      <c r="K120" s="169"/>
      <c r="L120" s="150"/>
      <c r="N120" s="150"/>
      <c r="O120" s="150"/>
    </row>
    <row r="121" s="2" customFormat="1" ht="33.75" spans="1:15">
      <c r="A121" s="161">
        <v>3</v>
      </c>
      <c r="B121" s="119" t="s">
        <v>868</v>
      </c>
      <c r="C121" s="156"/>
      <c r="D121" s="119"/>
      <c r="E121" s="158"/>
      <c r="F121" s="119"/>
      <c r="G121" s="160"/>
      <c r="H121" s="159"/>
      <c r="I121" s="168"/>
      <c r="J121" s="150"/>
      <c r="K121" s="169"/>
      <c r="L121" s="150"/>
      <c r="N121" s="150"/>
      <c r="O121" s="150"/>
    </row>
    <row r="122" s="2" customFormat="1" ht="33.75" spans="1:15">
      <c r="A122" s="161">
        <v>3.1</v>
      </c>
      <c r="B122" s="119" t="s">
        <v>869</v>
      </c>
      <c r="C122" s="156" t="s">
        <v>870</v>
      </c>
      <c r="D122" s="119" t="s">
        <v>525</v>
      </c>
      <c r="E122" s="160">
        <v>1.89</v>
      </c>
      <c r="F122" s="119">
        <v>702</v>
      </c>
      <c r="G122" s="160"/>
      <c r="H122" s="162">
        <f>E122*F122</f>
        <v>1326.78</v>
      </c>
      <c r="I122" s="168" t="s">
        <v>526</v>
      </c>
      <c r="J122" s="150"/>
      <c r="K122" s="169"/>
      <c r="L122" s="150"/>
      <c r="N122" s="150"/>
      <c r="O122" s="150"/>
    </row>
    <row r="123" s="2" customFormat="1" ht="36" spans="1:15">
      <c r="A123" s="161">
        <v>3.2</v>
      </c>
      <c r="B123" s="119" t="s">
        <v>871</v>
      </c>
      <c r="C123" s="156" t="s">
        <v>872</v>
      </c>
      <c r="D123" s="119" t="s">
        <v>525</v>
      </c>
      <c r="E123" s="158">
        <v>1.89</v>
      </c>
      <c r="F123" s="170">
        <v>1500</v>
      </c>
      <c r="G123" s="160"/>
      <c r="H123" s="162">
        <f t="shared" ref="H123:H131" si="2">E123*F123</f>
        <v>2835</v>
      </c>
      <c r="I123" s="168" t="s">
        <v>861</v>
      </c>
      <c r="J123" s="150" t="s">
        <v>873</v>
      </c>
      <c r="K123" s="169"/>
      <c r="L123" s="150"/>
      <c r="N123" s="150"/>
      <c r="O123" s="150"/>
    </row>
    <row r="124" s="2" customFormat="1" ht="33.75" spans="1:15">
      <c r="A124" s="161">
        <v>3.3</v>
      </c>
      <c r="B124" s="10" t="s">
        <v>540</v>
      </c>
      <c r="C124" s="156" t="s">
        <v>874</v>
      </c>
      <c r="D124" s="157" t="s">
        <v>525</v>
      </c>
      <c r="E124" s="160">
        <v>1.89</v>
      </c>
      <c r="F124" s="162">
        <v>190</v>
      </c>
      <c r="G124" s="160">
        <v>135</v>
      </c>
      <c r="H124" s="162">
        <f t="shared" si="2"/>
        <v>359.1</v>
      </c>
      <c r="I124" s="168" t="s">
        <v>526</v>
      </c>
      <c r="J124" s="150"/>
      <c r="K124" s="169"/>
      <c r="L124" s="150"/>
      <c r="N124" s="150"/>
      <c r="O124" s="150"/>
    </row>
    <row r="125" s="2" customFormat="1" ht="45" spans="1:15">
      <c r="A125" s="161">
        <v>4</v>
      </c>
      <c r="B125" s="119" t="s">
        <v>875</v>
      </c>
      <c r="C125" s="156"/>
      <c r="D125" s="119"/>
      <c r="E125" s="158"/>
      <c r="F125" s="119"/>
      <c r="G125" s="160"/>
      <c r="H125" s="159"/>
      <c r="I125" s="168"/>
      <c r="J125" s="150"/>
      <c r="K125" s="169"/>
      <c r="L125" s="150"/>
      <c r="N125" s="150"/>
      <c r="O125" s="150"/>
    </row>
    <row r="126" s="2" customFormat="1" ht="90" spans="1:15">
      <c r="A126" s="161">
        <v>4.1</v>
      </c>
      <c r="B126" s="10" t="s">
        <v>527</v>
      </c>
      <c r="C126" s="156" t="s">
        <v>528</v>
      </c>
      <c r="D126" s="157" t="s">
        <v>525</v>
      </c>
      <c r="E126" s="158">
        <v>-44.14</v>
      </c>
      <c r="F126" s="162">
        <v>312.77</v>
      </c>
      <c r="G126" s="160">
        <v>269</v>
      </c>
      <c r="H126" s="159">
        <f t="shared" si="2"/>
        <v>-13805.67</v>
      </c>
      <c r="I126" s="168" t="s">
        <v>526</v>
      </c>
      <c r="J126" s="150"/>
      <c r="K126" s="169"/>
      <c r="L126" s="150"/>
      <c r="N126" s="150"/>
      <c r="O126" s="150"/>
    </row>
    <row r="127" s="2" customFormat="1" ht="56.25" spans="1:15">
      <c r="A127" s="161">
        <v>4.2</v>
      </c>
      <c r="B127" s="10" t="s">
        <v>876</v>
      </c>
      <c r="C127" s="156" t="s">
        <v>877</v>
      </c>
      <c r="D127" s="157" t="s">
        <v>525</v>
      </c>
      <c r="E127" s="158">
        <v>-23.5</v>
      </c>
      <c r="F127" s="162">
        <v>312.77</v>
      </c>
      <c r="G127" s="160">
        <v>269</v>
      </c>
      <c r="H127" s="159">
        <f t="shared" si="2"/>
        <v>-7350.1</v>
      </c>
      <c r="I127" s="168" t="s">
        <v>526</v>
      </c>
      <c r="J127" s="150"/>
      <c r="K127" s="169"/>
      <c r="L127" s="150"/>
      <c r="N127" s="150"/>
      <c r="O127" s="150"/>
    </row>
    <row r="128" s="2" customFormat="1" ht="78.75" spans="1:15">
      <c r="A128" s="161">
        <v>4.3</v>
      </c>
      <c r="B128" s="119" t="s">
        <v>878</v>
      </c>
      <c r="C128" s="156" t="s">
        <v>879</v>
      </c>
      <c r="D128" s="119" t="s">
        <v>525</v>
      </c>
      <c r="E128" s="158">
        <v>-15.52</v>
      </c>
      <c r="F128" s="119">
        <f>312+(10*2)*1.2</f>
        <v>336</v>
      </c>
      <c r="G128" s="160">
        <v>269</v>
      </c>
      <c r="H128" s="159">
        <f t="shared" si="2"/>
        <v>-5214.72</v>
      </c>
      <c r="I128" s="168" t="s">
        <v>526</v>
      </c>
      <c r="J128" s="150"/>
      <c r="K128" s="169"/>
      <c r="L128" s="150"/>
      <c r="N128" s="150"/>
      <c r="O128" s="150"/>
    </row>
    <row r="129" s="2" customFormat="1" ht="123.75" spans="1:15">
      <c r="A129" s="161">
        <v>4.4</v>
      </c>
      <c r="B129" s="10" t="s">
        <v>527</v>
      </c>
      <c r="C129" s="156" t="s">
        <v>880</v>
      </c>
      <c r="D129" s="157" t="s">
        <v>525</v>
      </c>
      <c r="E129" s="158">
        <v>44.14</v>
      </c>
      <c r="F129" s="162">
        <f>312.77+(10*2)*1.2</f>
        <v>336.77</v>
      </c>
      <c r="G129" s="160">
        <v>269</v>
      </c>
      <c r="H129" s="159">
        <f t="shared" si="2"/>
        <v>14865.03</v>
      </c>
      <c r="I129" s="168" t="s">
        <v>851</v>
      </c>
      <c r="J129" s="150"/>
      <c r="K129" s="169"/>
      <c r="L129" s="150"/>
      <c r="N129" s="150"/>
      <c r="O129" s="150"/>
    </row>
    <row r="130" s="2" customFormat="1" ht="123.75" spans="1:15">
      <c r="A130" s="161">
        <v>4.5</v>
      </c>
      <c r="B130" s="10" t="s">
        <v>876</v>
      </c>
      <c r="C130" s="156" t="s">
        <v>881</v>
      </c>
      <c r="D130" s="157" t="s">
        <v>525</v>
      </c>
      <c r="E130" s="158">
        <v>23.5</v>
      </c>
      <c r="F130" s="162">
        <f>312.77+(10*2)*1.2</f>
        <v>336.77</v>
      </c>
      <c r="G130" s="160">
        <v>269</v>
      </c>
      <c r="H130" s="159">
        <f t="shared" si="2"/>
        <v>7914.1</v>
      </c>
      <c r="I130" s="168" t="s">
        <v>851</v>
      </c>
      <c r="J130" s="150"/>
      <c r="K130" s="169"/>
      <c r="L130" s="150"/>
      <c r="N130" s="150"/>
      <c r="O130" s="150"/>
    </row>
    <row r="131" s="2" customFormat="1" ht="123.75" spans="1:15">
      <c r="A131" s="161">
        <v>4.6</v>
      </c>
      <c r="B131" s="119" t="s">
        <v>878</v>
      </c>
      <c r="C131" s="156" t="s">
        <v>882</v>
      </c>
      <c r="D131" s="119" t="s">
        <v>525</v>
      </c>
      <c r="E131" s="158">
        <v>15.52</v>
      </c>
      <c r="F131" s="119">
        <f>312+(10*2)*1.2</f>
        <v>336</v>
      </c>
      <c r="G131" s="160">
        <v>269</v>
      </c>
      <c r="H131" s="159">
        <f t="shared" si="2"/>
        <v>5214.72</v>
      </c>
      <c r="I131" s="168" t="s">
        <v>851</v>
      </c>
      <c r="J131" s="150"/>
      <c r="K131" s="169"/>
      <c r="L131" s="150"/>
      <c r="N131" s="150"/>
      <c r="O131" s="150"/>
    </row>
    <row r="132" s="2" customFormat="1" ht="45" spans="1:15">
      <c r="A132" s="161">
        <v>5</v>
      </c>
      <c r="B132" s="119" t="s">
        <v>883</v>
      </c>
      <c r="C132" s="156"/>
      <c r="D132" s="119"/>
      <c r="E132" s="158"/>
      <c r="F132" s="119"/>
      <c r="G132" s="160"/>
      <c r="H132" s="159"/>
      <c r="I132" s="168"/>
      <c r="J132" s="150"/>
      <c r="K132" s="169"/>
      <c r="L132" s="150"/>
      <c r="N132" s="150"/>
      <c r="O132" s="150"/>
    </row>
    <row r="133" s="2" customFormat="1" ht="45" spans="1:15">
      <c r="A133" s="161">
        <v>5.1</v>
      </c>
      <c r="B133" s="157" t="s">
        <v>866</v>
      </c>
      <c r="C133" s="156" t="s">
        <v>867</v>
      </c>
      <c r="D133" s="157" t="s">
        <v>525</v>
      </c>
      <c r="E133" s="158">
        <f>-(11.06*0.1*2*2+2.99*0.1*5*2)</f>
        <v>-7.41</v>
      </c>
      <c r="F133" s="162">
        <v>1700</v>
      </c>
      <c r="G133" s="160">
        <v>650</v>
      </c>
      <c r="H133" s="159">
        <f>E133*F133</f>
        <v>-12597</v>
      </c>
      <c r="I133" s="168" t="s">
        <v>526</v>
      </c>
      <c r="J133" s="150" t="s">
        <v>884</v>
      </c>
      <c r="K133" s="169"/>
      <c r="L133" s="150"/>
      <c r="N133" s="150"/>
      <c r="O133" s="150"/>
    </row>
    <row r="134" s="2" customFormat="1" ht="36" spans="1:15">
      <c r="A134" s="161">
        <v>6</v>
      </c>
      <c r="B134" s="119" t="s">
        <v>885</v>
      </c>
      <c r="C134" s="156"/>
      <c r="D134" s="119"/>
      <c r="E134" s="158"/>
      <c r="F134" s="119"/>
      <c r="G134" s="160"/>
      <c r="H134" s="159"/>
      <c r="I134" s="168"/>
      <c r="J134" s="150" t="s">
        <v>884</v>
      </c>
      <c r="K134" s="169"/>
      <c r="L134" s="150"/>
      <c r="N134" s="150"/>
      <c r="O134" s="150"/>
    </row>
    <row r="135" s="2" customFormat="1" ht="33.75" spans="1:15">
      <c r="A135" s="161">
        <v>6.1</v>
      </c>
      <c r="B135" s="10" t="s">
        <v>540</v>
      </c>
      <c r="C135" s="156" t="s">
        <v>874</v>
      </c>
      <c r="D135" s="157" t="s">
        <v>525</v>
      </c>
      <c r="E135" s="158">
        <f>-2.7*0.3</f>
        <v>-0.81</v>
      </c>
      <c r="F135" s="162">
        <v>190</v>
      </c>
      <c r="G135" s="160">
        <v>135</v>
      </c>
      <c r="H135" s="159">
        <f>E135*F135</f>
        <v>-153.9</v>
      </c>
      <c r="I135" s="168" t="s">
        <v>526</v>
      </c>
      <c r="J135" s="150"/>
      <c r="K135" s="169"/>
      <c r="L135" s="150"/>
      <c r="N135" s="150"/>
      <c r="O135" s="150"/>
    </row>
    <row r="136" s="2" customFormat="1" ht="56.25" spans="1:15">
      <c r="A136" s="161">
        <v>6.2</v>
      </c>
      <c r="B136" s="10" t="s">
        <v>876</v>
      </c>
      <c r="C136" s="156" t="s">
        <v>886</v>
      </c>
      <c r="D136" s="157" t="s">
        <v>525</v>
      </c>
      <c r="E136" s="160">
        <f>2.7*0.3</f>
        <v>0.81</v>
      </c>
      <c r="F136" s="162">
        <v>312.77</v>
      </c>
      <c r="G136" s="160">
        <v>269</v>
      </c>
      <c r="H136" s="162">
        <f>E136*F136</f>
        <v>253.34</v>
      </c>
      <c r="I136" s="168" t="s">
        <v>526</v>
      </c>
      <c r="J136" s="150"/>
      <c r="K136" s="169"/>
      <c r="L136" s="150"/>
      <c r="N136" s="150"/>
      <c r="O136" s="150"/>
    </row>
    <row r="137" s="2" customFormat="1" ht="22.5" spans="1:15">
      <c r="A137" s="161">
        <v>6.3</v>
      </c>
      <c r="B137" s="10" t="s">
        <v>864</v>
      </c>
      <c r="C137" s="156" t="s">
        <v>670</v>
      </c>
      <c r="D137" s="157" t="s">
        <v>531</v>
      </c>
      <c r="E137" s="158">
        <f>-0.45*(195.68-195.53)*12.25*2</f>
        <v>-1.65</v>
      </c>
      <c r="F137" s="162">
        <v>582</v>
      </c>
      <c r="G137" s="160">
        <v>407</v>
      </c>
      <c r="H137" s="159">
        <f>E137*F137</f>
        <v>-960.3</v>
      </c>
      <c r="I137" s="168" t="s">
        <v>526</v>
      </c>
      <c r="J137" s="150"/>
      <c r="K137" s="169"/>
      <c r="L137" s="150"/>
      <c r="N137" s="150"/>
      <c r="O137" s="150"/>
    </row>
    <row r="138" s="2" customFormat="1" ht="67.5" spans="1:15">
      <c r="A138" s="161">
        <v>6.4</v>
      </c>
      <c r="B138" s="119" t="s">
        <v>535</v>
      </c>
      <c r="C138" s="156" t="s">
        <v>536</v>
      </c>
      <c r="D138" s="119" t="s">
        <v>531</v>
      </c>
      <c r="E138" s="158">
        <f>-0.25*(195.68-195.53)*4.85</f>
        <v>-0.18</v>
      </c>
      <c r="F138" s="119">
        <v>908</v>
      </c>
      <c r="G138" s="160">
        <v>620</v>
      </c>
      <c r="H138" s="159">
        <f>E138*F138</f>
        <v>-163.44</v>
      </c>
      <c r="I138" s="168" t="s">
        <v>526</v>
      </c>
      <c r="J138" s="150"/>
      <c r="K138" s="169"/>
      <c r="L138" s="150"/>
      <c r="N138" s="150"/>
      <c r="O138" s="150"/>
    </row>
    <row r="139" s="2" customFormat="1" ht="45" spans="1:15">
      <c r="A139" s="161">
        <v>6.5</v>
      </c>
      <c r="B139" s="10" t="s">
        <v>658</v>
      </c>
      <c r="C139" s="156" t="s">
        <v>887</v>
      </c>
      <c r="D139" s="157" t="s">
        <v>525</v>
      </c>
      <c r="E139" s="158">
        <f>-(195.68-195.53)*4.85*2-(195.68-195.53)*12.25*2</f>
        <v>-5.13</v>
      </c>
      <c r="F139" s="162">
        <v>129</v>
      </c>
      <c r="G139" s="160">
        <v>85</v>
      </c>
      <c r="H139" s="159">
        <f>E139*F139</f>
        <v>-661.77</v>
      </c>
      <c r="I139" s="168" t="s">
        <v>526</v>
      </c>
      <c r="J139" s="150"/>
      <c r="K139" s="169"/>
      <c r="L139" s="150"/>
      <c r="N139" s="150"/>
      <c r="O139" s="150"/>
    </row>
    <row r="140" s="2" customFormat="1" ht="33.75" spans="1:15">
      <c r="A140" s="161">
        <v>7</v>
      </c>
      <c r="B140" s="119" t="s">
        <v>888</v>
      </c>
      <c r="C140" s="156"/>
      <c r="D140" s="119"/>
      <c r="E140" s="158"/>
      <c r="F140" s="119"/>
      <c r="G140" s="160"/>
      <c r="H140" s="159"/>
      <c r="I140" s="168"/>
      <c r="J140" s="150"/>
      <c r="K140" s="169"/>
      <c r="L140" s="150"/>
      <c r="N140" s="150"/>
      <c r="O140" s="150"/>
    </row>
    <row r="141" s="2" customFormat="1" ht="45" spans="1:10">
      <c r="A141" s="161">
        <v>7.1</v>
      </c>
      <c r="B141" s="10" t="s">
        <v>889</v>
      </c>
      <c r="C141" s="156" t="s">
        <v>890</v>
      </c>
      <c r="D141" s="157" t="s">
        <v>525</v>
      </c>
      <c r="E141" s="158">
        <v>-4.48</v>
      </c>
      <c r="F141" s="119">
        <v>1565.33</v>
      </c>
      <c r="G141" s="160"/>
      <c r="H141" s="159">
        <f>E141*F141</f>
        <v>-7012.68</v>
      </c>
      <c r="I141" s="168" t="s">
        <v>526</v>
      </c>
      <c r="J141" s="146"/>
    </row>
    <row r="142" s="2" customFormat="1" ht="45" spans="1:15">
      <c r="A142" s="161">
        <v>7.2</v>
      </c>
      <c r="B142" s="10" t="s">
        <v>808</v>
      </c>
      <c r="C142" s="156" t="s">
        <v>891</v>
      </c>
      <c r="D142" s="157" t="s">
        <v>525</v>
      </c>
      <c r="E142" s="158">
        <f>-(3+1.8)*2*0.1</f>
        <v>-0.96</v>
      </c>
      <c r="F142" s="162">
        <v>210</v>
      </c>
      <c r="G142" s="160">
        <v>165</v>
      </c>
      <c r="H142" s="159">
        <f>E142*F142</f>
        <v>-201.6</v>
      </c>
      <c r="I142" s="168" t="s">
        <v>526</v>
      </c>
      <c r="J142" s="150"/>
      <c r="K142" s="169"/>
      <c r="L142" s="150"/>
      <c r="N142" s="150"/>
      <c r="O142" s="150"/>
    </row>
    <row r="143" s="2" customFormat="1" ht="33.75" spans="1:15">
      <c r="A143" s="161">
        <v>7.3</v>
      </c>
      <c r="B143" s="10" t="s">
        <v>540</v>
      </c>
      <c r="C143" s="156" t="s">
        <v>874</v>
      </c>
      <c r="D143" s="157" t="s">
        <v>525</v>
      </c>
      <c r="E143" s="160">
        <f>4.48+0.96</f>
        <v>5.44</v>
      </c>
      <c r="F143" s="162">
        <v>190</v>
      </c>
      <c r="G143" s="160">
        <v>135</v>
      </c>
      <c r="H143" s="162">
        <f>E143*F143</f>
        <v>1033.6</v>
      </c>
      <c r="I143" s="168" t="s">
        <v>526</v>
      </c>
      <c r="J143" s="150"/>
      <c r="K143" s="169"/>
      <c r="L143" s="150"/>
      <c r="N143" s="150"/>
      <c r="O143" s="150"/>
    </row>
    <row r="144" spans="1:9">
      <c r="A144" s="161" t="s">
        <v>455</v>
      </c>
      <c r="B144" s="10" t="s">
        <v>892</v>
      </c>
      <c r="C144" s="156"/>
      <c r="D144" s="157"/>
      <c r="E144" s="158"/>
      <c r="F144" s="159"/>
      <c r="G144" s="158"/>
      <c r="H144" s="159">
        <f>SUM(H145:H146)</f>
        <v>30920.01</v>
      </c>
      <c r="I144" s="176"/>
    </row>
    <row r="145" ht="56.25" spans="1:9">
      <c r="A145" s="161">
        <v>1</v>
      </c>
      <c r="B145" s="10" t="s">
        <v>741</v>
      </c>
      <c r="C145" s="156" t="s">
        <v>893</v>
      </c>
      <c r="D145" s="157" t="s">
        <v>743</v>
      </c>
      <c r="E145" s="158">
        <v>-7</v>
      </c>
      <c r="F145" s="162">
        <v>1440</v>
      </c>
      <c r="G145" s="160">
        <v>850</v>
      </c>
      <c r="H145" s="159">
        <f>E145*F145</f>
        <v>-10080</v>
      </c>
      <c r="I145" s="168" t="s">
        <v>526</v>
      </c>
    </row>
    <row r="146" ht="56.25" spans="1:9">
      <c r="A146" s="161">
        <v>2</v>
      </c>
      <c r="B146" s="10" t="s">
        <v>894</v>
      </c>
      <c r="C146" s="156" t="s">
        <v>895</v>
      </c>
      <c r="D146" s="157" t="s">
        <v>743</v>
      </c>
      <c r="E146" s="158">
        <v>7</v>
      </c>
      <c r="F146" s="159">
        <f>H146/E146</f>
        <v>5857.14</v>
      </c>
      <c r="G146" s="158"/>
      <c r="H146" s="159">
        <f>4061.32+4351.42+5028.3+4834.91+6285.38+7735.85+8702.83</f>
        <v>41000.01</v>
      </c>
      <c r="I146" s="176" t="s">
        <v>896</v>
      </c>
    </row>
    <row r="147" ht="23.25" spans="1:9">
      <c r="A147" s="171" t="s">
        <v>461</v>
      </c>
      <c r="B147" s="172" t="s">
        <v>897</v>
      </c>
      <c r="C147" s="173"/>
      <c r="D147" s="174"/>
      <c r="E147" s="175"/>
      <c r="F147" s="174"/>
      <c r="G147" s="174"/>
      <c r="H147" s="175">
        <f>H4+H26+H112+H144</f>
        <v>-502346.77</v>
      </c>
      <c r="I147" s="177"/>
    </row>
  </sheetData>
  <autoFilter ref="A3:O147">
    <extLst/>
  </autoFilter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errorTitle="温馨提示" error="您确定要输入单位吗？" sqref="D104 D105 D106 D115 D117 D107:D108 D109:D110" errorStyle="warning">
      <formula1>"m,m2,m3,t,kg,个,套,块,台,项,座,根,樘,10m,10m2,10m3,m3,m3,株"</formula1>
    </dataValidation>
  </dataValidations>
  <printOptions horizontalCentered="1"/>
  <pageMargins left="0.118055555555556" right="0.118055555555556" top="0.196527777777778" bottom="0.0784722222222222" header="0.5" footer="0.0388888888888889"/>
  <pageSetup paperSize="9" orientation="portrait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34"/>
  <sheetViews>
    <sheetView workbookViewId="0">
      <pane xSplit="6" ySplit="3" topLeftCell="G124" activePane="bottomRight" state="frozen"/>
      <selection/>
      <selection pane="topRight"/>
      <selection pane="bottomLeft"/>
      <selection pane="bottomRight" activeCell="F2" sqref="F2:F3"/>
    </sheetView>
  </sheetViews>
  <sheetFormatPr defaultColWidth="8.125" defaultRowHeight="11.25"/>
  <cols>
    <col min="1" max="1" width="4.85" style="101" customWidth="1"/>
    <col min="2" max="2" width="8.875" style="101" customWidth="1"/>
    <col min="3" max="3" width="5.375" style="101" customWidth="1"/>
    <col min="4" max="4" width="6.25" style="106" customWidth="1"/>
    <col min="5" max="5" width="7.125" style="107" customWidth="1"/>
    <col min="6" max="6" width="9.5" style="106" customWidth="1"/>
    <col min="7" max="7" width="6.25" style="101" customWidth="1"/>
    <col min="8" max="8" width="8" style="101" customWidth="1"/>
    <col min="9" max="9" width="6.625" style="101" customWidth="1"/>
    <col min="10" max="10" width="8.875" style="101" customWidth="1"/>
    <col min="11" max="11" width="7.25" style="101" customWidth="1"/>
    <col min="12" max="12" width="8.625" style="108" customWidth="1"/>
    <col min="13" max="13" width="23.5" style="108" customWidth="1"/>
    <col min="14" max="16" width="12.625" style="101" customWidth="1"/>
    <col min="17" max="248" width="8.125" style="101"/>
    <col min="249" max="16384" width="8.125" style="104"/>
  </cols>
  <sheetData>
    <row r="1" s="101" customFormat="1" ht="12" spans="1:13">
      <c r="A1" s="109" t="s">
        <v>898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08"/>
    </row>
    <row r="2" s="102" customFormat="1" spans="1:13">
      <c r="A2" s="111" t="s">
        <v>1</v>
      </c>
      <c r="B2" s="112" t="s">
        <v>370</v>
      </c>
      <c r="C2" s="112" t="s">
        <v>517</v>
      </c>
      <c r="D2" s="113" t="s">
        <v>518</v>
      </c>
      <c r="E2" s="113" t="s">
        <v>899</v>
      </c>
      <c r="F2" s="113" t="s">
        <v>900</v>
      </c>
      <c r="G2" s="112" t="s">
        <v>901</v>
      </c>
      <c r="H2" s="112"/>
      <c r="I2" s="112"/>
      <c r="J2" s="112"/>
      <c r="K2" s="112" t="s">
        <v>374</v>
      </c>
      <c r="L2" s="126" t="s">
        <v>902</v>
      </c>
      <c r="M2" s="127"/>
    </row>
    <row r="3" s="102" customFormat="1" ht="22.5" spans="1:13">
      <c r="A3" s="114"/>
      <c r="B3" s="115"/>
      <c r="C3" s="115"/>
      <c r="D3" s="116"/>
      <c r="E3" s="116"/>
      <c r="F3" s="116"/>
      <c r="G3" s="115" t="s">
        <v>903</v>
      </c>
      <c r="H3" s="115" t="s">
        <v>904</v>
      </c>
      <c r="I3" s="115" t="s">
        <v>905</v>
      </c>
      <c r="J3" s="115" t="s">
        <v>906</v>
      </c>
      <c r="K3" s="115"/>
      <c r="L3" s="128"/>
      <c r="M3" s="127"/>
    </row>
    <row r="4" s="102" customFormat="1" spans="1:13">
      <c r="A4" s="114" t="s">
        <v>907</v>
      </c>
      <c r="B4" s="115"/>
      <c r="C4" s="115"/>
      <c r="D4" s="116"/>
      <c r="E4" s="116"/>
      <c r="F4" s="116">
        <f>SUM(F5:F48)</f>
        <v>579923.66</v>
      </c>
      <c r="G4" s="115"/>
      <c r="H4" s="115"/>
      <c r="I4" s="115"/>
      <c r="J4" s="115"/>
      <c r="K4" s="115"/>
      <c r="L4" s="128"/>
      <c r="M4" s="127"/>
    </row>
    <row r="5" s="101" customFormat="1" ht="56.25" outlineLevel="1" spans="1:13">
      <c r="A5" s="117">
        <v>1</v>
      </c>
      <c r="B5" s="118" t="s">
        <v>908</v>
      </c>
      <c r="C5" s="118" t="s">
        <v>909</v>
      </c>
      <c r="D5" s="119">
        <v>2</v>
      </c>
      <c r="E5" s="120">
        <v>21000</v>
      </c>
      <c r="F5" s="119">
        <f>E5*D5</f>
        <v>42000</v>
      </c>
      <c r="G5" s="118" t="s">
        <v>910</v>
      </c>
      <c r="H5" s="121" t="s">
        <v>911</v>
      </c>
      <c r="I5" s="121" t="s">
        <v>912</v>
      </c>
      <c r="J5" s="118" t="s">
        <v>913</v>
      </c>
      <c r="K5" s="118" t="s">
        <v>914</v>
      </c>
      <c r="L5" s="129"/>
      <c r="M5" s="108"/>
    </row>
    <row r="6" s="101" customFormat="1" ht="78.75" outlineLevel="1" spans="1:13">
      <c r="A6" s="117">
        <v>2</v>
      </c>
      <c r="B6" s="118" t="s">
        <v>915</v>
      </c>
      <c r="C6" s="118" t="s">
        <v>909</v>
      </c>
      <c r="D6" s="119">
        <v>3</v>
      </c>
      <c r="E6" s="120">
        <v>26000</v>
      </c>
      <c r="F6" s="119">
        <f t="shared" ref="F6:F48" si="0">E6*D6</f>
        <v>78000</v>
      </c>
      <c r="G6" s="118" t="s">
        <v>916</v>
      </c>
      <c r="H6" s="118" t="s">
        <v>911</v>
      </c>
      <c r="I6" s="118" t="s">
        <v>917</v>
      </c>
      <c r="J6" s="118" t="s">
        <v>918</v>
      </c>
      <c r="K6" s="118" t="s">
        <v>919</v>
      </c>
      <c r="L6" s="129"/>
      <c r="M6" s="108"/>
    </row>
    <row r="7" s="101" customFormat="1" ht="56.25" outlineLevel="1" spans="1:13">
      <c r="A7" s="117">
        <v>3</v>
      </c>
      <c r="B7" s="118" t="s">
        <v>920</v>
      </c>
      <c r="C7" s="118" t="s">
        <v>909</v>
      </c>
      <c r="D7" s="119">
        <v>2</v>
      </c>
      <c r="E7" s="120">
        <v>16000</v>
      </c>
      <c r="F7" s="119">
        <f t="shared" si="0"/>
        <v>32000</v>
      </c>
      <c r="G7" s="118">
        <v>28</v>
      </c>
      <c r="H7" s="121" t="s">
        <v>921</v>
      </c>
      <c r="I7" s="118" t="s">
        <v>912</v>
      </c>
      <c r="J7" s="118" t="s">
        <v>913</v>
      </c>
      <c r="K7" s="118" t="s">
        <v>914</v>
      </c>
      <c r="L7" s="129"/>
      <c r="M7" s="108"/>
    </row>
    <row r="8" s="101" customFormat="1" ht="56.25" outlineLevel="1" spans="1:13">
      <c r="A8" s="117">
        <v>4</v>
      </c>
      <c r="B8" s="118" t="s">
        <v>922</v>
      </c>
      <c r="C8" s="118" t="s">
        <v>909</v>
      </c>
      <c r="D8" s="119">
        <v>2</v>
      </c>
      <c r="E8" s="120">
        <f>5500</f>
        <v>5500</v>
      </c>
      <c r="F8" s="119">
        <f t="shared" si="0"/>
        <v>11000</v>
      </c>
      <c r="G8" s="118">
        <v>20</v>
      </c>
      <c r="H8" s="118" t="s">
        <v>923</v>
      </c>
      <c r="I8" s="118" t="s">
        <v>924</v>
      </c>
      <c r="J8" s="118" t="s">
        <v>925</v>
      </c>
      <c r="K8" s="118" t="s">
        <v>914</v>
      </c>
      <c r="L8" s="129"/>
      <c r="M8" s="108"/>
    </row>
    <row r="9" s="101" customFormat="1" ht="56.25" outlineLevel="1" spans="1:16">
      <c r="A9" s="117">
        <v>5</v>
      </c>
      <c r="B9" s="118" t="s">
        <v>922</v>
      </c>
      <c r="C9" s="118" t="s">
        <v>909</v>
      </c>
      <c r="D9" s="119">
        <v>2</v>
      </c>
      <c r="E9" s="122">
        <f>5500*0+(20/20*0.2+7.5/7.5*0.3+4/4.5*0.5)*5500*0.85</f>
        <v>4415.28</v>
      </c>
      <c r="F9" s="119">
        <f t="shared" si="0"/>
        <v>8830.56</v>
      </c>
      <c r="G9" s="118">
        <v>20</v>
      </c>
      <c r="H9" s="118" t="s">
        <v>923</v>
      </c>
      <c r="I9" s="123" t="s">
        <v>926</v>
      </c>
      <c r="J9" s="118" t="s">
        <v>925</v>
      </c>
      <c r="K9" s="118" t="s">
        <v>914</v>
      </c>
      <c r="L9" s="129" t="s">
        <v>927</v>
      </c>
      <c r="M9" s="108"/>
      <c r="N9" s="101">
        <f>(20/20*0.2+7.5/7.5*0.3+4/4.5*0.5)*5500*0.85</f>
        <v>4415.27777777778</v>
      </c>
      <c r="O9" s="101">
        <f>(20/20*0.2+7.5/7.5*0.3+4.25/4.75*0.5)*5500*0.85</f>
        <v>4428.94736842105</v>
      </c>
      <c r="P9" s="101">
        <f>(20/20*0.2+7.5/7.5*0.3+4.5/5*0.5)*5500*0.85</f>
        <v>4441.25</v>
      </c>
    </row>
    <row r="10" s="101" customFormat="1" ht="45" outlineLevel="1" spans="1:253">
      <c r="A10" s="117">
        <v>6</v>
      </c>
      <c r="B10" s="118" t="s">
        <v>928</v>
      </c>
      <c r="C10" s="118" t="s">
        <v>909</v>
      </c>
      <c r="D10" s="119">
        <f>4+2</f>
        <v>6</v>
      </c>
      <c r="E10" s="120">
        <v>8400</v>
      </c>
      <c r="F10" s="119">
        <f t="shared" si="0"/>
        <v>50400</v>
      </c>
      <c r="G10" s="118">
        <v>25</v>
      </c>
      <c r="H10" s="121" t="s">
        <v>929</v>
      </c>
      <c r="I10" s="118" t="s">
        <v>924</v>
      </c>
      <c r="J10" s="118" t="s">
        <v>930</v>
      </c>
      <c r="K10" s="118" t="s">
        <v>931</v>
      </c>
      <c r="L10" s="129"/>
      <c r="M10" s="108" t="s">
        <v>932</v>
      </c>
      <c r="IO10" s="104"/>
      <c r="IP10" s="104"/>
      <c r="IQ10" s="104"/>
      <c r="IR10" s="104"/>
      <c r="IS10" s="104"/>
    </row>
    <row r="11" s="101" customFormat="1" ht="45" outlineLevel="1" spans="1:13">
      <c r="A11" s="117">
        <v>7</v>
      </c>
      <c r="B11" s="118" t="s">
        <v>933</v>
      </c>
      <c r="C11" s="118" t="s">
        <v>909</v>
      </c>
      <c r="D11" s="119">
        <v>2</v>
      </c>
      <c r="E11" s="120">
        <v>3285</v>
      </c>
      <c r="F11" s="119">
        <f t="shared" si="0"/>
        <v>6570</v>
      </c>
      <c r="G11" s="118">
        <v>15</v>
      </c>
      <c r="H11" s="121" t="s">
        <v>934</v>
      </c>
      <c r="I11" s="118" t="s">
        <v>935</v>
      </c>
      <c r="J11" s="118" t="s">
        <v>936</v>
      </c>
      <c r="K11" s="118" t="s">
        <v>931</v>
      </c>
      <c r="L11" s="129"/>
      <c r="M11" s="108"/>
    </row>
    <row r="12" s="101" customFormat="1" ht="45" outlineLevel="1" spans="1:13">
      <c r="A12" s="117">
        <v>8</v>
      </c>
      <c r="B12" s="118" t="s">
        <v>937</v>
      </c>
      <c r="C12" s="118" t="s">
        <v>909</v>
      </c>
      <c r="D12" s="119">
        <v>14</v>
      </c>
      <c r="E12" s="122">
        <v>6000</v>
      </c>
      <c r="F12" s="119">
        <f t="shared" si="0"/>
        <v>84000</v>
      </c>
      <c r="G12" s="118" t="s">
        <v>938</v>
      </c>
      <c r="H12" s="118" t="s">
        <v>939</v>
      </c>
      <c r="I12" s="118">
        <v>3.5</v>
      </c>
      <c r="J12" s="118" t="s">
        <v>940</v>
      </c>
      <c r="K12" s="118" t="s">
        <v>941</v>
      </c>
      <c r="L12" s="129" t="s">
        <v>686</v>
      </c>
      <c r="M12" s="108"/>
    </row>
    <row r="13" s="101" customFormat="1" ht="45" outlineLevel="1" spans="1:13">
      <c r="A13" s="117">
        <v>9</v>
      </c>
      <c r="B13" s="118" t="s">
        <v>937</v>
      </c>
      <c r="C13" s="118" t="s">
        <v>909</v>
      </c>
      <c r="D13" s="119">
        <v>1</v>
      </c>
      <c r="E13" s="122">
        <v>6000</v>
      </c>
      <c r="F13" s="119">
        <f t="shared" si="0"/>
        <v>6000</v>
      </c>
      <c r="G13" s="118" t="s">
        <v>938</v>
      </c>
      <c r="H13" s="118" t="s">
        <v>939</v>
      </c>
      <c r="I13" s="118">
        <v>3.3</v>
      </c>
      <c r="J13" s="118" t="s">
        <v>940</v>
      </c>
      <c r="K13" s="118" t="s">
        <v>941</v>
      </c>
      <c r="L13" s="129" t="s">
        <v>686</v>
      </c>
      <c r="M13" s="108"/>
    </row>
    <row r="14" s="101" customFormat="1" ht="45" outlineLevel="1" spans="1:13">
      <c r="A14" s="117">
        <v>10</v>
      </c>
      <c r="B14" s="118" t="s">
        <v>937</v>
      </c>
      <c r="C14" s="118" t="s">
        <v>909</v>
      </c>
      <c r="D14" s="119">
        <v>1</v>
      </c>
      <c r="E14" s="122">
        <v>6000</v>
      </c>
      <c r="F14" s="119">
        <f t="shared" si="0"/>
        <v>6000</v>
      </c>
      <c r="G14" s="118" t="s">
        <v>938</v>
      </c>
      <c r="H14" s="118" t="s">
        <v>939</v>
      </c>
      <c r="I14" s="118">
        <v>3</v>
      </c>
      <c r="J14" s="118" t="s">
        <v>940</v>
      </c>
      <c r="K14" s="118" t="s">
        <v>941</v>
      </c>
      <c r="L14" s="129" t="s">
        <v>686</v>
      </c>
      <c r="M14" s="108"/>
    </row>
    <row r="15" s="101" customFormat="1" ht="67.5" outlineLevel="1" spans="1:13">
      <c r="A15" s="117">
        <v>11</v>
      </c>
      <c r="B15" s="118" t="s">
        <v>942</v>
      </c>
      <c r="C15" s="118" t="s">
        <v>909</v>
      </c>
      <c r="D15" s="119">
        <v>5</v>
      </c>
      <c r="E15" s="120">
        <v>2336</v>
      </c>
      <c r="F15" s="119">
        <f t="shared" si="0"/>
        <v>11680</v>
      </c>
      <c r="G15" s="118" t="s">
        <v>943</v>
      </c>
      <c r="H15" s="121" t="s">
        <v>944</v>
      </c>
      <c r="I15" s="118">
        <v>3.5</v>
      </c>
      <c r="J15" s="118" t="s">
        <v>945</v>
      </c>
      <c r="K15" s="118" t="s">
        <v>946</v>
      </c>
      <c r="L15" s="129"/>
      <c r="M15" s="108"/>
    </row>
    <row r="16" s="101" customFormat="1" ht="45" outlineLevel="1" spans="1:253">
      <c r="A16" s="117">
        <v>12</v>
      </c>
      <c r="B16" s="118" t="s">
        <v>947</v>
      </c>
      <c r="C16" s="118" t="s">
        <v>909</v>
      </c>
      <c r="D16" s="119">
        <v>5</v>
      </c>
      <c r="E16" s="122">
        <v>4000</v>
      </c>
      <c r="F16" s="119">
        <f t="shared" si="0"/>
        <v>20000</v>
      </c>
      <c r="G16" s="118" t="s">
        <v>948</v>
      </c>
      <c r="H16" s="118" t="s">
        <v>944</v>
      </c>
      <c r="I16" s="130">
        <v>3.5</v>
      </c>
      <c r="J16" s="118" t="s">
        <v>945</v>
      </c>
      <c r="K16" s="118" t="s">
        <v>931</v>
      </c>
      <c r="L16" s="129" t="s">
        <v>686</v>
      </c>
      <c r="M16" s="131" t="s">
        <v>949</v>
      </c>
      <c r="N16" s="132"/>
      <c r="IO16" s="135"/>
      <c r="IP16" s="135"/>
      <c r="IQ16" s="135"/>
      <c r="IR16" s="135"/>
      <c r="IS16" s="135"/>
    </row>
    <row r="17" s="101" customFormat="1" ht="45" outlineLevel="1" spans="1:253">
      <c r="A17" s="117">
        <v>13</v>
      </c>
      <c r="B17" s="118" t="s">
        <v>947</v>
      </c>
      <c r="C17" s="118" t="s">
        <v>909</v>
      </c>
      <c r="D17" s="119">
        <v>1</v>
      </c>
      <c r="E17" s="122">
        <v>4000</v>
      </c>
      <c r="F17" s="119">
        <f t="shared" si="0"/>
        <v>4000</v>
      </c>
      <c r="G17" s="118" t="s">
        <v>948</v>
      </c>
      <c r="H17" s="118" t="s">
        <v>944</v>
      </c>
      <c r="I17" s="133">
        <v>3.2</v>
      </c>
      <c r="J17" s="118" t="s">
        <v>945</v>
      </c>
      <c r="K17" s="118" t="s">
        <v>931</v>
      </c>
      <c r="L17" s="129" t="s">
        <v>686</v>
      </c>
      <c r="M17" s="131"/>
      <c r="N17" s="132"/>
      <c r="IO17" s="135"/>
      <c r="IP17" s="135"/>
      <c r="IQ17" s="135"/>
      <c r="IR17" s="135"/>
      <c r="IS17" s="135"/>
    </row>
    <row r="18" s="101" customFormat="1" ht="45" outlineLevel="1" spans="1:253">
      <c r="A18" s="117">
        <v>14</v>
      </c>
      <c r="B18" s="118" t="s">
        <v>950</v>
      </c>
      <c r="C18" s="118" t="s">
        <v>909</v>
      </c>
      <c r="D18" s="119">
        <f>4+2</f>
        <v>6</v>
      </c>
      <c r="E18" s="120">
        <v>1350</v>
      </c>
      <c r="F18" s="119">
        <f t="shared" si="0"/>
        <v>8100</v>
      </c>
      <c r="G18" s="118" t="s">
        <v>951</v>
      </c>
      <c r="H18" s="118" t="s">
        <v>952</v>
      </c>
      <c r="I18" s="130">
        <v>3</v>
      </c>
      <c r="J18" s="118" t="s">
        <v>945</v>
      </c>
      <c r="K18" s="118" t="s">
        <v>931</v>
      </c>
      <c r="L18" s="129"/>
      <c r="M18" s="108" t="s">
        <v>953</v>
      </c>
      <c r="IO18" s="104"/>
      <c r="IP18" s="104"/>
      <c r="IQ18" s="104"/>
      <c r="IR18" s="104"/>
      <c r="IS18" s="104"/>
    </row>
    <row r="19" s="101" customFormat="1" ht="56.25" outlineLevel="1" spans="1:13">
      <c r="A19" s="117">
        <v>15</v>
      </c>
      <c r="B19" s="118" t="s">
        <v>954</v>
      </c>
      <c r="C19" s="118" t="s">
        <v>909</v>
      </c>
      <c r="D19" s="119">
        <v>4</v>
      </c>
      <c r="E19" s="120">
        <v>840</v>
      </c>
      <c r="F19" s="119">
        <f t="shared" si="0"/>
        <v>3360</v>
      </c>
      <c r="G19" s="118" t="s">
        <v>918</v>
      </c>
      <c r="H19" s="118" t="s">
        <v>939</v>
      </c>
      <c r="I19" s="118">
        <v>3.5</v>
      </c>
      <c r="J19" s="118" t="s">
        <v>918</v>
      </c>
      <c r="K19" s="118" t="s">
        <v>955</v>
      </c>
      <c r="L19" s="129"/>
      <c r="M19" s="108"/>
    </row>
    <row r="20" s="101" customFormat="1" ht="67.5" outlineLevel="1" spans="1:13">
      <c r="A20" s="117">
        <v>16</v>
      </c>
      <c r="B20" s="118" t="s">
        <v>956</v>
      </c>
      <c r="C20" s="118" t="s">
        <v>909</v>
      </c>
      <c r="D20" s="119">
        <v>3</v>
      </c>
      <c r="E20" s="120">
        <v>1200</v>
      </c>
      <c r="F20" s="119">
        <f t="shared" si="0"/>
        <v>3600</v>
      </c>
      <c r="G20" s="118" t="s">
        <v>957</v>
      </c>
      <c r="H20" s="118" t="s">
        <v>958</v>
      </c>
      <c r="I20" s="118" t="s">
        <v>959</v>
      </c>
      <c r="J20" s="118" t="s">
        <v>960</v>
      </c>
      <c r="K20" s="118" t="s">
        <v>961</v>
      </c>
      <c r="L20" s="129"/>
      <c r="M20" s="108"/>
    </row>
    <row r="21" s="101" customFormat="1" ht="67.5" outlineLevel="1" spans="1:16">
      <c r="A21" s="117">
        <v>17</v>
      </c>
      <c r="B21" s="118" t="s">
        <v>962</v>
      </c>
      <c r="C21" s="118" t="s">
        <v>909</v>
      </c>
      <c r="D21" s="119">
        <v>2</v>
      </c>
      <c r="E21" s="120">
        <v>650</v>
      </c>
      <c r="F21" s="119">
        <f t="shared" si="0"/>
        <v>1300</v>
      </c>
      <c r="G21" s="118" t="s">
        <v>918</v>
      </c>
      <c r="H21" s="118" t="s">
        <v>963</v>
      </c>
      <c r="I21" s="130">
        <v>3</v>
      </c>
      <c r="J21" s="118" t="s">
        <v>918</v>
      </c>
      <c r="K21" s="118" t="s">
        <v>964</v>
      </c>
      <c r="L21" s="129"/>
      <c r="M21" s="108"/>
      <c r="N21" s="101">
        <f>(1*0.2+2.1/3*0.3+3/3*0.5)*650*0.85</f>
        <v>502.775</v>
      </c>
      <c r="O21" s="101">
        <f>(1*0.2+2.1/3.5*0.3+3/3*0.5)*650*0.85</f>
        <v>486.2</v>
      </c>
      <c r="P21" s="101">
        <f>(1*0.2+2.1/3.25*0.3+3/3*0.5)*650*0.85</f>
        <v>493.85</v>
      </c>
    </row>
    <row r="22" s="101" customFormat="1" ht="56.25" outlineLevel="1" spans="1:13">
      <c r="A22" s="117">
        <v>18</v>
      </c>
      <c r="B22" s="118" t="s">
        <v>965</v>
      </c>
      <c r="C22" s="118" t="s">
        <v>909</v>
      </c>
      <c r="D22" s="119">
        <v>1</v>
      </c>
      <c r="E22" s="122">
        <v>400</v>
      </c>
      <c r="F22" s="119">
        <f t="shared" si="0"/>
        <v>400</v>
      </c>
      <c r="G22" s="118" t="s">
        <v>918</v>
      </c>
      <c r="H22" s="118">
        <v>2.4</v>
      </c>
      <c r="I22" s="130">
        <v>3</v>
      </c>
      <c r="J22" s="118" t="s">
        <v>918</v>
      </c>
      <c r="K22" s="118" t="s">
        <v>966</v>
      </c>
      <c r="L22" s="129" t="s">
        <v>967</v>
      </c>
      <c r="M22" s="108"/>
    </row>
    <row r="23" s="101" customFormat="1" ht="67.5" outlineLevel="1" spans="1:16">
      <c r="A23" s="117">
        <v>19</v>
      </c>
      <c r="B23" s="118" t="s">
        <v>968</v>
      </c>
      <c r="C23" s="118" t="s">
        <v>909</v>
      </c>
      <c r="D23" s="119">
        <v>1</v>
      </c>
      <c r="E23" s="122">
        <f>400*0+(1*0.2+2.1/2.5*0.3+3/2.5*0.5)*400*0.85</f>
        <v>357.68</v>
      </c>
      <c r="F23" s="119">
        <f t="shared" si="0"/>
        <v>357.68</v>
      </c>
      <c r="G23" s="118" t="s">
        <v>918</v>
      </c>
      <c r="H23" s="123">
        <v>2.1</v>
      </c>
      <c r="I23" s="118">
        <v>2.5</v>
      </c>
      <c r="J23" s="118" t="s">
        <v>918</v>
      </c>
      <c r="K23" s="118" t="s">
        <v>964</v>
      </c>
      <c r="L23" s="129" t="s">
        <v>969</v>
      </c>
      <c r="M23" s="108"/>
      <c r="N23" s="101">
        <f>(1*0.2+2.1/2.2*0.3+3/2.5*0.5)*400*0.85</f>
        <v>369.363636363636</v>
      </c>
      <c r="O23" s="101">
        <f>(1*0.2+2.1/2.5*0.3+3/2.5*0.5)*400*0.85</f>
        <v>357.68</v>
      </c>
      <c r="P23" s="101">
        <f>(1*0.2+2.1/2.35*0.3+3/2.5*0.5)*400*0.85</f>
        <v>363.148936170213</v>
      </c>
    </row>
    <row r="24" s="101" customFormat="1" ht="67.5" outlineLevel="1" spans="1:13">
      <c r="A24" s="117">
        <v>20</v>
      </c>
      <c r="B24" s="118" t="s">
        <v>970</v>
      </c>
      <c r="C24" s="118" t="s">
        <v>909</v>
      </c>
      <c r="D24" s="119">
        <v>4</v>
      </c>
      <c r="E24" s="120">
        <v>900</v>
      </c>
      <c r="F24" s="119">
        <f t="shared" si="0"/>
        <v>3600</v>
      </c>
      <c r="G24" s="118" t="s">
        <v>918</v>
      </c>
      <c r="H24" s="118" t="s">
        <v>971</v>
      </c>
      <c r="I24" s="118">
        <v>2.5</v>
      </c>
      <c r="J24" s="118" t="s">
        <v>918</v>
      </c>
      <c r="K24" s="118" t="s">
        <v>972</v>
      </c>
      <c r="L24" s="129"/>
      <c r="M24" s="131" t="s">
        <v>973</v>
      </c>
    </row>
    <row r="25" s="101" customFormat="1" ht="67.5" outlineLevel="1" spans="1:13">
      <c r="A25" s="117">
        <v>21</v>
      </c>
      <c r="B25" s="118" t="s">
        <v>970</v>
      </c>
      <c r="C25" s="118" t="s">
        <v>909</v>
      </c>
      <c r="D25" s="119">
        <v>1</v>
      </c>
      <c r="E25" s="122">
        <f t="shared" ref="E25:E27" si="1">900*0+(1*0.2+1*0.3+2/2.5*0.5)*900*0.85</f>
        <v>688.5</v>
      </c>
      <c r="F25" s="119">
        <f t="shared" si="0"/>
        <v>688.5</v>
      </c>
      <c r="G25" s="118" t="s">
        <v>918</v>
      </c>
      <c r="H25" s="118" t="s">
        <v>971</v>
      </c>
      <c r="I25" s="123">
        <v>2</v>
      </c>
      <c r="J25" s="118" t="s">
        <v>918</v>
      </c>
      <c r="K25" s="118" t="s">
        <v>972</v>
      </c>
      <c r="L25" s="129" t="s">
        <v>974</v>
      </c>
      <c r="M25" s="131"/>
    </row>
    <row r="26" s="101" customFormat="1" ht="67.5" outlineLevel="1" spans="1:13">
      <c r="A26" s="117">
        <v>22</v>
      </c>
      <c r="B26" s="118" t="s">
        <v>970</v>
      </c>
      <c r="C26" s="118" t="s">
        <v>909</v>
      </c>
      <c r="D26" s="119">
        <v>2</v>
      </c>
      <c r="E26" s="122">
        <f>900*0+(1*0.2+1*0.3+2.2/2.5*0.5)*900*0.85</f>
        <v>719.1</v>
      </c>
      <c r="F26" s="119">
        <f t="shared" si="0"/>
        <v>1438.2</v>
      </c>
      <c r="G26" s="118" t="s">
        <v>918</v>
      </c>
      <c r="H26" s="118" t="s">
        <v>971</v>
      </c>
      <c r="I26" s="123">
        <v>2.2</v>
      </c>
      <c r="J26" s="118" t="s">
        <v>918</v>
      </c>
      <c r="K26" s="118" t="s">
        <v>972</v>
      </c>
      <c r="L26" s="129" t="s">
        <v>974</v>
      </c>
      <c r="M26" s="131"/>
    </row>
    <row r="27" s="101" customFormat="1" ht="67.5" outlineLevel="1" spans="1:13">
      <c r="A27" s="117">
        <v>23</v>
      </c>
      <c r="B27" s="118" t="s">
        <v>970</v>
      </c>
      <c r="C27" s="118" t="s">
        <v>909</v>
      </c>
      <c r="D27" s="119">
        <v>3</v>
      </c>
      <c r="E27" s="122">
        <f>900*0+(1*0.2+1*0.3+2.4/2.5*0.5)*900*0.85</f>
        <v>749.7</v>
      </c>
      <c r="F27" s="119">
        <f t="shared" si="0"/>
        <v>2249.1</v>
      </c>
      <c r="G27" s="118" t="s">
        <v>918</v>
      </c>
      <c r="H27" s="118" t="s">
        <v>971</v>
      </c>
      <c r="I27" s="123">
        <v>2.4</v>
      </c>
      <c r="J27" s="118" t="s">
        <v>918</v>
      </c>
      <c r="K27" s="118" t="s">
        <v>972</v>
      </c>
      <c r="L27" s="129" t="s">
        <v>974</v>
      </c>
      <c r="M27" s="131"/>
    </row>
    <row r="28" s="101" customFormat="1" ht="45" outlineLevel="1" spans="1:13">
      <c r="A28" s="117">
        <v>24</v>
      </c>
      <c r="B28" s="118" t="s">
        <v>975</v>
      </c>
      <c r="C28" s="118" t="s">
        <v>909</v>
      </c>
      <c r="D28" s="119">
        <f>4+3+3</f>
        <v>10</v>
      </c>
      <c r="E28" s="120">
        <v>1800</v>
      </c>
      <c r="F28" s="119">
        <f t="shared" si="0"/>
        <v>18000</v>
      </c>
      <c r="G28" s="118" t="s">
        <v>918</v>
      </c>
      <c r="H28" s="118" t="s">
        <v>912</v>
      </c>
      <c r="I28" s="118">
        <v>3.5</v>
      </c>
      <c r="J28" s="118" t="s">
        <v>918</v>
      </c>
      <c r="K28" s="118" t="s">
        <v>931</v>
      </c>
      <c r="L28" s="129"/>
      <c r="M28" s="108"/>
    </row>
    <row r="29" s="101" customFormat="1" ht="45" outlineLevel="1" spans="1:16">
      <c r="A29" s="117">
        <v>25</v>
      </c>
      <c r="B29" s="118" t="s">
        <v>975</v>
      </c>
      <c r="C29" s="118" t="s">
        <v>909</v>
      </c>
      <c r="D29" s="119">
        <v>1</v>
      </c>
      <c r="E29" s="122">
        <f>1800*0+(1*0.2+2.7/5.5*0.3+1*0.5)*1800*0.85</f>
        <v>1296.33</v>
      </c>
      <c r="F29" s="119">
        <f t="shared" si="0"/>
        <v>1296.33</v>
      </c>
      <c r="G29" s="118" t="s">
        <v>918</v>
      </c>
      <c r="H29" s="123">
        <v>2.7</v>
      </c>
      <c r="I29" s="118">
        <v>3.5</v>
      </c>
      <c r="J29" s="118" t="s">
        <v>918</v>
      </c>
      <c r="K29" s="118" t="s">
        <v>931</v>
      </c>
      <c r="L29" s="129" t="s">
        <v>976</v>
      </c>
      <c r="M29" s="108"/>
      <c r="N29" s="134">
        <f>1800*0+(1*0.2+2.7/5*0.3+1*0.5)*1800*0.85</f>
        <v>1318.86</v>
      </c>
      <c r="O29" s="134">
        <f>1800*0+(1*0.2+2.7/5.5*0.3+1*0.5)*1800*0.85</f>
        <v>1296.33</v>
      </c>
      <c r="P29" s="134">
        <f>1800*0+(1*0.2+2.7/5.25*0.3+1*0.5)*1800*0.85</f>
        <v>1307.06</v>
      </c>
    </row>
    <row r="30" s="101" customFormat="1" ht="56.25" outlineLevel="1" spans="1:13">
      <c r="A30" s="117">
        <v>26</v>
      </c>
      <c r="B30" s="118" t="s">
        <v>977</v>
      </c>
      <c r="C30" s="118" t="s">
        <v>909</v>
      </c>
      <c r="D30" s="119">
        <v>2</v>
      </c>
      <c r="E30" s="120">
        <v>2600</v>
      </c>
      <c r="F30" s="119">
        <f t="shared" si="0"/>
        <v>5200</v>
      </c>
      <c r="G30" s="118" t="s">
        <v>918</v>
      </c>
      <c r="H30" s="118" t="s">
        <v>935</v>
      </c>
      <c r="I30" s="118">
        <v>3.5</v>
      </c>
      <c r="J30" s="118" t="s">
        <v>918</v>
      </c>
      <c r="K30" s="118" t="s">
        <v>978</v>
      </c>
      <c r="L30" s="129"/>
      <c r="M30" s="108"/>
    </row>
    <row r="31" s="101" customFormat="1" ht="56.25" outlineLevel="1" spans="1:13">
      <c r="A31" s="117">
        <v>27</v>
      </c>
      <c r="B31" s="118" t="s">
        <v>977</v>
      </c>
      <c r="C31" s="118" t="s">
        <v>909</v>
      </c>
      <c r="D31" s="119">
        <v>1</v>
      </c>
      <c r="E31" s="122">
        <f>2600*0.85</f>
        <v>2210</v>
      </c>
      <c r="F31" s="119">
        <f t="shared" si="0"/>
        <v>2210</v>
      </c>
      <c r="G31" s="118" t="s">
        <v>918</v>
      </c>
      <c r="H31" s="118" t="s">
        <v>935</v>
      </c>
      <c r="I31" s="118">
        <v>3.5</v>
      </c>
      <c r="J31" s="118" t="s">
        <v>918</v>
      </c>
      <c r="K31" s="118" t="s">
        <v>978</v>
      </c>
      <c r="L31" s="129" t="s">
        <v>979</v>
      </c>
      <c r="M31" s="108"/>
    </row>
    <row r="32" s="101" customFormat="1" ht="56.25" outlineLevel="1" spans="1:13">
      <c r="A32" s="117">
        <v>28</v>
      </c>
      <c r="B32" s="118" t="s">
        <v>980</v>
      </c>
      <c r="C32" s="118" t="s">
        <v>909</v>
      </c>
      <c r="D32" s="119">
        <v>1</v>
      </c>
      <c r="E32" s="120">
        <v>1800</v>
      </c>
      <c r="F32" s="119">
        <f t="shared" si="0"/>
        <v>1800</v>
      </c>
      <c r="G32" s="118" t="s">
        <v>918</v>
      </c>
      <c r="H32" s="118" t="s">
        <v>981</v>
      </c>
      <c r="I32" s="130">
        <v>3</v>
      </c>
      <c r="J32" s="118" t="s">
        <v>918</v>
      </c>
      <c r="K32" s="118" t="s">
        <v>978</v>
      </c>
      <c r="L32" s="129"/>
      <c r="M32" s="108"/>
    </row>
    <row r="33" s="101" customFormat="1" ht="56.25" outlineLevel="1" spans="1:13">
      <c r="A33" s="117">
        <v>29</v>
      </c>
      <c r="B33" s="118" t="s">
        <v>980</v>
      </c>
      <c r="C33" s="118" t="s">
        <v>909</v>
      </c>
      <c r="D33" s="119">
        <v>2</v>
      </c>
      <c r="E33" s="122">
        <f>1800*0.85</f>
        <v>1530</v>
      </c>
      <c r="F33" s="119">
        <f t="shared" si="0"/>
        <v>3060</v>
      </c>
      <c r="G33" s="118" t="s">
        <v>918</v>
      </c>
      <c r="H33" s="118" t="s">
        <v>981</v>
      </c>
      <c r="I33" s="130">
        <v>3</v>
      </c>
      <c r="J33" s="118" t="s">
        <v>918</v>
      </c>
      <c r="K33" s="118" t="s">
        <v>978</v>
      </c>
      <c r="L33" s="129" t="s">
        <v>979</v>
      </c>
      <c r="M33" s="108"/>
    </row>
    <row r="34" s="101" customFormat="1" ht="45" outlineLevel="1" spans="1:13">
      <c r="A34" s="117">
        <v>30</v>
      </c>
      <c r="B34" s="118" t="s">
        <v>982</v>
      </c>
      <c r="C34" s="118" t="s">
        <v>909</v>
      </c>
      <c r="D34" s="119">
        <v>3</v>
      </c>
      <c r="E34" s="120">
        <v>950</v>
      </c>
      <c r="F34" s="119">
        <f t="shared" si="0"/>
        <v>2850</v>
      </c>
      <c r="G34" s="118" t="s">
        <v>918</v>
      </c>
      <c r="H34" s="118" t="s">
        <v>983</v>
      </c>
      <c r="I34" s="118" t="s">
        <v>983</v>
      </c>
      <c r="J34" s="118" t="s">
        <v>918</v>
      </c>
      <c r="K34" s="118" t="s">
        <v>931</v>
      </c>
      <c r="L34" s="129"/>
      <c r="M34" s="108"/>
    </row>
    <row r="35" s="101" customFormat="1" ht="45" outlineLevel="1" spans="1:16">
      <c r="A35" s="117">
        <v>31</v>
      </c>
      <c r="B35" s="118" t="s">
        <v>982</v>
      </c>
      <c r="C35" s="118" t="s">
        <v>909</v>
      </c>
      <c r="D35" s="119">
        <v>1</v>
      </c>
      <c r="E35" s="122">
        <f>950*0+(1*0.2+1.8/2.2*0.3+1*0.5)*950</f>
        <v>898.18</v>
      </c>
      <c r="F35" s="119">
        <f t="shared" si="0"/>
        <v>898.18</v>
      </c>
      <c r="G35" s="118" t="s">
        <v>918</v>
      </c>
      <c r="H35" s="118" t="s">
        <v>983</v>
      </c>
      <c r="I35" s="123">
        <v>1.8</v>
      </c>
      <c r="J35" s="118" t="s">
        <v>918</v>
      </c>
      <c r="K35" s="118" t="s">
        <v>931</v>
      </c>
      <c r="L35" s="129" t="s">
        <v>984</v>
      </c>
      <c r="M35" s="108"/>
      <c r="N35" s="134">
        <f>950*0+(1*0.2+1.8/2*0.3+1*0.5)*950*0.85</f>
        <v>783.28</v>
      </c>
      <c r="O35" s="134">
        <f>950*0+(1*0.2+1.8/2.2*0.3+1*0.5)*950*0.85</f>
        <v>763.45</v>
      </c>
      <c r="P35" s="134">
        <f>950*0+(1*0.2+1.8/2.1*0.3+1*0.5)*950*0.85</f>
        <v>772.89</v>
      </c>
    </row>
    <row r="36" s="101" customFormat="1" ht="45" outlineLevel="1" spans="1:13">
      <c r="A36" s="117">
        <v>32</v>
      </c>
      <c r="B36" s="118" t="s">
        <v>985</v>
      </c>
      <c r="C36" s="118" t="s">
        <v>909</v>
      </c>
      <c r="D36" s="119">
        <v>6</v>
      </c>
      <c r="E36" s="122">
        <v>4000</v>
      </c>
      <c r="F36" s="119">
        <f t="shared" si="0"/>
        <v>24000</v>
      </c>
      <c r="G36" s="118" t="s">
        <v>948</v>
      </c>
      <c r="H36" s="118" t="s">
        <v>926</v>
      </c>
      <c r="I36" s="118">
        <v>3.5</v>
      </c>
      <c r="J36" s="118" t="s">
        <v>986</v>
      </c>
      <c r="K36" s="118" t="s">
        <v>931</v>
      </c>
      <c r="L36" s="129" t="s">
        <v>686</v>
      </c>
      <c r="M36" s="108"/>
    </row>
    <row r="37" s="101" customFormat="1" ht="45" outlineLevel="1" spans="1:13">
      <c r="A37" s="117">
        <v>33</v>
      </c>
      <c r="B37" s="118" t="s">
        <v>987</v>
      </c>
      <c r="C37" s="118" t="s">
        <v>909</v>
      </c>
      <c r="D37" s="119">
        <v>2</v>
      </c>
      <c r="E37" s="122">
        <v>3000</v>
      </c>
      <c r="F37" s="119">
        <f t="shared" si="0"/>
        <v>6000</v>
      </c>
      <c r="G37" s="118" t="s">
        <v>988</v>
      </c>
      <c r="H37" s="118" t="s">
        <v>952</v>
      </c>
      <c r="I37" s="118">
        <v>3</v>
      </c>
      <c r="J37" s="118" t="s">
        <v>945</v>
      </c>
      <c r="K37" s="118" t="s">
        <v>931</v>
      </c>
      <c r="L37" s="129" t="s">
        <v>686</v>
      </c>
      <c r="M37" s="108"/>
    </row>
    <row r="38" s="101" customFormat="1" ht="45" outlineLevel="1" spans="1:13">
      <c r="A38" s="117">
        <v>34</v>
      </c>
      <c r="B38" s="118" t="s">
        <v>987</v>
      </c>
      <c r="C38" s="118" t="s">
        <v>909</v>
      </c>
      <c r="D38" s="119">
        <v>1</v>
      </c>
      <c r="E38" s="122">
        <v>3000</v>
      </c>
      <c r="F38" s="119">
        <f t="shared" si="0"/>
        <v>3000</v>
      </c>
      <c r="G38" s="118" t="s">
        <v>988</v>
      </c>
      <c r="H38" s="118" t="s">
        <v>952</v>
      </c>
      <c r="I38" s="118">
        <v>2.9</v>
      </c>
      <c r="J38" s="118" t="s">
        <v>945</v>
      </c>
      <c r="K38" s="118" t="s">
        <v>931</v>
      </c>
      <c r="L38" s="129" t="s">
        <v>686</v>
      </c>
      <c r="M38" s="108"/>
    </row>
    <row r="39" s="101" customFormat="1" ht="45" outlineLevel="1" spans="1:13">
      <c r="A39" s="117">
        <v>35</v>
      </c>
      <c r="B39" s="118" t="s">
        <v>987</v>
      </c>
      <c r="C39" s="118" t="s">
        <v>909</v>
      </c>
      <c r="D39" s="119">
        <v>1</v>
      </c>
      <c r="E39" s="122">
        <v>3000</v>
      </c>
      <c r="F39" s="119">
        <f t="shared" si="0"/>
        <v>3000</v>
      </c>
      <c r="G39" s="118" t="s">
        <v>988</v>
      </c>
      <c r="H39" s="118" t="s">
        <v>952</v>
      </c>
      <c r="I39" s="118">
        <v>2.8</v>
      </c>
      <c r="J39" s="118" t="s">
        <v>945</v>
      </c>
      <c r="K39" s="118" t="s">
        <v>931</v>
      </c>
      <c r="L39" s="129" t="s">
        <v>686</v>
      </c>
      <c r="M39" s="108"/>
    </row>
    <row r="40" s="101" customFormat="1" ht="45" outlineLevel="1" spans="1:13">
      <c r="A40" s="117">
        <v>36</v>
      </c>
      <c r="B40" s="118" t="s">
        <v>987</v>
      </c>
      <c r="C40" s="118" t="s">
        <v>909</v>
      </c>
      <c r="D40" s="119">
        <v>1</v>
      </c>
      <c r="E40" s="122">
        <v>3000</v>
      </c>
      <c r="F40" s="119">
        <f t="shared" si="0"/>
        <v>3000</v>
      </c>
      <c r="G40" s="118" t="s">
        <v>988</v>
      </c>
      <c r="H40" s="118" t="s">
        <v>952</v>
      </c>
      <c r="I40" s="118">
        <v>2.5</v>
      </c>
      <c r="J40" s="118" t="s">
        <v>945</v>
      </c>
      <c r="K40" s="118" t="s">
        <v>931</v>
      </c>
      <c r="L40" s="129" t="s">
        <v>686</v>
      </c>
      <c r="M40" s="108"/>
    </row>
    <row r="41" s="101" customFormat="1" ht="33.75" outlineLevel="1" spans="1:13">
      <c r="A41" s="117">
        <v>37</v>
      </c>
      <c r="B41" s="118" t="s">
        <v>989</v>
      </c>
      <c r="C41" s="118" t="s">
        <v>909</v>
      </c>
      <c r="D41" s="119">
        <v>4</v>
      </c>
      <c r="E41" s="122">
        <v>950</v>
      </c>
      <c r="F41" s="119">
        <f t="shared" si="0"/>
        <v>3800</v>
      </c>
      <c r="G41" s="118" t="s">
        <v>918</v>
      </c>
      <c r="H41" s="118" t="s">
        <v>983</v>
      </c>
      <c r="I41" s="118" t="s">
        <v>983</v>
      </c>
      <c r="J41" s="118" t="s">
        <v>918</v>
      </c>
      <c r="K41" s="118" t="s">
        <v>990</v>
      </c>
      <c r="L41" s="129" t="s">
        <v>991</v>
      </c>
      <c r="M41" s="108" t="s">
        <v>992</v>
      </c>
    </row>
    <row r="42" s="101" customFormat="1" ht="45" outlineLevel="1" spans="1:13">
      <c r="A42" s="117">
        <v>38</v>
      </c>
      <c r="B42" s="118" t="s">
        <v>993</v>
      </c>
      <c r="C42" s="118" t="s">
        <v>909</v>
      </c>
      <c r="D42" s="119">
        <v>2</v>
      </c>
      <c r="E42" s="122">
        <f>38000*0+(1*0.2+1.5/2.5*0.3+1*0.5)*38000*0.85</f>
        <v>28424</v>
      </c>
      <c r="F42" s="119">
        <f t="shared" si="0"/>
        <v>56848</v>
      </c>
      <c r="G42" s="118" t="s">
        <v>918</v>
      </c>
      <c r="H42" s="123">
        <v>1.5</v>
      </c>
      <c r="I42" s="118" t="s">
        <v>994</v>
      </c>
      <c r="J42" s="118" t="s">
        <v>918</v>
      </c>
      <c r="K42" s="118" t="s">
        <v>995</v>
      </c>
      <c r="L42" s="129" t="s">
        <v>996</v>
      </c>
      <c r="M42" s="108"/>
    </row>
    <row r="43" s="101" customFormat="1" ht="45" outlineLevel="1" spans="1:16">
      <c r="A43" s="117">
        <v>39</v>
      </c>
      <c r="B43" s="118" t="s">
        <v>997</v>
      </c>
      <c r="C43" s="118" t="s">
        <v>909</v>
      </c>
      <c r="D43" s="119">
        <v>1</v>
      </c>
      <c r="E43" s="122">
        <f>21000*0+(1*0.2+1.6/1.5*0.3+2/1.8*0.5)*21000*0.85</f>
        <v>19198.67</v>
      </c>
      <c r="F43" s="119">
        <f t="shared" si="0"/>
        <v>19198.67</v>
      </c>
      <c r="G43" s="118" t="s">
        <v>918</v>
      </c>
      <c r="H43" s="123">
        <v>1.6</v>
      </c>
      <c r="I43" s="123">
        <v>2</v>
      </c>
      <c r="J43" s="118" t="s">
        <v>918</v>
      </c>
      <c r="K43" s="118" t="s">
        <v>995</v>
      </c>
      <c r="L43" s="129" t="s">
        <v>998</v>
      </c>
      <c r="M43" s="108"/>
      <c r="N43" s="101">
        <f>(1*0.2+1.6/1.5*0.3+2/1.5*0.5)*21000*0.85</f>
        <v>21182</v>
      </c>
      <c r="O43" s="101">
        <f>(1*0.2+1.6/1.5*0.3+2/1.8*0.5)*21000*0.85</f>
        <v>19198.6666666667</v>
      </c>
      <c r="P43" s="101">
        <f>(1*0.2+1.6/1.5*0.3+2/1.65*0.5)*21000*0.85</f>
        <v>20100.1818181818</v>
      </c>
    </row>
    <row r="44" s="101" customFormat="1" ht="67.5" outlineLevel="1" spans="1:13">
      <c r="A44" s="117">
        <v>40</v>
      </c>
      <c r="B44" s="118" t="s">
        <v>999</v>
      </c>
      <c r="C44" s="118" t="s">
        <v>1000</v>
      </c>
      <c r="D44" s="119">
        <v>49.3</v>
      </c>
      <c r="E44" s="120">
        <v>300</v>
      </c>
      <c r="F44" s="119">
        <f t="shared" si="0"/>
        <v>14790</v>
      </c>
      <c r="G44" s="121" t="s">
        <v>1001</v>
      </c>
      <c r="H44" s="121" t="s">
        <v>924</v>
      </c>
      <c r="I44" s="118" t="s">
        <v>1002</v>
      </c>
      <c r="J44" s="118" t="s">
        <v>918</v>
      </c>
      <c r="K44" s="118" t="s">
        <v>1003</v>
      </c>
      <c r="L44" s="129"/>
      <c r="M44" s="108"/>
    </row>
    <row r="45" s="103" customFormat="1" ht="33.75" outlineLevel="1" spans="1:248">
      <c r="A45" s="117">
        <v>41</v>
      </c>
      <c r="B45" s="118" t="s">
        <v>1004</v>
      </c>
      <c r="C45" s="118" t="s">
        <v>909</v>
      </c>
      <c r="D45" s="119">
        <v>40</v>
      </c>
      <c r="E45" s="120">
        <v>500</v>
      </c>
      <c r="F45" s="119">
        <f t="shared" si="0"/>
        <v>20000</v>
      </c>
      <c r="G45" s="121" t="s">
        <v>1005</v>
      </c>
      <c r="H45" s="121" t="s">
        <v>1006</v>
      </c>
      <c r="I45" s="118" t="s">
        <v>1007</v>
      </c>
      <c r="J45" s="118"/>
      <c r="K45" s="118" t="s">
        <v>1008</v>
      </c>
      <c r="L45" s="129" t="s">
        <v>686</v>
      </c>
      <c r="M45" s="131" t="s">
        <v>1009</v>
      </c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  <c r="HU45" s="101"/>
      <c r="HV45" s="101"/>
      <c r="HW45" s="101"/>
      <c r="HX45" s="101"/>
      <c r="HY45" s="101"/>
      <c r="HZ45" s="101"/>
      <c r="IA45" s="101"/>
      <c r="IB45" s="101"/>
      <c r="IC45" s="101"/>
      <c r="ID45" s="101"/>
      <c r="IE45" s="101"/>
      <c r="IF45" s="101"/>
      <c r="IG45" s="101"/>
      <c r="IH45" s="101"/>
      <c r="II45" s="101"/>
      <c r="IJ45" s="101"/>
      <c r="IK45" s="101"/>
      <c r="IL45" s="101"/>
      <c r="IM45" s="101"/>
      <c r="IN45" s="101"/>
    </row>
    <row r="46" s="103" customFormat="1" ht="33.75" outlineLevel="1" spans="1:248">
      <c r="A46" s="117">
        <v>42</v>
      </c>
      <c r="B46" s="118" t="s">
        <v>1004</v>
      </c>
      <c r="C46" s="118" t="s">
        <v>909</v>
      </c>
      <c r="D46" s="119">
        <v>6</v>
      </c>
      <c r="E46" s="120">
        <v>500</v>
      </c>
      <c r="F46" s="119">
        <f t="shared" si="0"/>
        <v>3000</v>
      </c>
      <c r="G46" s="121" t="s">
        <v>1005</v>
      </c>
      <c r="H46" s="121" t="s">
        <v>1006</v>
      </c>
      <c r="I46" s="118">
        <v>0.9</v>
      </c>
      <c r="J46" s="118"/>
      <c r="K46" s="118" t="s">
        <v>1008</v>
      </c>
      <c r="L46" s="129" t="s">
        <v>686</v>
      </c>
      <c r="M46" s="13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  <c r="HU46" s="101"/>
      <c r="HV46" s="101"/>
      <c r="HW46" s="101"/>
      <c r="HX46" s="101"/>
      <c r="HY46" s="101"/>
      <c r="HZ46" s="101"/>
      <c r="IA46" s="101"/>
      <c r="IB46" s="101"/>
      <c r="IC46" s="101"/>
      <c r="ID46" s="101"/>
      <c r="IE46" s="101"/>
      <c r="IF46" s="101"/>
      <c r="IG46" s="101"/>
      <c r="IH46" s="101"/>
      <c r="II46" s="101"/>
      <c r="IJ46" s="101"/>
      <c r="IK46" s="101"/>
      <c r="IL46" s="101"/>
      <c r="IM46" s="101"/>
      <c r="IN46" s="101"/>
    </row>
    <row r="47" s="103" customFormat="1" ht="33.75" outlineLevel="1" spans="1:248">
      <c r="A47" s="117">
        <v>43</v>
      </c>
      <c r="B47" s="118" t="s">
        <v>1004</v>
      </c>
      <c r="C47" s="118" t="s">
        <v>909</v>
      </c>
      <c r="D47" s="119">
        <v>4</v>
      </c>
      <c r="E47" s="120">
        <v>500</v>
      </c>
      <c r="F47" s="119">
        <f t="shared" si="0"/>
        <v>2000</v>
      </c>
      <c r="G47" s="121" t="s">
        <v>1005</v>
      </c>
      <c r="H47" s="121" t="s">
        <v>1006</v>
      </c>
      <c r="I47" s="118">
        <v>0.8</v>
      </c>
      <c r="J47" s="118"/>
      <c r="K47" s="118" t="s">
        <v>1008</v>
      </c>
      <c r="L47" s="129" t="s">
        <v>686</v>
      </c>
      <c r="M47" s="13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  <c r="HU47" s="101"/>
      <c r="HV47" s="101"/>
      <c r="HW47" s="101"/>
      <c r="HX47" s="101"/>
      <c r="HY47" s="101"/>
      <c r="HZ47" s="101"/>
      <c r="IA47" s="101"/>
      <c r="IB47" s="101"/>
      <c r="IC47" s="101"/>
      <c r="ID47" s="101"/>
      <c r="IE47" s="101"/>
      <c r="IF47" s="101"/>
      <c r="IG47" s="101"/>
      <c r="IH47" s="101"/>
      <c r="II47" s="101"/>
      <c r="IJ47" s="101"/>
      <c r="IK47" s="101"/>
      <c r="IL47" s="101"/>
      <c r="IM47" s="101"/>
      <c r="IN47" s="101"/>
    </row>
    <row r="48" s="103" customFormat="1" ht="33.75" outlineLevel="1" spans="1:248">
      <c r="A48" s="117">
        <v>44</v>
      </c>
      <c r="B48" s="118" t="s">
        <v>1004</v>
      </c>
      <c r="C48" s="118" t="s">
        <v>909</v>
      </c>
      <c r="D48" s="119">
        <v>1</v>
      </c>
      <c r="E48" s="120">
        <f>500*0+(1*0.2+1*0.3+0.7/0.8*0.5)*500*0.85</f>
        <v>398.44</v>
      </c>
      <c r="F48" s="119">
        <f t="shared" si="0"/>
        <v>398.44</v>
      </c>
      <c r="G48" s="121" t="s">
        <v>1005</v>
      </c>
      <c r="H48" s="121" t="s">
        <v>1006</v>
      </c>
      <c r="I48" s="118">
        <v>0.7</v>
      </c>
      <c r="J48" s="118"/>
      <c r="K48" s="118" t="s">
        <v>1008</v>
      </c>
      <c r="L48" s="129" t="s">
        <v>686</v>
      </c>
      <c r="M48" s="13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  <c r="IF48" s="101"/>
      <c r="IG48" s="101"/>
      <c r="IH48" s="101"/>
      <c r="II48" s="101"/>
      <c r="IJ48" s="101"/>
      <c r="IK48" s="101"/>
      <c r="IL48" s="101"/>
      <c r="IM48" s="101"/>
      <c r="IN48" s="101"/>
    </row>
    <row r="49" s="104" customFormat="1" ht="22.5" spans="1:248">
      <c r="A49" s="114" t="s">
        <v>1010</v>
      </c>
      <c r="B49" s="124"/>
      <c r="C49" s="124"/>
      <c r="D49" s="125"/>
      <c r="E49" s="120"/>
      <c r="F49" s="116">
        <f>SUM(F50:F113)</f>
        <v>63168.46</v>
      </c>
      <c r="G49" s="115" t="s">
        <v>903</v>
      </c>
      <c r="H49" s="115" t="s">
        <v>1011</v>
      </c>
      <c r="I49" s="115" t="s">
        <v>1012</v>
      </c>
      <c r="J49" s="115" t="s">
        <v>1013</v>
      </c>
      <c r="K49" s="124"/>
      <c r="L49" s="129"/>
      <c r="M49" s="108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  <c r="HU49" s="101"/>
      <c r="HV49" s="101"/>
      <c r="HW49" s="101"/>
      <c r="HX49" s="101"/>
      <c r="HY49" s="101"/>
      <c r="HZ49" s="101"/>
      <c r="IA49" s="101"/>
      <c r="IB49" s="101"/>
      <c r="IC49" s="101"/>
      <c r="ID49" s="101"/>
      <c r="IE49" s="101"/>
      <c r="IF49" s="101"/>
      <c r="IG49" s="101"/>
      <c r="IH49" s="101"/>
      <c r="II49" s="101"/>
      <c r="IJ49" s="101"/>
      <c r="IK49" s="101"/>
      <c r="IL49" s="101"/>
      <c r="IM49" s="101"/>
      <c r="IN49" s="101"/>
    </row>
    <row r="50" s="104" customFormat="1" ht="45" outlineLevel="1" spans="1:248">
      <c r="A50" s="117">
        <v>1</v>
      </c>
      <c r="B50" s="118" t="s">
        <v>1014</v>
      </c>
      <c r="C50" s="118" t="s">
        <v>1015</v>
      </c>
      <c r="D50" s="119">
        <v>4</v>
      </c>
      <c r="E50" s="122">
        <f>450*0+(1*0.2+1.8/1.2*0.3+1*0.5)*450</f>
        <v>517.5</v>
      </c>
      <c r="F50" s="119">
        <f>E50*D50</f>
        <v>2070</v>
      </c>
      <c r="G50" s="118"/>
      <c r="H50" s="118">
        <v>180</v>
      </c>
      <c r="I50" s="118">
        <v>150</v>
      </c>
      <c r="J50" s="124"/>
      <c r="K50" s="118" t="s">
        <v>1016</v>
      </c>
      <c r="L50" s="129" t="s">
        <v>1017</v>
      </c>
      <c r="M50" s="108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101"/>
      <c r="DR50" s="101"/>
      <c r="DS50" s="101"/>
      <c r="DT50" s="101"/>
      <c r="DU50" s="101"/>
      <c r="DV50" s="101"/>
      <c r="DW50" s="101"/>
      <c r="DX50" s="101"/>
      <c r="DY50" s="101"/>
      <c r="DZ50" s="101"/>
      <c r="EA50" s="101"/>
      <c r="EB50" s="101"/>
      <c r="EC50" s="101"/>
      <c r="ED50" s="101"/>
      <c r="EE50" s="101"/>
      <c r="EF50" s="101"/>
      <c r="EG50" s="101"/>
      <c r="EH50" s="101"/>
      <c r="EI50" s="101"/>
      <c r="EJ50" s="101"/>
      <c r="EK50" s="101"/>
      <c r="EL50" s="101"/>
      <c r="EM50" s="101"/>
      <c r="EN50" s="101"/>
      <c r="EO50" s="101"/>
      <c r="EP50" s="101"/>
      <c r="EQ50" s="101"/>
      <c r="ER50" s="101"/>
      <c r="ES50" s="101"/>
      <c r="ET50" s="101"/>
      <c r="EU50" s="101"/>
      <c r="EV50" s="101"/>
      <c r="EW50" s="101"/>
      <c r="EX50" s="101"/>
      <c r="EY50" s="101"/>
      <c r="EZ50" s="101"/>
      <c r="FA50" s="101"/>
      <c r="FB50" s="101"/>
      <c r="FC50" s="101"/>
      <c r="FD50" s="101"/>
      <c r="FE50" s="101"/>
      <c r="FF50" s="101"/>
      <c r="FG50" s="101"/>
      <c r="FH50" s="101"/>
      <c r="FI50" s="101"/>
      <c r="FJ50" s="101"/>
      <c r="FK50" s="101"/>
      <c r="FL50" s="101"/>
      <c r="FM50" s="101"/>
      <c r="FN50" s="101"/>
      <c r="FO50" s="101"/>
      <c r="FP50" s="101"/>
      <c r="FQ50" s="101"/>
      <c r="FR50" s="101"/>
      <c r="FS50" s="101"/>
      <c r="FT50" s="101"/>
      <c r="FU50" s="101"/>
      <c r="FV50" s="101"/>
      <c r="FW50" s="101"/>
      <c r="FX50" s="101"/>
      <c r="FY50" s="101"/>
      <c r="FZ50" s="101"/>
      <c r="GA50" s="101"/>
      <c r="GB50" s="101"/>
      <c r="GC50" s="101"/>
      <c r="GD50" s="101"/>
      <c r="GE50" s="101"/>
      <c r="GF50" s="101"/>
      <c r="GG50" s="101"/>
      <c r="GH50" s="101"/>
      <c r="GI50" s="101"/>
      <c r="GJ50" s="101"/>
      <c r="GK50" s="101"/>
      <c r="GL50" s="101"/>
      <c r="GM50" s="101"/>
      <c r="GN50" s="101"/>
      <c r="GO50" s="101"/>
      <c r="GP50" s="101"/>
      <c r="GQ50" s="101"/>
      <c r="GR50" s="101"/>
      <c r="GS50" s="101"/>
      <c r="GT50" s="101"/>
      <c r="GU50" s="101"/>
      <c r="GV50" s="101"/>
      <c r="GW50" s="101"/>
      <c r="GX50" s="101"/>
      <c r="GY50" s="101"/>
      <c r="GZ50" s="101"/>
      <c r="HA50" s="101"/>
      <c r="HB50" s="101"/>
      <c r="HC50" s="101"/>
      <c r="HD50" s="101"/>
      <c r="HE50" s="101"/>
      <c r="HF50" s="101"/>
      <c r="HG50" s="101"/>
      <c r="HH50" s="101"/>
      <c r="HI50" s="101"/>
      <c r="HJ50" s="101"/>
      <c r="HK50" s="101"/>
      <c r="HL50" s="101"/>
      <c r="HM50" s="101"/>
      <c r="HN50" s="101"/>
      <c r="HO50" s="101"/>
      <c r="HP50" s="101"/>
      <c r="HQ50" s="101"/>
      <c r="HR50" s="101"/>
      <c r="HS50" s="101"/>
      <c r="HT50" s="101"/>
      <c r="HU50" s="101"/>
      <c r="HV50" s="101"/>
      <c r="HW50" s="101"/>
      <c r="HX50" s="101"/>
      <c r="HY50" s="101"/>
      <c r="HZ50" s="101"/>
      <c r="IA50" s="101"/>
      <c r="IB50" s="101"/>
      <c r="IC50" s="101"/>
      <c r="ID50" s="101"/>
      <c r="IE50" s="101"/>
      <c r="IF50" s="101"/>
      <c r="IG50" s="101"/>
      <c r="IH50" s="101"/>
      <c r="II50" s="101"/>
      <c r="IJ50" s="101"/>
      <c r="IK50" s="101"/>
      <c r="IL50" s="101"/>
      <c r="IM50" s="101"/>
      <c r="IN50" s="101"/>
    </row>
    <row r="51" s="104" customFormat="1" ht="45" outlineLevel="1" spans="1:248">
      <c r="A51" s="117">
        <v>2</v>
      </c>
      <c r="B51" s="118" t="s">
        <v>1014</v>
      </c>
      <c r="C51" s="118" t="s">
        <v>1015</v>
      </c>
      <c r="D51" s="119">
        <v>2</v>
      </c>
      <c r="E51" s="122">
        <f>450*0+(1*0.2+1.8/1.2*0.3+1*0.5)*450</f>
        <v>517.5</v>
      </c>
      <c r="F51" s="119">
        <f t="shared" ref="F51:F82" si="2">E51*D51</f>
        <v>1035</v>
      </c>
      <c r="G51" s="118"/>
      <c r="H51" s="118">
        <v>180</v>
      </c>
      <c r="I51" s="118">
        <v>130</v>
      </c>
      <c r="J51" s="124"/>
      <c r="K51" s="118" t="s">
        <v>1018</v>
      </c>
      <c r="L51" s="129" t="s">
        <v>1017</v>
      </c>
      <c r="M51" s="108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  <c r="HT51" s="101"/>
      <c r="HU51" s="101"/>
      <c r="HV51" s="101"/>
      <c r="HW51" s="101"/>
      <c r="HX51" s="101"/>
      <c r="HY51" s="101"/>
      <c r="HZ51" s="101"/>
      <c r="IA51" s="101"/>
      <c r="IB51" s="101"/>
      <c r="IC51" s="101"/>
      <c r="ID51" s="101"/>
      <c r="IE51" s="101"/>
      <c r="IF51" s="101"/>
      <c r="IG51" s="101"/>
      <c r="IH51" s="101"/>
      <c r="II51" s="101"/>
      <c r="IJ51" s="101"/>
      <c r="IK51" s="101"/>
      <c r="IL51" s="101"/>
      <c r="IM51" s="101"/>
      <c r="IN51" s="101"/>
    </row>
    <row r="52" s="104" customFormat="1" ht="45" outlineLevel="1" spans="1:248">
      <c r="A52" s="117">
        <v>4</v>
      </c>
      <c r="B52" s="118" t="s">
        <v>1019</v>
      </c>
      <c r="C52" s="118" t="s">
        <v>909</v>
      </c>
      <c r="D52" s="119">
        <v>6</v>
      </c>
      <c r="E52" s="122">
        <v>1300</v>
      </c>
      <c r="F52" s="119">
        <f t="shared" si="2"/>
        <v>7800</v>
      </c>
      <c r="G52" s="124"/>
      <c r="H52" s="118">
        <v>200</v>
      </c>
      <c r="I52" s="10">
        <v>220</v>
      </c>
      <c r="J52" s="124"/>
      <c r="K52" s="118" t="s">
        <v>1020</v>
      </c>
      <c r="L52" s="129" t="s">
        <v>1021</v>
      </c>
      <c r="M52" s="108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101"/>
      <c r="ID52" s="101"/>
      <c r="IE52" s="101"/>
      <c r="IF52" s="101"/>
      <c r="IG52" s="101"/>
      <c r="IH52" s="101"/>
      <c r="II52" s="101"/>
      <c r="IJ52" s="101"/>
      <c r="IK52" s="101"/>
      <c r="IL52" s="101"/>
      <c r="IM52" s="101"/>
      <c r="IN52" s="101"/>
    </row>
    <row r="53" s="104" customFormat="1" ht="45" outlineLevel="1" spans="1:248">
      <c r="A53" s="117">
        <v>5</v>
      </c>
      <c r="B53" s="118" t="s">
        <v>1019</v>
      </c>
      <c r="C53" s="118" t="s">
        <v>909</v>
      </c>
      <c r="D53" s="119">
        <v>1</v>
      </c>
      <c r="E53" s="122">
        <v>1300</v>
      </c>
      <c r="F53" s="119">
        <f t="shared" si="2"/>
        <v>1300</v>
      </c>
      <c r="G53" s="124"/>
      <c r="H53" s="118">
        <v>180</v>
      </c>
      <c r="I53" s="10">
        <v>230</v>
      </c>
      <c r="J53" s="124"/>
      <c r="K53" s="118" t="s">
        <v>1020</v>
      </c>
      <c r="L53" s="129" t="s">
        <v>1021</v>
      </c>
      <c r="M53" s="108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/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/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/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101"/>
      <c r="ID53" s="101"/>
      <c r="IE53" s="101"/>
      <c r="IF53" s="101"/>
      <c r="IG53" s="101"/>
      <c r="IH53" s="101"/>
      <c r="II53" s="101"/>
      <c r="IJ53" s="101"/>
      <c r="IK53" s="101"/>
      <c r="IL53" s="101"/>
      <c r="IM53" s="101"/>
      <c r="IN53" s="101"/>
    </row>
    <row r="54" s="104" customFormat="1" ht="45" outlineLevel="1" spans="1:248">
      <c r="A54" s="117">
        <v>6</v>
      </c>
      <c r="B54" s="118" t="s">
        <v>1019</v>
      </c>
      <c r="C54" s="118" t="s">
        <v>909</v>
      </c>
      <c r="D54" s="119">
        <v>1</v>
      </c>
      <c r="E54" s="122">
        <f>1300*0+(1*0.2+1*0.3+2/2.5*0.5)*1300*0.85</f>
        <v>994.5</v>
      </c>
      <c r="F54" s="119">
        <f t="shared" si="2"/>
        <v>994.5</v>
      </c>
      <c r="G54" s="124"/>
      <c r="H54" s="118">
        <v>190</v>
      </c>
      <c r="I54" s="10">
        <v>200</v>
      </c>
      <c r="J54" s="124"/>
      <c r="K54" s="118" t="s">
        <v>1020</v>
      </c>
      <c r="L54" s="129" t="s">
        <v>1021</v>
      </c>
      <c r="M54" s="108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/>
      <c r="EW54" s="101"/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/>
      <c r="FK54" s="101"/>
      <c r="FL54" s="101"/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101"/>
      <c r="FY54" s="101"/>
      <c r="FZ54" s="101"/>
      <c r="GA54" s="101"/>
      <c r="GB54" s="101"/>
      <c r="GC54" s="101"/>
      <c r="GD54" s="101"/>
      <c r="GE54" s="101"/>
      <c r="GF54" s="101"/>
      <c r="GG54" s="101"/>
      <c r="GH54" s="101"/>
      <c r="GI54" s="101"/>
      <c r="GJ54" s="101"/>
      <c r="GK54" s="101"/>
      <c r="GL54" s="101"/>
      <c r="GM54" s="101"/>
      <c r="GN54" s="101"/>
      <c r="GO54" s="101"/>
      <c r="GP54" s="101"/>
      <c r="GQ54" s="101"/>
      <c r="GR54" s="101"/>
      <c r="GS54" s="101"/>
      <c r="GT54" s="101"/>
      <c r="GU54" s="101"/>
      <c r="GV54" s="101"/>
      <c r="GW54" s="101"/>
      <c r="GX54" s="101"/>
      <c r="GY54" s="101"/>
      <c r="GZ54" s="101"/>
      <c r="HA54" s="101"/>
      <c r="HB54" s="101"/>
      <c r="HC54" s="101"/>
      <c r="HD54" s="101"/>
      <c r="HE54" s="101"/>
      <c r="HF54" s="101"/>
      <c r="HG54" s="101"/>
      <c r="HH54" s="101"/>
      <c r="HI54" s="101"/>
      <c r="HJ54" s="101"/>
      <c r="HK54" s="101"/>
      <c r="HL54" s="101"/>
      <c r="HM54" s="101"/>
      <c r="HN54" s="101"/>
      <c r="HO54" s="101"/>
      <c r="HP54" s="101"/>
      <c r="HQ54" s="101"/>
      <c r="HR54" s="101"/>
      <c r="HS54" s="101"/>
      <c r="HT54" s="101"/>
      <c r="HU54" s="101"/>
      <c r="HV54" s="101"/>
      <c r="HW54" s="101"/>
      <c r="HX54" s="101"/>
      <c r="HY54" s="101"/>
      <c r="HZ54" s="101"/>
      <c r="IA54" s="101"/>
      <c r="IB54" s="101"/>
      <c r="IC54" s="101"/>
      <c r="ID54" s="101"/>
      <c r="IE54" s="101"/>
      <c r="IF54" s="101"/>
      <c r="IG54" s="101"/>
      <c r="IH54" s="101"/>
      <c r="II54" s="101"/>
      <c r="IJ54" s="101"/>
      <c r="IK54" s="101"/>
      <c r="IL54" s="101"/>
      <c r="IM54" s="101"/>
      <c r="IN54" s="101"/>
    </row>
    <row r="55" s="104" customFormat="1" ht="45" outlineLevel="1" spans="1:248">
      <c r="A55" s="117">
        <v>7</v>
      </c>
      <c r="B55" s="118" t="s">
        <v>1022</v>
      </c>
      <c r="C55" s="118" t="s">
        <v>909</v>
      </c>
      <c r="D55" s="119">
        <v>3</v>
      </c>
      <c r="E55" s="122">
        <f>1300*0+(1*0.2+1*0.3+2/2.5*0.5)*1300*0.85</f>
        <v>994.5</v>
      </c>
      <c r="F55" s="119">
        <f t="shared" si="2"/>
        <v>2983.5</v>
      </c>
      <c r="G55" s="124"/>
      <c r="H55" s="118">
        <v>180</v>
      </c>
      <c r="I55" s="10">
        <v>200</v>
      </c>
      <c r="J55" s="124"/>
      <c r="K55" s="118" t="s">
        <v>1020</v>
      </c>
      <c r="L55" s="129" t="s">
        <v>1021</v>
      </c>
      <c r="M55" s="108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  <c r="FA55" s="101"/>
      <c r="FB55" s="101"/>
      <c r="FC55" s="101"/>
      <c r="FD55" s="101"/>
      <c r="FE55" s="101"/>
      <c r="FF55" s="101"/>
      <c r="FG55" s="101"/>
      <c r="FH55" s="101"/>
      <c r="FI55" s="101"/>
      <c r="FJ55" s="101"/>
      <c r="FK55" s="101"/>
      <c r="FL55" s="101"/>
      <c r="FM55" s="101"/>
      <c r="FN55" s="101"/>
      <c r="FO55" s="101"/>
      <c r="FP55" s="101"/>
      <c r="FQ55" s="101"/>
      <c r="FR55" s="101"/>
      <c r="FS55" s="101"/>
      <c r="FT55" s="101"/>
      <c r="FU55" s="101"/>
      <c r="FV55" s="101"/>
      <c r="FW55" s="101"/>
      <c r="FX55" s="101"/>
      <c r="FY55" s="101"/>
      <c r="FZ55" s="101"/>
      <c r="GA55" s="101"/>
      <c r="GB55" s="101"/>
      <c r="GC55" s="101"/>
      <c r="GD55" s="101"/>
      <c r="GE55" s="101"/>
      <c r="GF55" s="101"/>
      <c r="GG55" s="101"/>
      <c r="GH55" s="101"/>
      <c r="GI55" s="101"/>
      <c r="GJ55" s="101"/>
      <c r="GK55" s="101"/>
      <c r="GL55" s="101"/>
      <c r="GM55" s="101"/>
      <c r="GN55" s="101"/>
      <c r="GO55" s="101"/>
      <c r="GP55" s="101"/>
      <c r="GQ55" s="101"/>
      <c r="GR55" s="101"/>
      <c r="GS55" s="101"/>
      <c r="GT55" s="101"/>
      <c r="GU55" s="101"/>
      <c r="GV55" s="101"/>
      <c r="GW55" s="101"/>
      <c r="GX55" s="101"/>
      <c r="GY55" s="101"/>
      <c r="GZ55" s="101"/>
      <c r="HA55" s="101"/>
      <c r="HB55" s="101"/>
      <c r="HC55" s="101"/>
      <c r="HD55" s="101"/>
      <c r="HE55" s="101"/>
      <c r="HF55" s="101"/>
      <c r="HG55" s="101"/>
      <c r="HH55" s="101"/>
      <c r="HI55" s="101"/>
      <c r="HJ55" s="101"/>
      <c r="HK55" s="101"/>
      <c r="HL55" s="101"/>
      <c r="HM55" s="101"/>
      <c r="HN55" s="101"/>
      <c r="HO55" s="101"/>
      <c r="HP55" s="101"/>
      <c r="HQ55" s="101"/>
      <c r="HR55" s="101"/>
      <c r="HS55" s="101"/>
      <c r="HT55" s="101"/>
      <c r="HU55" s="101"/>
      <c r="HV55" s="101"/>
      <c r="HW55" s="101"/>
      <c r="HX55" s="101"/>
      <c r="HY55" s="101"/>
      <c r="HZ55" s="101"/>
      <c r="IA55" s="101"/>
      <c r="IB55" s="101"/>
      <c r="IC55" s="101"/>
      <c r="ID55" s="101"/>
      <c r="IE55" s="101"/>
      <c r="IF55" s="101"/>
      <c r="IG55" s="101"/>
      <c r="IH55" s="101"/>
      <c r="II55" s="101"/>
      <c r="IJ55" s="101"/>
      <c r="IK55" s="101"/>
      <c r="IL55" s="101"/>
      <c r="IM55" s="101"/>
      <c r="IN55" s="101"/>
    </row>
    <row r="56" s="104" customFormat="1" ht="45" outlineLevel="1" spans="1:248">
      <c r="A56" s="117">
        <v>8</v>
      </c>
      <c r="B56" s="118" t="s">
        <v>1022</v>
      </c>
      <c r="C56" s="118" t="s">
        <v>909</v>
      </c>
      <c r="D56" s="119">
        <v>1</v>
      </c>
      <c r="E56" s="122">
        <f>1300*0+(1*0.2+1.55/2*0.3+1.8/2.5*0.5)*1300*0.85</f>
        <v>875.71</v>
      </c>
      <c r="F56" s="119">
        <f t="shared" si="2"/>
        <v>875.71</v>
      </c>
      <c r="G56" s="124"/>
      <c r="H56" s="118">
        <v>155</v>
      </c>
      <c r="I56" s="10">
        <v>180</v>
      </c>
      <c r="J56" s="124"/>
      <c r="K56" s="118" t="s">
        <v>1020</v>
      </c>
      <c r="L56" s="129" t="s">
        <v>1021</v>
      </c>
      <c r="M56" s="108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  <c r="EQ56" s="101"/>
      <c r="ER56" s="101"/>
      <c r="ES56" s="101"/>
      <c r="ET56" s="101"/>
      <c r="EU56" s="101"/>
      <c r="EV56" s="101"/>
      <c r="EW56" s="101"/>
      <c r="EX56" s="101"/>
      <c r="EY56" s="101"/>
      <c r="EZ56" s="101"/>
      <c r="FA56" s="101"/>
      <c r="FB56" s="101"/>
      <c r="FC56" s="101"/>
      <c r="FD56" s="101"/>
      <c r="FE56" s="101"/>
      <c r="FF56" s="101"/>
      <c r="FG56" s="101"/>
      <c r="FH56" s="101"/>
      <c r="FI56" s="101"/>
      <c r="FJ56" s="101"/>
      <c r="FK56" s="101"/>
      <c r="FL56" s="101"/>
      <c r="FM56" s="101"/>
      <c r="FN56" s="101"/>
      <c r="FO56" s="101"/>
      <c r="FP56" s="101"/>
      <c r="FQ56" s="101"/>
      <c r="FR56" s="101"/>
      <c r="FS56" s="101"/>
      <c r="FT56" s="101"/>
      <c r="FU56" s="101"/>
      <c r="FV56" s="101"/>
      <c r="FW56" s="101"/>
      <c r="FX56" s="101"/>
      <c r="FY56" s="101"/>
      <c r="FZ56" s="101"/>
      <c r="GA56" s="101"/>
      <c r="GB56" s="101"/>
      <c r="GC56" s="101"/>
      <c r="GD56" s="101"/>
      <c r="GE56" s="101"/>
      <c r="GF56" s="101"/>
      <c r="GG56" s="101"/>
      <c r="GH56" s="101"/>
      <c r="GI56" s="101"/>
      <c r="GJ56" s="101"/>
      <c r="GK56" s="101"/>
      <c r="GL56" s="101"/>
      <c r="GM56" s="101"/>
      <c r="GN56" s="101"/>
      <c r="GO56" s="101"/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1"/>
      <c r="HG56" s="101"/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1"/>
      <c r="IF56" s="101"/>
      <c r="IG56" s="101"/>
      <c r="IH56" s="101"/>
      <c r="II56" s="101"/>
      <c r="IJ56" s="101"/>
      <c r="IK56" s="101"/>
      <c r="IL56" s="101"/>
      <c r="IM56" s="101"/>
      <c r="IN56" s="101"/>
    </row>
    <row r="57" s="104" customFormat="1" ht="45" outlineLevel="1" spans="1:248">
      <c r="A57" s="117">
        <v>9</v>
      </c>
      <c r="B57" s="118" t="s">
        <v>1022</v>
      </c>
      <c r="C57" s="118" t="s">
        <v>909</v>
      </c>
      <c r="D57" s="119">
        <v>1</v>
      </c>
      <c r="E57" s="122">
        <f>1300*0+(1*0.2+1.7/2*0.3+1.8/2.5*0.5)*1300*0.85</f>
        <v>900.58</v>
      </c>
      <c r="F57" s="119">
        <f t="shared" si="2"/>
        <v>900.58</v>
      </c>
      <c r="G57" s="124"/>
      <c r="H57" s="118">
        <v>170</v>
      </c>
      <c r="I57" s="10">
        <v>180</v>
      </c>
      <c r="J57" s="124"/>
      <c r="K57" s="118" t="s">
        <v>1020</v>
      </c>
      <c r="L57" s="129" t="s">
        <v>1021</v>
      </c>
      <c r="M57" s="108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GI57" s="101"/>
      <c r="GJ57" s="101"/>
      <c r="GK57" s="101"/>
      <c r="GL57" s="101"/>
      <c r="GM57" s="101"/>
      <c r="GN57" s="101"/>
      <c r="GO57" s="101"/>
      <c r="GP57" s="101"/>
      <c r="GQ57" s="101"/>
      <c r="GR57" s="101"/>
      <c r="GS57" s="101"/>
      <c r="GT57" s="101"/>
      <c r="GU57" s="101"/>
      <c r="GV57" s="101"/>
      <c r="GW57" s="101"/>
      <c r="GX57" s="101"/>
      <c r="GY57" s="101"/>
      <c r="GZ57" s="101"/>
      <c r="HA57" s="101"/>
      <c r="HB57" s="101"/>
      <c r="HC57" s="101"/>
      <c r="HD57" s="101"/>
      <c r="HE57" s="101"/>
      <c r="HF57" s="101"/>
      <c r="HG57" s="101"/>
      <c r="HH57" s="101"/>
      <c r="HI57" s="101"/>
      <c r="HJ57" s="101"/>
      <c r="HK57" s="101"/>
      <c r="HL57" s="101"/>
      <c r="HM57" s="101"/>
      <c r="HN57" s="101"/>
      <c r="HO57" s="101"/>
      <c r="HP57" s="101"/>
      <c r="HQ57" s="101"/>
      <c r="HR57" s="101"/>
      <c r="HS57" s="101"/>
      <c r="HT57" s="101"/>
      <c r="HU57" s="101"/>
      <c r="HV57" s="101"/>
      <c r="HW57" s="101"/>
      <c r="HX57" s="101"/>
      <c r="HY57" s="101"/>
      <c r="HZ57" s="101"/>
      <c r="IA57" s="101"/>
      <c r="IB57" s="101"/>
      <c r="IC57" s="101"/>
      <c r="ID57" s="101"/>
      <c r="IE57" s="101"/>
      <c r="IF57" s="101"/>
      <c r="IG57" s="101"/>
      <c r="IH57" s="101"/>
      <c r="II57" s="101"/>
      <c r="IJ57" s="101"/>
      <c r="IK57" s="101"/>
      <c r="IL57" s="101"/>
      <c r="IM57" s="101"/>
      <c r="IN57" s="101"/>
    </row>
    <row r="58" s="104" customFormat="1" ht="45" outlineLevel="1" spans="1:248">
      <c r="A58" s="117">
        <v>10</v>
      </c>
      <c r="B58" s="118" t="s">
        <v>1022</v>
      </c>
      <c r="C58" s="118" t="s">
        <v>909</v>
      </c>
      <c r="D58" s="119">
        <v>1</v>
      </c>
      <c r="E58" s="122">
        <f>1300*0+(1*0.2+1.3/2*0.3+1.4/2.5*0.5)*1300*0.85</f>
        <v>745.88</v>
      </c>
      <c r="F58" s="119">
        <f t="shared" si="2"/>
        <v>745.88</v>
      </c>
      <c r="G58" s="124"/>
      <c r="H58" s="118">
        <v>130</v>
      </c>
      <c r="I58" s="10">
        <v>140</v>
      </c>
      <c r="J58" s="124"/>
      <c r="K58" s="118" t="s">
        <v>1020</v>
      </c>
      <c r="L58" s="129" t="s">
        <v>1021</v>
      </c>
      <c r="M58" s="108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  <c r="FA58" s="101"/>
      <c r="FB58" s="101"/>
      <c r="FC58" s="101"/>
      <c r="FD58" s="101"/>
      <c r="FE58" s="101"/>
      <c r="FF58" s="101"/>
      <c r="FG58" s="101"/>
      <c r="FH58" s="101"/>
      <c r="FI58" s="101"/>
      <c r="FJ58" s="101"/>
      <c r="FK58" s="101"/>
      <c r="FL58" s="101"/>
      <c r="FM58" s="101"/>
      <c r="FN58" s="101"/>
      <c r="FO58" s="101"/>
      <c r="FP58" s="101"/>
      <c r="FQ58" s="101"/>
      <c r="FR58" s="101"/>
      <c r="FS58" s="101"/>
      <c r="FT58" s="101"/>
      <c r="FU58" s="101"/>
      <c r="FV58" s="101"/>
      <c r="FW58" s="101"/>
      <c r="FX58" s="101"/>
      <c r="FY58" s="101"/>
      <c r="FZ58" s="101"/>
      <c r="GA58" s="101"/>
      <c r="GB58" s="101"/>
      <c r="GC58" s="101"/>
      <c r="GD58" s="101"/>
      <c r="GE58" s="101"/>
      <c r="GF58" s="101"/>
      <c r="GG58" s="101"/>
      <c r="GH58" s="101"/>
      <c r="GI58" s="101"/>
      <c r="GJ58" s="101"/>
      <c r="GK58" s="101"/>
      <c r="GL58" s="101"/>
      <c r="GM58" s="101"/>
      <c r="GN58" s="101"/>
      <c r="GO58" s="101"/>
      <c r="GP58" s="101"/>
      <c r="GQ58" s="101"/>
      <c r="GR58" s="101"/>
      <c r="GS58" s="101"/>
      <c r="GT58" s="101"/>
      <c r="GU58" s="101"/>
      <c r="GV58" s="101"/>
      <c r="GW58" s="101"/>
      <c r="GX58" s="101"/>
      <c r="GY58" s="101"/>
      <c r="GZ58" s="101"/>
      <c r="HA58" s="101"/>
      <c r="HB58" s="101"/>
      <c r="HC58" s="101"/>
      <c r="HD58" s="101"/>
      <c r="HE58" s="101"/>
      <c r="HF58" s="101"/>
      <c r="HG58" s="101"/>
      <c r="HH58" s="101"/>
      <c r="HI58" s="101"/>
      <c r="HJ58" s="101"/>
      <c r="HK58" s="101"/>
      <c r="HL58" s="101"/>
      <c r="HM58" s="101"/>
      <c r="HN58" s="101"/>
      <c r="HO58" s="101"/>
      <c r="HP58" s="101"/>
      <c r="HQ58" s="101"/>
      <c r="HR58" s="101"/>
      <c r="HS58" s="101"/>
      <c r="HT58" s="101"/>
      <c r="HU58" s="101"/>
      <c r="HV58" s="101"/>
      <c r="HW58" s="101"/>
      <c r="HX58" s="101"/>
      <c r="HY58" s="101"/>
      <c r="HZ58" s="101"/>
      <c r="IA58" s="101"/>
      <c r="IB58" s="101"/>
      <c r="IC58" s="101"/>
      <c r="ID58" s="101"/>
      <c r="IE58" s="101"/>
      <c r="IF58" s="101"/>
      <c r="IG58" s="101"/>
      <c r="IH58" s="101"/>
      <c r="II58" s="101"/>
      <c r="IJ58" s="101"/>
      <c r="IK58" s="101"/>
      <c r="IL58" s="101"/>
      <c r="IM58" s="101"/>
      <c r="IN58" s="101"/>
    </row>
    <row r="59" s="104" customFormat="1" ht="45" outlineLevel="1" spans="1:248">
      <c r="A59" s="117">
        <v>11</v>
      </c>
      <c r="B59" s="118" t="s">
        <v>1022</v>
      </c>
      <c r="C59" s="118" t="s">
        <v>909</v>
      </c>
      <c r="D59" s="119">
        <v>1</v>
      </c>
      <c r="E59" s="122">
        <f>1300*0+(1*0.2+1.6/2*0.3+1.7/2.5*0.5)*1300*0.85</f>
        <v>861.9</v>
      </c>
      <c r="F59" s="119">
        <f t="shared" si="2"/>
        <v>861.9</v>
      </c>
      <c r="G59" s="124"/>
      <c r="H59" s="118">
        <v>160</v>
      </c>
      <c r="I59" s="10">
        <v>170</v>
      </c>
      <c r="J59" s="124"/>
      <c r="K59" s="118" t="s">
        <v>1020</v>
      </c>
      <c r="L59" s="129" t="s">
        <v>1021</v>
      </c>
      <c r="M59" s="108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  <c r="EQ59" s="101"/>
      <c r="ER59" s="101"/>
      <c r="ES59" s="101"/>
      <c r="ET59" s="101"/>
      <c r="EU59" s="101"/>
      <c r="EV59" s="101"/>
      <c r="EW59" s="101"/>
      <c r="EX59" s="101"/>
      <c r="EY59" s="101"/>
      <c r="EZ59" s="101"/>
      <c r="FA59" s="101"/>
      <c r="FB59" s="101"/>
      <c r="FC59" s="101"/>
      <c r="FD59" s="101"/>
      <c r="FE59" s="101"/>
      <c r="FF59" s="101"/>
      <c r="FG59" s="101"/>
      <c r="FH59" s="101"/>
      <c r="FI59" s="101"/>
      <c r="FJ59" s="101"/>
      <c r="FK59" s="101"/>
      <c r="FL59" s="101"/>
      <c r="FM59" s="101"/>
      <c r="FN59" s="101"/>
      <c r="FO59" s="101"/>
      <c r="FP59" s="101"/>
      <c r="FQ59" s="101"/>
      <c r="FR59" s="101"/>
      <c r="FS59" s="101"/>
      <c r="FT59" s="101"/>
      <c r="FU59" s="101"/>
      <c r="FV59" s="101"/>
      <c r="FW59" s="101"/>
      <c r="FX59" s="101"/>
      <c r="FY59" s="101"/>
      <c r="FZ59" s="101"/>
      <c r="GA59" s="101"/>
      <c r="GB59" s="101"/>
      <c r="GC59" s="101"/>
      <c r="GD59" s="101"/>
      <c r="GE59" s="101"/>
      <c r="GF59" s="101"/>
      <c r="GG59" s="101"/>
      <c r="GH59" s="101"/>
      <c r="GI59" s="101"/>
      <c r="GJ59" s="101"/>
      <c r="GK59" s="101"/>
      <c r="GL59" s="101"/>
      <c r="GM59" s="101"/>
      <c r="GN59" s="101"/>
      <c r="GO59" s="101"/>
      <c r="GP59" s="101"/>
      <c r="GQ59" s="101"/>
      <c r="GR59" s="101"/>
      <c r="GS59" s="101"/>
      <c r="GT59" s="101"/>
      <c r="GU59" s="101"/>
      <c r="GV59" s="101"/>
      <c r="GW59" s="101"/>
      <c r="GX59" s="101"/>
      <c r="GY59" s="101"/>
      <c r="GZ59" s="101"/>
      <c r="HA59" s="101"/>
      <c r="HB59" s="101"/>
      <c r="HC59" s="101"/>
      <c r="HD59" s="101"/>
      <c r="HE59" s="101"/>
      <c r="HF59" s="101"/>
      <c r="HG59" s="101"/>
      <c r="HH59" s="101"/>
      <c r="HI59" s="101"/>
      <c r="HJ59" s="101"/>
      <c r="HK59" s="101"/>
      <c r="HL59" s="101"/>
      <c r="HM59" s="101"/>
      <c r="HN59" s="101"/>
      <c r="HO59" s="101"/>
      <c r="HP59" s="101"/>
      <c r="HQ59" s="101"/>
      <c r="HR59" s="101"/>
      <c r="HS59" s="101"/>
      <c r="HT59" s="101"/>
      <c r="HU59" s="101"/>
      <c r="HV59" s="101"/>
      <c r="HW59" s="101"/>
      <c r="HX59" s="101"/>
      <c r="HY59" s="101"/>
      <c r="HZ59" s="101"/>
      <c r="IA59" s="101"/>
      <c r="IB59" s="101"/>
      <c r="IC59" s="101"/>
      <c r="ID59" s="101"/>
      <c r="IE59" s="101"/>
      <c r="IF59" s="101"/>
      <c r="IG59" s="101"/>
      <c r="IH59" s="101"/>
      <c r="II59" s="101"/>
      <c r="IJ59" s="101"/>
      <c r="IK59" s="101"/>
      <c r="IL59" s="101"/>
      <c r="IM59" s="101"/>
      <c r="IN59" s="101"/>
    </row>
    <row r="60" s="104" customFormat="1" ht="45" outlineLevel="1" spans="1:248">
      <c r="A60" s="117">
        <v>12</v>
      </c>
      <c r="B60" s="118" t="s">
        <v>1022</v>
      </c>
      <c r="C60" s="118" t="s">
        <v>909</v>
      </c>
      <c r="D60" s="119">
        <v>1</v>
      </c>
      <c r="E60" s="122">
        <f>1300*0+(1*0.2+1.4/2*0.3+1.6/2.5*0.5)*1300*0.85</f>
        <v>806.65</v>
      </c>
      <c r="F60" s="119">
        <f t="shared" si="2"/>
        <v>806.65</v>
      </c>
      <c r="G60" s="124"/>
      <c r="H60" s="118">
        <v>140</v>
      </c>
      <c r="I60" s="10">
        <v>160</v>
      </c>
      <c r="J60" s="124"/>
      <c r="K60" s="118" t="s">
        <v>1020</v>
      </c>
      <c r="L60" s="129" t="s">
        <v>1021</v>
      </c>
      <c r="M60" s="108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  <c r="HN60" s="101"/>
      <c r="HO60" s="101"/>
      <c r="HP60" s="101"/>
      <c r="HQ60" s="101"/>
      <c r="HR60" s="101"/>
      <c r="HS60" s="101"/>
      <c r="HT60" s="101"/>
      <c r="HU60" s="101"/>
      <c r="HV60" s="101"/>
      <c r="HW60" s="101"/>
      <c r="HX60" s="101"/>
      <c r="HY60" s="101"/>
      <c r="HZ60" s="101"/>
      <c r="IA60" s="101"/>
      <c r="IB60" s="101"/>
      <c r="IC60" s="101"/>
      <c r="ID60" s="101"/>
      <c r="IE60" s="101"/>
      <c r="IF60" s="101"/>
      <c r="IG60" s="101"/>
      <c r="IH60" s="101"/>
      <c r="II60" s="101"/>
      <c r="IJ60" s="101"/>
      <c r="IK60" s="101"/>
      <c r="IL60" s="101"/>
      <c r="IM60" s="101"/>
      <c r="IN60" s="101"/>
    </row>
    <row r="61" s="104" customFormat="1" ht="45" outlineLevel="1" spans="1:248">
      <c r="A61" s="117">
        <v>13</v>
      </c>
      <c r="B61" s="118" t="s">
        <v>1022</v>
      </c>
      <c r="C61" s="118" t="s">
        <v>909</v>
      </c>
      <c r="D61" s="119">
        <v>1</v>
      </c>
      <c r="E61" s="122">
        <f>1300*0+(1*0.2+1.2/2*0.3+1.6/2.5*0.5)*1300*0.85</f>
        <v>773.5</v>
      </c>
      <c r="F61" s="119">
        <f t="shared" si="2"/>
        <v>773.5</v>
      </c>
      <c r="G61" s="124"/>
      <c r="H61" s="118">
        <v>120</v>
      </c>
      <c r="I61" s="10">
        <v>160</v>
      </c>
      <c r="J61" s="124"/>
      <c r="K61" s="118" t="s">
        <v>1020</v>
      </c>
      <c r="L61" s="129" t="s">
        <v>1021</v>
      </c>
      <c r="M61" s="108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101"/>
      <c r="IL61" s="101"/>
      <c r="IM61" s="101"/>
      <c r="IN61" s="101"/>
    </row>
    <row r="62" s="104" customFormat="1" ht="45" outlineLevel="1" spans="1:248">
      <c r="A62" s="117">
        <v>14</v>
      </c>
      <c r="B62" s="118" t="s">
        <v>1022</v>
      </c>
      <c r="C62" s="118" t="s">
        <v>909</v>
      </c>
      <c r="D62" s="119">
        <v>1</v>
      </c>
      <c r="E62" s="122">
        <f>1300*0+(1*0.2+1*0.3+1.69/2.5*0.5)*1300*0.85</f>
        <v>925.99</v>
      </c>
      <c r="F62" s="119">
        <f t="shared" si="2"/>
        <v>925.99</v>
      </c>
      <c r="G62" s="124"/>
      <c r="H62" s="118">
        <v>180</v>
      </c>
      <c r="I62" s="10">
        <v>190</v>
      </c>
      <c r="J62" s="124"/>
      <c r="K62" s="118" t="s">
        <v>1020</v>
      </c>
      <c r="L62" s="129" t="s">
        <v>1021</v>
      </c>
      <c r="M62" s="108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  <c r="FA62" s="101"/>
      <c r="FB62" s="101"/>
      <c r="FC62" s="101"/>
      <c r="FD62" s="101"/>
      <c r="FE62" s="101"/>
      <c r="FF62" s="101"/>
      <c r="FG62" s="101"/>
      <c r="FH62" s="101"/>
      <c r="FI62" s="101"/>
      <c r="FJ62" s="101"/>
      <c r="FK62" s="101"/>
      <c r="FL62" s="101"/>
      <c r="FM62" s="101"/>
      <c r="FN62" s="101"/>
      <c r="FO62" s="101"/>
      <c r="FP62" s="101"/>
      <c r="FQ62" s="101"/>
      <c r="FR62" s="101"/>
      <c r="FS62" s="101"/>
      <c r="FT62" s="101"/>
      <c r="FU62" s="101"/>
      <c r="FV62" s="101"/>
      <c r="FW62" s="101"/>
      <c r="FX62" s="101"/>
      <c r="FY62" s="101"/>
      <c r="FZ62" s="101"/>
      <c r="GA62" s="101"/>
      <c r="GB62" s="101"/>
      <c r="GC62" s="101"/>
      <c r="GD62" s="101"/>
      <c r="GE62" s="101"/>
      <c r="GF62" s="101"/>
      <c r="GG62" s="101"/>
      <c r="GH62" s="101"/>
      <c r="GI62" s="101"/>
      <c r="GJ62" s="101"/>
      <c r="GK62" s="101"/>
      <c r="GL62" s="101"/>
      <c r="GM62" s="101"/>
      <c r="GN62" s="101"/>
      <c r="GO62" s="101"/>
      <c r="GP62" s="101"/>
      <c r="GQ62" s="101"/>
      <c r="GR62" s="101"/>
      <c r="GS62" s="101"/>
      <c r="GT62" s="101"/>
      <c r="GU62" s="101"/>
      <c r="GV62" s="101"/>
      <c r="GW62" s="101"/>
      <c r="GX62" s="101"/>
      <c r="GY62" s="101"/>
      <c r="GZ62" s="101"/>
      <c r="HA62" s="101"/>
      <c r="HB62" s="101"/>
      <c r="HC62" s="101"/>
      <c r="HD62" s="101"/>
      <c r="HE62" s="101"/>
      <c r="HF62" s="101"/>
      <c r="HG62" s="101"/>
      <c r="HH62" s="101"/>
      <c r="HI62" s="101"/>
      <c r="HJ62" s="101"/>
      <c r="HK62" s="101"/>
      <c r="HL62" s="101"/>
      <c r="HM62" s="101"/>
      <c r="HN62" s="101"/>
      <c r="HO62" s="101"/>
      <c r="HP62" s="101"/>
      <c r="HQ62" s="101"/>
      <c r="HR62" s="101"/>
      <c r="HS62" s="101"/>
      <c r="HT62" s="101"/>
      <c r="HU62" s="101"/>
      <c r="HV62" s="101"/>
      <c r="HW62" s="101"/>
      <c r="HX62" s="101"/>
      <c r="HY62" s="101"/>
      <c r="HZ62" s="101"/>
      <c r="IA62" s="101"/>
      <c r="IB62" s="101"/>
      <c r="IC62" s="101"/>
      <c r="ID62" s="101"/>
      <c r="IE62" s="101"/>
      <c r="IF62" s="101"/>
      <c r="IG62" s="101"/>
      <c r="IH62" s="101"/>
      <c r="II62" s="101"/>
      <c r="IJ62" s="101"/>
      <c r="IK62" s="101"/>
      <c r="IL62" s="101"/>
      <c r="IM62" s="101"/>
      <c r="IN62" s="101"/>
    </row>
    <row r="63" s="104" customFormat="1" ht="45" outlineLevel="1" spans="1:248">
      <c r="A63" s="117">
        <v>15</v>
      </c>
      <c r="B63" s="118" t="s">
        <v>1023</v>
      </c>
      <c r="C63" s="118" t="s">
        <v>909</v>
      </c>
      <c r="D63" s="119">
        <v>2</v>
      </c>
      <c r="E63" s="120">
        <v>750</v>
      </c>
      <c r="F63" s="119">
        <f t="shared" si="2"/>
        <v>1500</v>
      </c>
      <c r="G63" s="124"/>
      <c r="H63" s="118">
        <v>180</v>
      </c>
      <c r="I63" s="10">
        <v>220</v>
      </c>
      <c r="J63" s="124"/>
      <c r="K63" s="118" t="s">
        <v>1024</v>
      </c>
      <c r="L63" s="129"/>
      <c r="M63" s="108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</row>
    <row r="64" s="104" customFormat="1" ht="45" outlineLevel="1" spans="1:248">
      <c r="A64" s="117">
        <v>16</v>
      </c>
      <c r="B64" s="118" t="s">
        <v>1023</v>
      </c>
      <c r="C64" s="118" t="s">
        <v>909</v>
      </c>
      <c r="D64" s="119">
        <v>1</v>
      </c>
      <c r="E64" s="122">
        <f>750*0+(1*0.2+1.4/1.8*0.3+1.7/2.2*0.5)*750*0.85</f>
        <v>522.56</v>
      </c>
      <c r="F64" s="119">
        <f t="shared" si="2"/>
        <v>522.56</v>
      </c>
      <c r="G64" s="124"/>
      <c r="H64" s="118">
        <v>140</v>
      </c>
      <c r="I64" s="10">
        <v>170</v>
      </c>
      <c r="J64" s="124"/>
      <c r="K64" s="118" t="s">
        <v>1024</v>
      </c>
      <c r="L64" s="129" t="s">
        <v>1025</v>
      </c>
      <c r="M64" s="108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  <c r="DE64" s="101"/>
      <c r="DF64" s="101"/>
      <c r="DG64" s="101"/>
      <c r="DH64" s="101"/>
      <c r="DI64" s="101"/>
      <c r="DJ64" s="101"/>
      <c r="DK64" s="101"/>
      <c r="DL64" s="101"/>
      <c r="DM64" s="101"/>
      <c r="DN64" s="101"/>
      <c r="DO64" s="101"/>
      <c r="DP64" s="101"/>
      <c r="DQ64" s="101"/>
      <c r="DR64" s="101"/>
      <c r="DS64" s="101"/>
      <c r="DT64" s="101"/>
      <c r="DU64" s="101"/>
      <c r="DV64" s="101"/>
      <c r="DW64" s="101"/>
      <c r="DX64" s="101"/>
      <c r="DY64" s="101"/>
      <c r="DZ64" s="101"/>
      <c r="EA64" s="101"/>
      <c r="EB64" s="101"/>
      <c r="EC64" s="101"/>
      <c r="ED64" s="101"/>
      <c r="EE64" s="101"/>
      <c r="EF64" s="101"/>
      <c r="EG64" s="101"/>
      <c r="EH64" s="101"/>
      <c r="EI64" s="101"/>
      <c r="EJ64" s="101"/>
      <c r="EK64" s="101"/>
      <c r="EL64" s="101"/>
      <c r="EM64" s="101"/>
      <c r="EN64" s="101"/>
      <c r="EO64" s="101"/>
      <c r="EP64" s="101"/>
      <c r="EQ64" s="101"/>
      <c r="ER64" s="101"/>
      <c r="ES64" s="101"/>
      <c r="ET64" s="101"/>
      <c r="EU64" s="101"/>
      <c r="EV64" s="101"/>
      <c r="EW64" s="101"/>
      <c r="EX64" s="101"/>
      <c r="EY64" s="101"/>
      <c r="EZ64" s="101"/>
      <c r="FA64" s="101"/>
      <c r="FB64" s="101"/>
      <c r="FC64" s="101"/>
      <c r="FD64" s="101"/>
      <c r="FE64" s="101"/>
      <c r="FF64" s="101"/>
      <c r="FG64" s="101"/>
      <c r="FH64" s="101"/>
      <c r="FI64" s="101"/>
      <c r="FJ64" s="101"/>
      <c r="FK64" s="101"/>
      <c r="FL64" s="101"/>
      <c r="FM64" s="101"/>
      <c r="FN64" s="101"/>
      <c r="FO64" s="101"/>
      <c r="FP64" s="101"/>
      <c r="FQ64" s="101"/>
      <c r="FR64" s="101"/>
      <c r="FS64" s="101"/>
      <c r="FT64" s="101"/>
      <c r="FU64" s="101"/>
      <c r="FV64" s="101"/>
      <c r="FW64" s="101"/>
      <c r="FX64" s="101"/>
      <c r="FY64" s="101"/>
      <c r="FZ64" s="101"/>
      <c r="GA64" s="101"/>
      <c r="GB64" s="101"/>
      <c r="GC64" s="101"/>
      <c r="GD64" s="101"/>
      <c r="GE64" s="101"/>
      <c r="GF64" s="101"/>
      <c r="GG64" s="101"/>
      <c r="GH64" s="101"/>
      <c r="GI64" s="101"/>
      <c r="GJ64" s="101"/>
      <c r="GK64" s="101"/>
      <c r="GL64" s="101"/>
      <c r="GM64" s="101"/>
      <c r="GN64" s="101"/>
      <c r="GO64" s="101"/>
      <c r="GP64" s="101"/>
      <c r="GQ64" s="101"/>
      <c r="GR64" s="101"/>
      <c r="GS64" s="101"/>
      <c r="GT64" s="101"/>
      <c r="GU64" s="101"/>
      <c r="GV64" s="101"/>
      <c r="GW64" s="101"/>
      <c r="GX64" s="101"/>
      <c r="GY64" s="101"/>
      <c r="GZ64" s="101"/>
      <c r="HA64" s="101"/>
      <c r="HB64" s="101"/>
      <c r="HC64" s="101"/>
      <c r="HD64" s="101"/>
      <c r="HE64" s="101"/>
      <c r="HF64" s="101"/>
      <c r="HG64" s="101"/>
      <c r="HH64" s="101"/>
      <c r="HI64" s="101"/>
      <c r="HJ64" s="101"/>
      <c r="HK64" s="101"/>
      <c r="HL64" s="101"/>
      <c r="HM64" s="101"/>
      <c r="HN64" s="101"/>
      <c r="HO64" s="101"/>
      <c r="HP64" s="101"/>
      <c r="HQ64" s="101"/>
      <c r="HR64" s="101"/>
      <c r="HS64" s="101"/>
      <c r="HT64" s="101"/>
      <c r="HU64" s="101"/>
      <c r="HV64" s="101"/>
      <c r="HW64" s="101"/>
      <c r="HX64" s="101"/>
      <c r="HY64" s="101"/>
      <c r="HZ64" s="101"/>
      <c r="IA64" s="101"/>
      <c r="IB64" s="101"/>
      <c r="IC64" s="101"/>
      <c r="ID64" s="101"/>
      <c r="IE64" s="101"/>
      <c r="IF64" s="101"/>
      <c r="IG64" s="101"/>
      <c r="IH64" s="101"/>
      <c r="II64" s="101"/>
      <c r="IJ64" s="101"/>
      <c r="IK64" s="101"/>
      <c r="IL64" s="101"/>
      <c r="IM64" s="101"/>
      <c r="IN64" s="101"/>
    </row>
    <row r="65" s="104" customFormat="1" ht="45" outlineLevel="1" spans="1:248">
      <c r="A65" s="117">
        <v>17</v>
      </c>
      <c r="B65" s="118" t="s">
        <v>1023</v>
      </c>
      <c r="C65" s="118" t="s">
        <v>909</v>
      </c>
      <c r="D65" s="119">
        <v>1</v>
      </c>
      <c r="E65" s="122">
        <f>750*0+(1*0.2+1.5/1.8*0.3+1.8/2.2*0.5)*750*0.85</f>
        <v>547.67</v>
      </c>
      <c r="F65" s="119">
        <f t="shared" si="2"/>
        <v>547.67</v>
      </c>
      <c r="G65" s="124"/>
      <c r="H65" s="118">
        <v>150</v>
      </c>
      <c r="I65" s="10">
        <v>180</v>
      </c>
      <c r="J65" s="124"/>
      <c r="K65" s="118" t="s">
        <v>1024</v>
      </c>
      <c r="L65" s="129" t="s">
        <v>1025</v>
      </c>
      <c r="M65" s="108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  <c r="EN65" s="101"/>
      <c r="EO65" s="101"/>
      <c r="EP65" s="101"/>
      <c r="EQ65" s="101"/>
      <c r="ER65" s="101"/>
      <c r="ES65" s="101"/>
      <c r="ET65" s="101"/>
      <c r="EU65" s="101"/>
      <c r="EV65" s="101"/>
      <c r="EW65" s="101"/>
      <c r="EX65" s="101"/>
      <c r="EY65" s="101"/>
      <c r="EZ65" s="101"/>
      <c r="FA65" s="101"/>
      <c r="FB65" s="101"/>
      <c r="FC65" s="101"/>
      <c r="FD65" s="101"/>
      <c r="FE65" s="101"/>
      <c r="FF65" s="101"/>
      <c r="FG65" s="101"/>
      <c r="FH65" s="101"/>
      <c r="FI65" s="101"/>
      <c r="FJ65" s="101"/>
      <c r="FK65" s="101"/>
      <c r="FL65" s="101"/>
      <c r="FM65" s="101"/>
      <c r="FN65" s="101"/>
      <c r="FO65" s="101"/>
      <c r="FP65" s="101"/>
      <c r="FQ65" s="101"/>
      <c r="FR65" s="101"/>
      <c r="FS65" s="101"/>
      <c r="FT65" s="101"/>
      <c r="FU65" s="101"/>
      <c r="FV65" s="101"/>
      <c r="FW65" s="101"/>
      <c r="FX65" s="101"/>
      <c r="FY65" s="101"/>
      <c r="FZ65" s="101"/>
      <c r="GA65" s="101"/>
      <c r="GB65" s="101"/>
      <c r="GC65" s="101"/>
      <c r="GD65" s="101"/>
      <c r="GE65" s="101"/>
      <c r="GF65" s="101"/>
      <c r="GG65" s="101"/>
      <c r="GH65" s="101"/>
      <c r="GI65" s="101"/>
      <c r="GJ65" s="101"/>
      <c r="GK65" s="101"/>
      <c r="GL65" s="101"/>
      <c r="GM65" s="101"/>
      <c r="GN65" s="101"/>
      <c r="GO65" s="101"/>
      <c r="GP65" s="101"/>
      <c r="GQ65" s="101"/>
      <c r="GR65" s="101"/>
      <c r="GS65" s="101"/>
      <c r="GT65" s="101"/>
      <c r="GU65" s="101"/>
      <c r="GV65" s="101"/>
      <c r="GW65" s="101"/>
      <c r="GX65" s="101"/>
      <c r="GY65" s="101"/>
      <c r="GZ65" s="101"/>
      <c r="HA65" s="101"/>
      <c r="HB65" s="101"/>
      <c r="HC65" s="101"/>
      <c r="HD65" s="101"/>
      <c r="HE65" s="101"/>
      <c r="HF65" s="101"/>
      <c r="HG65" s="101"/>
      <c r="HH65" s="101"/>
      <c r="HI65" s="101"/>
      <c r="HJ65" s="101"/>
      <c r="HK65" s="101"/>
      <c r="HL65" s="101"/>
      <c r="HM65" s="101"/>
      <c r="HN65" s="101"/>
      <c r="HO65" s="101"/>
      <c r="HP65" s="101"/>
      <c r="HQ65" s="101"/>
      <c r="HR65" s="101"/>
      <c r="HS65" s="101"/>
      <c r="HT65" s="101"/>
      <c r="HU65" s="101"/>
      <c r="HV65" s="101"/>
      <c r="HW65" s="101"/>
      <c r="HX65" s="101"/>
      <c r="HY65" s="101"/>
      <c r="HZ65" s="101"/>
      <c r="IA65" s="101"/>
      <c r="IB65" s="101"/>
      <c r="IC65" s="101"/>
      <c r="ID65" s="101"/>
      <c r="IE65" s="101"/>
      <c r="IF65" s="101"/>
      <c r="IG65" s="101"/>
      <c r="IH65" s="101"/>
      <c r="II65" s="101"/>
      <c r="IJ65" s="101"/>
      <c r="IK65" s="101"/>
      <c r="IL65" s="101"/>
      <c r="IM65" s="101"/>
      <c r="IN65" s="101"/>
    </row>
    <row r="66" s="104" customFormat="1" ht="45" outlineLevel="1" spans="1:248">
      <c r="A66" s="117">
        <v>18</v>
      </c>
      <c r="B66" s="118" t="s">
        <v>1023</v>
      </c>
      <c r="C66" s="118" t="s">
        <v>909</v>
      </c>
      <c r="D66" s="119">
        <v>1</v>
      </c>
      <c r="E66" s="122">
        <f>750*0+(1*0.2+1.5/1.8*0.3+1.9/2.2*0.5)*750*0.85</f>
        <v>562.16</v>
      </c>
      <c r="F66" s="119">
        <f t="shared" si="2"/>
        <v>562.16</v>
      </c>
      <c r="G66" s="124"/>
      <c r="H66" s="118">
        <v>150</v>
      </c>
      <c r="I66" s="10">
        <v>190</v>
      </c>
      <c r="J66" s="124"/>
      <c r="K66" s="118" t="s">
        <v>1024</v>
      </c>
      <c r="L66" s="129" t="s">
        <v>1025</v>
      </c>
      <c r="M66" s="108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1"/>
      <c r="FF66" s="101"/>
      <c r="FG66" s="101"/>
      <c r="FH66" s="101"/>
      <c r="FI66" s="101"/>
      <c r="FJ66" s="101"/>
      <c r="FK66" s="101"/>
      <c r="FL66" s="101"/>
      <c r="FM66" s="101"/>
      <c r="FN66" s="101"/>
      <c r="FO66" s="101"/>
      <c r="FP66" s="101"/>
      <c r="FQ66" s="101"/>
      <c r="FR66" s="101"/>
      <c r="FS66" s="101"/>
      <c r="FT66" s="101"/>
      <c r="FU66" s="101"/>
      <c r="FV66" s="101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GI66" s="101"/>
      <c r="GJ66" s="101"/>
      <c r="GK66" s="101"/>
      <c r="GL66" s="101"/>
      <c r="GM66" s="101"/>
      <c r="GN66" s="101"/>
      <c r="GO66" s="101"/>
      <c r="GP66" s="101"/>
      <c r="GQ66" s="101"/>
      <c r="GR66" s="101"/>
      <c r="GS66" s="101"/>
      <c r="GT66" s="101"/>
      <c r="GU66" s="101"/>
      <c r="GV66" s="101"/>
      <c r="GW66" s="101"/>
      <c r="GX66" s="101"/>
      <c r="GY66" s="101"/>
      <c r="GZ66" s="101"/>
      <c r="HA66" s="101"/>
      <c r="HB66" s="101"/>
      <c r="HC66" s="101"/>
      <c r="HD66" s="101"/>
      <c r="HE66" s="101"/>
      <c r="HF66" s="101"/>
      <c r="HG66" s="101"/>
      <c r="HH66" s="101"/>
      <c r="HI66" s="101"/>
      <c r="HJ66" s="101"/>
      <c r="HK66" s="101"/>
      <c r="HL66" s="101"/>
      <c r="HM66" s="101"/>
      <c r="HN66" s="101"/>
      <c r="HO66" s="101"/>
      <c r="HP66" s="101"/>
      <c r="HQ66" s="101"/>
      <c r="HR66" s="101"/>
      <c r="HS66" s="101"/>
      <c r="HT66" s="101"/>
      <c r="HU66" s="101"/>
      <c r="HV66" s="101"/>
      <c r="HW66" s="101"/>
      <c r="HX66" s="101"/>
      <c r="HY66" s="101"/>
      <c r="HZ66" s="101"/>
      <c r="IA66" s="101"/>
      <c r="IB66" s="101"/>
      <c r="IC66" s="101"/>
      <c r="ID66" s="101"/>
      <c r="IE66" s="101"/>
      <c r="IF66" s="101"/>
      <c r="IG66" s="101"/>
      <c r="IH66" s="101"/>
      <c r="II66" s="101"/>
      <c r="IJ66" s="101"/>
      <c r="IK66" s="101"/>
      <c r="IL66" s="101"/>
      <c r="IM66" s="101"/>
      <c r="IN66" s="101"/>
    </row>
    <row r="67" s="104" customFormat="1" ht="45" outlineLevel="1" spans="1:248">
      <c r="A67" s="117">
        <v>19</v>
      </c>
      <c r="B67" s="118" t="s">
        <v>1023</v>
      </c>
      <c r="C67" s="118" t="s">
        <v>909</v>
      </c>
      <c r="D67" s="119">
        <v>1</v>
      </c>
      <c r="E67" s="122">
        <f>750*0+(1*0.2+1*0.3+2.1/2.2*0.5)*750*0.85</f>
        <v>623.01</v>
      </c>
      <c r="F67" s="119">
        <f t="shared" si="2"/>
        <v>623.01</v>
      </c>
      <c r="G67" s="124"/>
      <c r="H67" s="118">
        <v>190</v>
      </c>
      <c r="I67" s="10">
        <v>210</v>
      </c>
      <c r="J67" s="124"/>
      <c r="K67" s="118" t="s">
        <v>1024</v>
      </c>
      <c r="L67" s="129" t="s">
        <v>1025</v>
      </c>
      <c r="M67" s="108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1"/>
      <c r="FF67" s="101"/>
      <c r="FG67" s="101"/>
      <c r="FH67" s="101"/>
      <c r="FI67" s="101"/>
      <c r="FJ67" s="101"/>
      <c r="FK67" s="101"/>
      <c r="FL67" s="101"/>
      <c r="FM67" s="101"/>
      <c r="FN67" s="101"/>
      <c r="FO67" s="101"/>
      <c r="FP67" s="101"/>
      <c r="FQ67" s="101"/>
      <c r="FR67" s="101"/>
      <c r="FS67" s="101"/>
      <c r="FT67" s="101"/>
      <c r="FU67" s="101"/>
      <c r="FV67" s="101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GI67" s="101"/>
      <c r="GJ67" s="101"/>
      <c r="GK67" s="101"/>
      <c r="GL67" s="101"/>
      <c r="GM67" s="101"/>
      <c r="GN67" s="101"/>
      <c r="GO67" s="101"/>
      <c r="GP67" s="101"/>
      <c r="GQ67" s="101"/>
      <c r="GR67" s="101"/>
      <c r="GS67" s="101"/>
      <c r="GT67" s="101"/>
      <c r="GU67" s="101"/>
      <c r="GV67" s="101"/>
      <c r="GW67" s="101"/>
      <c r="GX67" s="101"/>
      <c r="GY67" s="101"/>
      <c r="GZ67" s="101"/>
      <c r="HA67" s="101"/>
      <c r="HB67" s="101"/>
      <c r="HC67" s="101"/>
      <c r="HD67" s="101"/>
      <c r="HE67" s="101"/>
      <c r="HF67" s="101"/>
      <c r="HG67" s="101"/>
      <c r="HH67" s="101"/>
      <c r="HI67" s="101"/>
      <c r="HJ67" s="101"/>
      <c r="HK67" s="101"/>
      <c r="HL67" s="101"/>
      <c r="HM67" s="101"/>
      <c r="HN67" s="101"/>
      <c r="HO67" s="101"/>
      <c r="HP67" s="101"/>
      <c r="HQ67" s="101"/>
      <c r="HR67" s="101"/>
      <c r="HS67" s="101"/>
      <c r="HT67" s="101"/>
      <c r="HU67" s="101"/>
      <c r="HV67" s="101"/>
      <c r="HW67" s="101"/>
      <c r="HX67" s="101"/>
      <c r="HY67" s="101"/>
      <c r="HZ67" s="101"/>
      <c r="IA67" s="101"/>
      <c r="IB67" s="101"/>
      <c r="IC67" s="101"/>
      <c r="ID67" s="101"/>
      <c r="IE67" s="101"/>
      <c r="IF67" s="101"/>
      <c r="IG67" s="101"/>
      <c r="IH67" s="101"/>
      <c r="II67" s="101"/>
      <c r="IJ67" s="101"/>
      <c r="IK67" s="101"/>
      <c r="IL67" s="101"/>
      <c r="IM67" s="101"/>
      <c r="IN67" s="101"/>
    </row>
    <row r="68" s="104" customFormat="1" ht="45" outlineLevel="1" spans="1:248">
      <c r="A68" s="117">
        <v>20</v>
      </c>
      <c r="B68" s="118" t="s">
        <v>1026</v>
      </c>
      <c r="C68" s="118" t="s">
        <v>909</v>
      </c>
      <c r="D68" s="119">
        <v>9</v>
      </c>
      <c r="E68" s="122">
        <f>750*0+(1*0.2+1.2/1.8*0.3+1.5/2.2*0.5)*750*0.85</f>
        <v>472.33</v>
      </c>
      <c r="F68" s="119">
        <f t="shared" si="2"/>
        <v>4250.97</v>
      </c>
      <c r="G68" s="124"/>
      <c r="H68" s="118">
        <v>120</v>
      </c>
      <c r="I68" s="10">
        <v>150</v>
      </c>
      <c r="J68" s="124"/>
      <c r="K68" s="118" t="s">
        <v>1024</v>
      </c>
      <c r="L68" s="129" t="s">
        <v>1025</v>
      </c>
      <c r="M68" s="108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1"/>
      <c r="FX68" s="101"/>
      <c r="FY68" s="101"/>
      <c r="FZ68" s="101"/>
      <c r="GA68" s="101"/>
      <c r="GB68" s="101"/>
      <c r="GC68" s="101"/>
      <c r="GD68" s="101"/>
      <c r="GE68" s="101"/>
      <c r="GF68" s="101"/>
      <c r="GG68" s="101"/>
      <c r="GH68" s="101"/>
      <c r="GI68" s="101"/>
      <c r="GJ68" s="101"/>
      <c r="GK68" s="101"/>
      <c r="GL68" s="101"/>
      <c r="GM68" s="101"/>
      <c r="GN68" s="101"/>
      <c r="GO68" s="101"/>
      <c r="GP68" s="101"/>
      <c r="GQ68" s="101"/>
      <c r="GR68" s="101"/>
      <c r="GS68" s="101"/>
      <c r="GT68" s="101"/>
      <c r="GU68" s="101"/>
      <c r="GV68" s="101"/>
      <c r="GW68" s="101"/>
      <c r="GX68" s="101"/>
      <c r="GY68" s="101"/>
      <c r="GZ68" s="101"/>
      <c r="HA68" s="101"/>
      <c r="HB68" s="101"/>
      <c r="HC68" s="101"/>
      <c r="HD68" s="101"/>
      <c r="HE68" s="101"/>
      <c r="HF68" s="101"/>
      <c r="HG68" s="101"/>
      <c r="HH68" s="101"/>
      <c r="HI68" s="101"/>
      <c r="HJ68" s="101"/>
      <c r="HK68" s="101"/>
      <c r="HL68" s="101"/>
      <c r="HM68" s="101"/>
      <c r="HN68" s="101"/>
      <c r="HO68" s="101"/>
      <c r="HP68" s="101"/>
      <c r="HQ68" s="101"/>
      <c r="HR68" s="101"/>
      <c r="HS68" s="101"/>
      <c r="HT68" s="101"/>
      <c r="HU68" s="101"/>
      <c r="HV68" s="101"/>
      <c r="HW68" s="101"/>
      <c r="HX68" s="101"/>
      <c r="HY68" s="101"/>
      <c r="HZ68" s="101"/>
      <c r="IA68" s="101"/>
      <c r="IB68" s="101"/>
      <c r="IC68" s="101"/>
      <c r="ID68" s="101"/>
      <c r="IE68" s="101"/>
      <c r="IF68" s="101"/>
      <c r="IG68" s="101"/>
      <c r="IH68" s="101"/>
      <c r="II68" s="101"/>
      <c r="IJ68" s="101"/>
      <c r="IK68" s="101"/>
      <c r="IL68" s="101"/>
      <c r="IM68" s="101"/>
      <c r="IN68" s="101"/>
    </row>
    <row r="69" s="104" customFormat="1" ht="45" outlineLevel="1" spans="1:248">
      <c r="A69" s="117">
        <v>21</v>
      </c>
      <c r="B69" s="118" t="s">
        <v>1026</v>
      </c>
      <c r="C69" s="118" t="s">
        <v>909</v>
      </c>
      <c r="D69" s="119">
        <v>1</v>
      </c>
      <c r="E69" s="122">
        <f>750*0+(1*0.2+1.3/1.8*0.3+1.5/2.2*0.5)*750*0.85</f>
        <v>482.95</v>
      </c>
      <c r="F69" s="119">
        <f t="shared" si="2"/>
        <v>482.95</v>
      </c>
      <c r="G69" s="124"/>
      <c r="H69" s="118">
        <v>130</v>
      </c>
      <c r="I69" s="10">
        <v>150</v>
      </c>
      <c r="J69" s="124"/>
      <c r="K69" s="118" t="s">
        <v>1024</v>
      </c>
      <c r="L69" s="129" t="s">
        <v>1025</v>
      </c>
      <c r="M69" s="108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1"/>
      <c r="FX69" s="101"/>
      <c r="FY69" s="101"/>
      <c r="FZ69" s="101"/>
      <c r="GA69" s="101"/>
      <c r="GB69" s="101"/>
      <c r="GC69" s="101"/>
      <c r="GD69" s="101"/>
      <c r="GE69" s="101"/>
      <c r="GF69" s="101"/>
      <c r="GG69" s="101"/>
      <c r="GH69" s="101"/>
      <c r="GI69" s="101"/>
      <c r="GJ69" s="101"/>
      <c r="GK69" s="101"/>
      <c r="GL69" s="101"/>
      <c r="GM69" s="101"/>
      <c r="GN69" s="101"/>
      <c r="GO69" s="101"/>
      <c r="GP69" s="101"/>
      <c r="GQ69" s="101"/>
      <c r="GR69" s="101"/>
      <c r="GS69" s="101"/>
      <c r="GT69" s="101"/>
      <c r="GU69" s="101"/>
      <c r="GV69" s="101"/>
      <c r="GW69" s="101"/>
      <c r="GX69" s="101"/>
      <c r="GY69" s="101"/>
      <c r="GZ69" s="101"/>
      <c r="HA69" s="101"/>
      <c r="HB69" s="101"/>
      <c r="HC69" s="101"/>
      <c r="HD69" s="101"/>
      <c r="HE69" s="101"/>
      <c r="HF69" s="101"/>
      <c r="HG69" s="101"/>
      <c r="HH69" s="101"/>
      <c r="HI69" s="101"/>
      <c r="HJ69" s="101"/>
      <c r="HK69" s="101"/>
      <c r="HL69" s="101"/>
      <c r="HM69" s="101"/>
      <c r="HN69" s="101"/>
      <c r="HO69" s="101"/>
      <c r="HP69" s="101"/>
      <c r="HQ69" s="101"/>
      <c r="HR69" s="101"/>
      <c r="HS69" s="101"/>
      <c r="HT69" s="101"/>
      <c r="HU69" s="101"/>
      <c r="HV69" s="101"/>
      <c r="HW69" s="101"/>
      <c r="HX69" s="101"/>
      <c r="HY69" s="101"/>
      <c r="HZ69" s="101"/>
      <c r="IA69" s="101"/>
      <c r="IB69" s="101"/>
      <c r="IC69" s="101"/>
      <c r="ID69" s="101"/>
      <c r="IE69" s="101"/>
      <c r="IF69" s="101"/>
      <c r="IG69" s="101"/>
      <c r="IH69" s="101"/>
      <c r="II69" s="101"/>
      <c r="IJ69" s="101"/>
      <c r="IK69" s="101"/>
      <c r="IL69" s="101"/>
      <c r="IM69" s="101"/>
      <c r="IN69" s="101"/>
    </row>
    <row r="70" s="104" customFormat="1" ht="45" outlineLevel="1" spans="1:248">
      <c r="A70" s="117">
        <v>22</v>
      </c>
      <c r="B70" s="118" t="s">
        <v>1026</v>
      </c>
      <c r="C70" s="118" t="s">
        <v>909</v>
      </c>
      <c r="D70" s="119">
        <v>1</v>
      </c>
      <c r="E70" s="122">
        <f>750*0+(1*0.2+1.3/1.8*0.3+1.4/2.2*0.5)*750*0.85</f>
        <v>468.47</v>
      </c>
      <c r="F70" s="119">
        <f t="shared" si="2"/>
        <v>468.47</v>
      </c>
      <c r="G70" s="124"/>
      <c r="H70" s="118">
        <v>130</v>
      </c>
      <c r="I70" s="10">
        <v>140</v>
      </c>
      <c r="J70" s="124"/>
      <c r="K70" s="118" t="s">
        <v>1024</v>
      </c>
      <c r="L70" s="129" t="s">
        <v>1025</v>
      </c>
      <c r="M70" s="108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1"/>
      <c r="FF70" s="101"/>
      <c r="FG70" s="101"/>
      <c r="FH70" s="101"/>
      <c r="FI70" s="101"/>
      <c r="FJ70" s="101"/>
      <c r="FK70" s="101"/>
      <c r="FL70" s="101"/>
      <c r="FM70" s="101"/>
      <c r="FN70" s="101"/>
      <c r="FO70" s="101"/>
      <c r="FP70" s="101"/>
      <c r="FQ70" s="101"/>
      <c r="FR70" s="101"/>
      <c r="FS70" s="101"/>
      <c r="FT70" s="101"/>
      <c r="FU70" s="101"/>
      <c r="FV70" s="101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GI70" s="101"/>
      <c r="GJ70" s="101"/>
      <c r="GK70" s="101"/>
      <c r="GL70" s="101"/>
      <c r="GM70" s="101"/>
      <c r="GN70" s="101"/>
      <c r="GO70" s="101"/>
      <c r="GP70" s="101"/>
      <c r="GQ70" s="101"/>
      <c r="GR70" s="101"/>
      <c r="GS70" s="101"/>
      <c r="GT70" s="101"/>
      <c r="GU70" s="101"/>
      <c r="GV70" s="101"/>
      <c r="GW70" s="101"/>
      <c r="GX70" s="101"/>
      <c r="GY70" s="101"/>
      <c r="GZ70" s="101"/>
      <c r="HA70" s="101"/>
      <c r="HB70" s="101"/>
      <c r="HC70" s="101"/>
      <c r="HD70" s="101"/>
      <c r="HE70" s="101"/>
      <c r="HF70" s="101"/>
      <c r="HG70" s="101"/>
      <c r="HH70" s="101"/>
      <c r="HI70" s="101"/>
      <c r="HJ70" s="101"/>
      <c r="HK70" s="101"/>
      <c r="HL70" s="101"/>
      <c r="HM70" s="101"/>
      <c r="HN70" s="101"/>
      <c r="HO70" s="101"/>
      <c r="HP70" s="101"/>
      <c r="HQ70" s="101"/>
      <c r="HR70" s="101"/>
      <c r="HS70" s="101"/>
      <c r="HT70" s="101"/>
      <c r="HU70" s="101"/>
      <c r="HV70" s="101"/>
      <c r="HW70" s="101"/>
      <c r="HX70" s="101"/>
      <c r="HY70" s="101"/>
      <c r="HZ70" s="101"/>
      <c r="IA70" s="101"/>
      <c r="IB70" s="101"/>
      <c r="IC70" s="101"/>
      <c r="ID70" s="101"/>
      <c r="IE70" s="101"/>
      <c r="IF70" s="101"/>
      <c r="IG70" s="101"/>
      <c r="IH70" s="101"/>
      <c r="II70" s="101"/>
      <c r="IJ70" s="101"/>
      <c r="IK70" s="101"/>
      <c r="IL70" s="101"/>
      <c r="IM70" s="101"/>
      <c r="IN70" s="101"/>
    </row>
    <row r="71" s="104" customFormat="1" ht="45" outlineLevel="1" spans="1:248">
      <c r="A71" s="117">
        <v>23</v>
      </c>
      <c r="B71" s="118" t="s">
        <v>1026</v>
      </c>
      <c r="C71" s="118" t="s">
        <v>909</v>
      </c>
      <c r="D71" s="119">
        <v>1</v>
      </c>
      <c r="E71" s="122">
        <f>750*0+(1*0.2+1.3/1.8*0.3+1.7/2.2*0.5)*750*0.85</f>
        <v>511.93</v>
      </c>
      <c r="F71" s="119">
        <f t="shared" si="2"/>
        <v>511.93</v>
      </c>
      <c r="G71" s="124"/>
      <c r="H71" s="118">
        <v>130</v>
      </c>
      <c r="I71" s="10">
        <v>170</v>
      </c>
      <c r="J71" s="124"/>
      <c r="K71" s="118" t="s">
        <v>1024</v>
      </c>
      <c r="L71" s="129" t="s">
        <v>1025</v>
      </c>
      <c r="M71" s="108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1"/>
      <c r="FF71" s="101"/>
      <c r="FG71" s="101"/>
      <c r="FH71" s="101"/>
      <c r="FI71" s="101"/>
      <c r="FJ71" s="101"/>
      <c r="FK71" s="101"/>
      <c r="FL71" s="101"/>
      <c r="FM71" s="101"/>
      <c r="FN71" s="101"/>
      <c r="FO71" s="101"/>
      <c r="FP71" s="101"/>
      <c r="FQ71" s="101"/>
      <c r="FR71" s="101"/>
      <c r="FS71" s="101"/>
      <c r="FT71" s="101"/>
      <c r="FU71" s="101"/>
      <c r="FV71" s="101"/>
      <c r="FW71" s="101"/>
      <c r="FX71" s="101"/>
      <c r="FY71" s="101"/>
      <c r="FZ71" s="101"/>
      <c r="GA71" s="101"/>
      <c r="GB71" s="101"/>
      <c r="GC71" s="101"/>
      <c r="GD71" s="101"/>
      <c r="GE71" s="101"/>
      <c r="GF71" s="101"/>
      <c r="GG71" s="101"/>
      <c r="GH71" s="101"/>
      <c r="GI71" s="101"/>
      <c r="GJ71" s="101"/>
      <c r="GK71" s="101"/>
      <c r="GL71" s="101"/>
      <c r="GM71" s="101"/>
      <c r="GN71" s="101"/>
      <c r="GO71" s="101"/>
      <c r="GP71" s="101"/>
      <c r="GQ71" s="101"/>
      <c r="GR71" s="101"/>
      <c r="GS71" s="101"/>
      <c r="GT71" s="101"/>
      <c r="GU71" s="101"/>
      <c r="GV71" s="101"/>
      <c r="GW71" s="101"/>
      <c r="GX71" s="101"/>
      <c r="GY71" s="101"/>
      <c r="GZ71" s="101"/>
      <c r="HA71" s="101"/>
      <c r="HB71" s="101"/>
      <c r="HC71" s="101"/>
      <c r="HD71" s="101"/>
      <c r="HE71" s="101"/>
      <c r="HF71" s="101"/>
      <c r="HG71" s="101"/>
      <c r="HH71" s="101"/>
      <c r="HI71" s="101"/>
      <c r="HJ71" s="101"/>
      <c r="HK71" s="101"/>
      <c r="HL71" s="101"/>
      <c r="HM71" s="101"/>
      <c r="HN71" s="101"/>
      <c r="HO71" s="101"/>
      <c r="HP71" s="101"/>
      <c r="HQ71" s="101"/>
      <c r="HR71" s="101"/>
      <c r="HS71" s="101"/>
      <c r="HT71" s="101"/>
      <c r="HU71" s="101"/>
      <c r="HV71" s="101"/>
      <c r="HW71" s="101"/>
      <c r="HX71" s="101"/>
      <c r="HY71" s="101"/>
      <c r="HZ71" s="101"/>
      <c r="IA71" s="101"/>
      <c r="IB71" s="101"/>
      <c r="IC71" s="101"/>
      <c r="ID71" s="101"/>
      <c r="IE71" s="101"/>
      <c r="IF71" s="101"/>
      <c r="IG71" s="101"/>
      <c r="IH71" s="101"/>
      <c r="II71" s="101"/>
      <c r="IJ71" s="101"/>
      <c r="IK71" s="101"/>
      <c r="IL71" s="101"/>
      <c r="IM71" s="101"/>
      <c r="IN71" s="101"/>
    </row>
    <row r="72" s="104" customFormat="1" ht="45" outlineLevel="1" spans="1:248">
      <c r="A72" s="117">
        <v>24</v>
      </c>
      <c r="B72" s="118" t="s">
        <v>1026</v>
      </c>
      <c r="C72" s="118" t="s">
        <v>909</v>
      </c>
      <c r="D72" s="119">
        <v>1</v>
      </c>
      <c r="E72" s="122">
        <f>750*0+(1*0.2+1.3/1.8*0.3+1.1/2.2*0.5)*750*0.85</f>
        <v>425</v>
      </c>
      <c r="F72" s="119">
        <f t="shared" si="2"/>
        <v>425</v>
      </c>
      <c r="G72" s="124"/>
      <c r="H72" s="118">
        <v>130</v>
      </c>
      <c r="I72" s="10">
        <v>110</v>
      </c>
      <c r="J72" s="124"/>
      <c r="K72" s="118" t="s">
        <v>1024</v>
      </c>
      <c r="L72" s="129" t="s">
        <v>1025</v>
      </c>
      <c r="M72" s="108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  <c r="HN72" s="101"/>
      <c r="HO72" s="101"/>
      <c r="HP72" s="101"/>
      <c r="HQ72" s="101"/>
      <c r="HR72" s="101"/>
      <c r="HS72" s="101"/>
      <c r="HT72" s="101"/>
      <c r="HU72" s="101"/>
      <c r="HV72" s="101"/>
      <c r="HW72" s="101"/>
      <c r="HX72" s="101"/>
      <c r="HY72" s="101"/>
      <c r="HZ72" s="101"/>
      <c r="IA72" s="101"/>
      <c r="IB72" s="101"/>
      <c r="IC72" s="101"/>
      <c r="ID72" s="101"/>
      <c r="IE72" s="101"/>
      <c r="IF72" s="101"/>
      <c r="IG72" s="101"/>
      <c r="IH72" s="101"/>
      <c r="II72" s="101"/>
      <c r="IJ72" s="101"/>
      <c r="IK72" s="101"/>
      <c r="IL72" s="101"/>
      <c r="IM72" s="101"/>
      <c r="IN72" s="101"/>
    </row>
    <row r="73" s="104" customFormat="1" ht="45" outlineLevel="1" spans="1:248">
      <c r="A73" s="117">
        <v>25</v>
      </c>
      <c r="B73" s="118" t="s">
        <v>1027</v>
      </c>
      <c r="C73" s="118" t="s">
        <v>909</v>
      </c>
      <c r="D73" s="119">
        <v>1</v>
      </c>
      <c r="E73" s="122">
        <f>750*0+(1*0.2+1.4/1.8*0.3+1.9/2.2*0.5)*750*0.85</f>
        <v>551.53</v>
      </c>
      <c r="F73" s="119">
        <f t="shared" si="2"/>
        <v>551.53</v>
      </c>
      <c r="G73" s="124"/>
      <c r="H73" s="118">
        <v>140</v>
      </c>
      <c r="I73" s="10">
        <v>190</v>
      </c>
      <c r="J73" s="124"/>
      <c r="K73" s="118" t="s">
        <v>1024</v>
      </c>
      <c r="L73" s="129" t="s">
        <v>1025</v>
      </c>
      <c r="M73" s="108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1"/>
      <c r="FF73" s="101"/>
      <c r="FG73" s="101"/>
      <c r="FH73" s="101"/>
      <c r="FI73" s="101"/>
      <c r="FJ73" s="101"/>
      <c r="FK73" s="101"/>
      <c r="FL73" s="101"/>
      <c r="FM73" s="101"/>
      <c r="FN73" s="101"/>
      <c r="FO73" s="101"/>
      <c r="FP73" s="101"/>
      <c r="FQ73" s="101"/>
      <c r="FR73" s="101"/>
      <c r="FS73" s="101"/>
      <c r="FT73" s="101"/>
      <c r="FU73" s="101"/>
      <c r="FV73" s="101"/>
      <c r="FW73" s="101"/>
      <c r="FX73" s="101"/>
      <c r="FY73" s="101"/>
      <c r="FZ73" s="101"/>
      <c r="GA73" s="101"/>
      <c r="GB73" s="101"/>
      <c r="GC73" s="101"/>
      <c r="GD73" s="101"/>
      <c r="GE73" s="101"/>
      <c r="GF73" s="101"/>
      <c r="GG73" s="101"/>
      <c r="GH73" s="101"/>
      <c r="GI73" s="101"/>
      <c r="GJ73" s="101"/>
      <c r="GK73" s="101"/>
      <c r="GL73" s="101"/>
      <c r="GM73" s="101"/>
      <c r="GN73" s="101"/>
      <c r="GO73" s="101"/>
      <c r="GP73" s="101"/>
      <c r="GQ73" s="101"/>
      <c r="GR73" s="101"/>
      <c r="GS73" s="101"/>
      <c r="GT73" s="101"/>
      <c r="GU73" s="101"/>
      <c r="GV73" s="101"/>
      <c r="GW73" s="101"/>
      <c r="GX73" s="101"/>
      <c r="GY73" s="101"/>
      <c r="GZ73" s="101"/>
      <c r="HA73" s="101"/>
      <c r="HB73" s="101"/>
      <c r="HC73" s="101"/>
      <c r="HD73" s="101"/>
      <c r="HE73" s="101"/>
      <c r="HF73" s="101"/>
      <c r="HG73" s="101"/>
      <c r="HH73" s="101"/>
      <c r="HI73" s="101"/>
      <c r="HJ73" s="101"/>
      <c r="HK73" s="101"/>
      <c r="HL73" s="101"/>
      <c r="HM73" s="101"/>
      <c r="HN73" s="101"/>
      <c r="HO73" s="101"/>
      <c r="HP73" s="101"/>
      <c r="HQ73" s="101"/>
      <c r="HR73" s="101"/>
      <c r="HS73" s="101"/>
      <c r="HT73" s="101"/>
      <c r="HU73" s="101"/>
      <c r="HV73" s="101"/>
      <c r="HW73" s="101"/>
      <c r="HX73" s="101"/>
      <c r="HY73" s="101"/>
      <c r="HZ73" s="101"/>
      <c r="IA73" s="101"/>
      <c r="IB73" s="101"/>
      <c r="IC73" s="101"/>
      <c r="ID73" s="101"/>
      <c r="IE73" s="101"/>
      <c r="IF73" s="101"/>
      <c r="IG73" s="101"/>
      <c r="IH73" s="101"/>
      <c r="II73" s="101"/>
      <c r="IJ73" s="101"/>
      <c r="IK73" s="101"/>
      <c r="IL73" s="101"/>
      <c r="IM73" s="101"/>
      <c r="IN73" s="101"/>
    </row>
    <row r="74" s="104" customFormat="1" ht="45" outlineLevel="1" spans="1:248">
      <c r="A74" s="117">
        <v>26</v>
      </c>
      <c r="B74" s="118" t="s">
        <v>1027</v>
      </c>
      <c r="C74" s="118" t="s">
        <v>909</v>
      </c>
      <c r="D74" s="119">
        <v>1</v>
      </c>
      <c r="E74" s="122">
        <f>750*0+(1*0.2+1.6/1.8*0.3+1.6/2.2*0.5)*750*0.85</f>
        <v>529.32</v>
      </c>
      <c r="F74" s="119">
        <f t="shared" si="2"/>
        <v>529.32</v>
      </c>
      <c r="G74" s="124"/>
      <c r="H74" s="118">
        <v>160</v>
      </c>
      <c r="I74" s="10">
        <v>160</v>
      </c>
      <c r="J74" s="124"/>
      <c r="K74" s="118" t="s">
        <v>1024</v>
      </c>
      <c r="L74" s="129" t="s">
        <v>1025</v>
      </c>
      <c r="M74" s="108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101"/>
      <c r="FG74" s="101"/>
      <c r="FH74" s="101"/>
      <c r="FI74" s="101"/>
      <c r="FJ74" s="101"/>
      <c r="FK74" s="101"/>
      <c r="FL74" s="101"/>
      <c r="FM74" s="101"/>
      <c r="FN74" s="101"/>
      <c r="FO74" s="101"/>
      <c r="FP74" s="101"/>
      <c r="FQ74" s="101"/>
      <c r="FR74" s="101"/>
      <c r="FS74" s="101"/>
      <c r="FT74" s="101"/>
      <c r="FU74" s="101"/>
      <c r="FV74" s="101"/>
      <c r="FW74" s="101"/>
      <c r="FX74" s="101"/>
      <c r="FY74" s="101"/>
      <c r="FZ74" s="101"/>
      <c r="GA74" s="101"/>
      <c r="GB74" s="101"/>
      <c r="GC74" s="101"/>
      <c r="GD74" s="101"/>
      <c r="GE74" s="101"/>
      <c r="GF74" s="101"/>
      <c r="GG74" s="101"/>
      <c r="GH74" s="101"/>
      <c r="GI74" s="101"/>
      <c r="GJ74" s="101"/>
      <c r="GK74" s="101"/>
      <c r="GL74" s="101"/>
      <c r="GM74" s="101"/>
      <c r="GN74" s="101"/>
      <c r="GO74" s="101"/>
      <c r="GP74" s="101"/>
      <c r="GQ74" s="101"/>
      <c r="GR74" s="101"/>
      <c r="GS74" s="101"/>
      <c r="GT74" s="101"/>
      <c r="GU74" s="101"/>
      <c r="GV74" s="101"/>
      <c r="GW74" s="101"/>
      <c r="GX74" s="101"/>
      <c r="GY74" s="101"/>
      <c r="GZ74" s="101"/>
      <c r="HA74" s="101"/>
      <c r="HB74" s="101"/>
      <c r="HC74" s="101"/>
      <c r="HD74" s="101"/>
      <c r="HE74" s="101"/>
      <c r="HF74" s="101"/>
      <c r="HG74" s="101"/>
      <c r="HH74" s="101"/>
      <c r="HI74" s="101"/>
      <c r="HJ74" s="101"/>
      <c r="HK74" s="101"/>
      <c r="HL74" s="101"/>
      <c r="HM74" s="101"/>
      <c r="HN74" s="101"/>
      <c r="HO74" s="101"/>
      <c r="HP74" s="101"/>
      <c r="HQ74" s="101"/>
      <c r="HR74" s="101"/>
      <c r="HS74" s="101"/>
      <c r="HT74" s="101"/>
      <c r="HU74" s="101"/>
      <c r="HV74" s="101"/>
      <c r="HW74" s="101"/>
      <c r="HX74" s="101"/>
      <c r="HY74" s="101"/>
      <c r="HZ74" s="101"/>
      <c r="IA74" s="101"/>
      <c r="IB74" s="101"/>
      <c r="IC74" s="101"/>
      <c r="ID74" s="101"/>
      <c r="IE74" s="101"/>
      <c r="IF74" s="101"/>
      <c r="IG74" s="101"/>
      <c r="IH74" s="101"/>
      <c r="II74" s="101"/>
      <c r="IJ74" s="101"/>
      <c r="IK74" s="101"/>
      <c r="IL74" s="101"/>
      <c r="IM74" s="101"/>
      <c r="IN74" s="101"/>
    </row>
    <row r="75" s="104" customFormat="1" ht="45" outlineLevel="1" spans="1:248">
      <c r="A75" s="117">
        <v>27</v>
      </c>
      <c r="B75" s="118" t="s">
        <v>1027</v>
      </c>
      <c r="C75" s="118" t="s">
        <v>909</v>
      </c>
      <c r="D75" s="119">
        <v>1</v>
      </c>
      <c r="E75" s="122">
        <f>750*0+(1*0.2+1.5/1.8*0.3+1.5/2.2*0.5)*750*0.85</f>
        <v>504.2</v>
      </c>
      <c r="F75" s="119">
        <f t="shared" si="2"/>
        <v>504.2</v>
      </c>
      <c r="G75" s="124"/>
      <c r="H75" s="118">
        <v>150</v>
      </c>
      <c r="I75" s="10">
        <v>150</v>
      </c>
      <c r="J75" s="124"/>
      <c r="K75" s="118" t="s">
        <v>1024</v>
      </c>
      <c r="L75" s="129" t="s">
        <v>1025</v>
      </c>
      <c r="M75" s="108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1"/>
      <c r="ES75" s="101"/>
      <c r="ET75" s="101"/>
      <c r="EU75" s="101"/>
      <c r="EV75" s="101"/>
      <c r="EW75" s="101"/>
      <c r="EX75" s="101"/>
      <c r="EY75" s="101"/>
      <c r="EZ75" s="101"/>
      <c r="FA75" s="101"/>
      <c r="FB75" s="101"/>
      <c r="FC75" s="101"/>
      <c r="FD75" s="101"/>
      <c r="FE75" s="101"/>
      <c r="FF75" s="101"/>
      <c r="FG75" s="101"/>
      <c r="FH75" s="101"/>
      <c r="FI75" s="101"/>
      <c r="FJ75" s="101"/>
      <c r="FK75" s="101"/>
      <c r="FL75" s="101"/>
      <c r="FM75" s="101"/>
      <c r="FN75" s="101"/>
      <c r="FO75" s="101"/>
      <c r="FP75" s="101"/>
      <c r="FQ75" s="101"/>
      <c r="FR75" s="101"/>
      <c r="FS75" s="101"/>
      <c r="FT75" s="101"/>
      <c r="FU75" s="101"/>
      <c r="FV75" s="101"/>
      <c r="FW75" s="101"/>
      <c r="FX75" s="101"/>
      <c r="FY75" s="101"/>
      <c r="FZ75" s="101"/>
      <c r="GA75" s="101"/>
      <c r="GB75" s="101"/>
      <c r="GC75" s="101"/>
      <c r="GD75" s="101"/>
      <c r="GE75" s="101"/>
      <c r="GF75" s="101"/>
      <c r="GG75" s="101"/>
      <c r="GH75" s="101"/>
      <c r="GI75" s="101"/>
      <c r="GJ75" s="101"/>
      <c r="GK75" s="101"/>
      <c r="GL75" s="101"/>
      <c r="GM75" s="101"/>
      <c r="GN75" s="101"/>
      <c r="GO75" s="101"/>
      <c r="GP75" s="101"/>
      <c r="GQ75" s="101"/>
      <c r="GR75" s="101"/>
      <c r="GS75" s="101"/>
      <c r="GT75" s="101"/>
      <c r="GU75" s="101"/>
      <c r="GV75" s="101"/>
      <c r="GW75" s="101"/>
      <c r="GX75" s="101"/>
      <c r="GY75" s="101"/>
      <c r="GZ75" s="101"/>
      <c r="HA75" s="101"/>
      <c r="HB75" s="101"/>
      <c r="HC75" s="101"/>
      <c r="HD75" s="101"/>
      <c r="HE75" s="101"/>
      <c r="HF75" s="101"/>
      <c r="HG75" s="101"/>
      <c r="HH75" s="101"/>
      <c r="HI75" s="101"/>
      <c r="HJ75" s="101"/>
      <c r="HK75" s="101"/>
      <c r="HL75" s="101"/>
      <c r="HM75" s="101"/>
      <c r="HN75" s="101"/>
      <c r="HO75" s="101"/>
      <c r="HP75" s="101"/>
      <c r="HQ75" s="101"/>
      <c r="HR75" s="101"/>
      <c r="HS75" s="101"/>
      <c r="HT75" s="101"/>
      <c r="HU75" s="101"/>
      <c r="HV75" s="101"/>
      <c r="HW75" s="101"/>
      <c r="HX75" s="101"/>
      <c r="HY75" s="101"/>
      <c r="HZ75" s="101"/>
      <c r="IA75" s="101"/>
      <c r="IB75" s="101"/>
      <c r="IC75" s="101"/>
      <c r="ID75" s="101"/>
      <c r="IE75" s="101"/>
      <c r="IF75" s="101"/>
      <c r="IG75" s="101"/>
      <c r="IH75" s="101"/>
      <c r="II75" s="101"/>
      <c r="IJ75" s="101"/>
      <c r="IK75" s="101"/>
      <c r="IL75" s="101"/>
      <c r="IM75" s="101"/>
      <c r="IN75" s="101"/>
    </row>
    <row r="76" s="104" customFormat="1" ht="45" outlineLevel="1" spans="1:248">
      <c r="A76" s="117">
        <v>28</v>
      </c>
      <c r="B76" s="118" t="s">
        <v>1028</v>
      </c>
      <c r="C76" s="118" t="s">
        <v>909</v>
      </c>
      <c r="D76" s="119">
        <v>1</v>
      </c>
      <c r="E76" s="122">
        <f>650*0+(1*0.2+1.9/1.5*0.3+1.3/1.8*0.5)*650*0.85</f>
        <v>519.96</v>
      </c>
      <c r="F76" s="119">
        <f t="shared" si="2"/>
        <v>519.96</v>
      </c>
      <c r="G76" s="124"/>
      <c r="H76" s="118">
        <v>190</v>
      </c>
      <c r="I76" s="10">
        <v>130</v>
      </c>
      <c r="J76" s="124"/>
      <c r="K76" s="118" t="s">
        <v>1024</v>
      </c>
      <c r="L76" s="129" t="s">
        <v>1025</v>
      </c>
      <c r="M76" s="108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101"/>
      <c r="ET76" s="101"/>
      <c r="EU76" s="101"/>
      <c r="EV76" s="101"/>
      <c r="EW76" s="101"/>
      <c r="EX76" s="101"/>
      <c r="EY76" s="101"/>
      <c r="EZ76" s="101"/>
      <c r="FA76" s="101"/>
      <c r="FB76" s="101"/>
      <c r="FC76" s="101"/>
      <c r="FD76" s="101"/>
      <c r="FE76" s="101"/>
      <c r="FF76" s="101"/>
      <c r="FG76" s="101"/>
      <c r="FH76" s="101"/>
      <c r="FI76" s="101"/>
      <c r="FJ76" s="101"/>
      <c r="FK76" s="101"/>
      <c r="FL76" s="101"/>
      <c r="FM76" s="101"/>
      <c r="FN76" s="101"/>
      <c r="FO76" s="101"/>
      <c r="FP76" s="101"/>
      <c r="FQ76" s="101"/>
      <c r="FR76" s="101"/>
      <c r="FS76" s="101"/>
      <c r="FT76" s="101"/>
      <c r="FU76" s="101"/>
      <c r="FV76" s="101"/>
      <c r="FW76" s="101"/>
      <c r="FX76" s="101"/>
      <c r="FY76" s="101"/>
      <c r="FZ76" s="101"/>
      <c r="GA76" s="101"/>
      <c r="GB76" s="101"/>
      <c r="GC76" s="101"/>
      <c r="GD76" s="101"/>
      <c r="GE76" s="101"/>
      <c r="GF76" s="101"/>
      <c r="GG76" s="101"/>
      <c r="GH76" s="101"/>
      <c r="GI76" s="101"/>
      <c r="GJ76" s="101"/>
      <c r="GK76" s="101"/>
      <c r="GL76" s="101"/>
      <c r="GM76" s="101"/>
      <c r="GN76" s="101"/>
      <c r="GO76" s="101"/>
      <c r="GP76" s="101"/>
      <c r="GQ76" s="101"/>
      <c r="GR76" s="101"/>
      <c r="GS76" s="101"/>
      <c r="GT76" s="101"/>
      <c r="GU76" s="101"/>
      <c r="GV76" s="101"/>
      <c r="GW76" s="101"/>
      <c r="GX76" s="101"/>
      <c r="GY76" s="101"/>
      <c r="GZ76" s="101"/>
      <c r="HA76" s="101"/>
      <c r="HB76" s="101"/>
      <c r="HC76" s="101"/>
      <c r="HD76" s="101"/>
      <c r="HE76" s="101"/>
      <c r="HF76" s="101"/>
      <c r="HG76" s="101"/>
      <c r="HH76" s="101"/>
      <c r="HI76" s="101"/>
      <c r="HJ76" s="101"/>
      <c r="HK76" s="101"/>
      <c r="HL76" s="101"/>
      <c r="HM76" s="101"/>
      <c r="HN76" s="101"/>
      <c r="HO76" s="101"/>
      <c r="HP76" s="101"/>
      <c r="HQ76" s="101"/>
      <c r="HR76" s="101"/>
      <c r="HS76" s="101"/>
      <c r="HT76" s="101"/>
      <c r="HU76" s="101"/>
      <c r="HV76" s="101"/>
      <c r="HW76" s="101"/>
      <c r="HX76" s="101"/>
      <c r="HY76" s="101"/>
      <c r="HZ76" s="101"/>
      <c r="IA76" s="101"/>
      <c r="IB76" s="101"/>
      <c r="IC76" s="101"/>
      <c r="ID76" s="101"/>
      <c r="IE76" s="101"/>
      <c r="IF76" s="101"/>
      <c r="IG76" s="101"/>
      <c r="IH76" s="101"/>
      <c r="II76" s="101"/>
      <c r="IJ76" s="101"/>
      <c r="IK76" s="101"/>
      <c r="IL76" s="101"/>
      <c r="IM76" s="101"/>
      <c r="IN76" s="101"/>
    </row>
    <row r="77" s="104" customFormat="1" ht="45" outlineLevel="1" spans="1:248">
      <c r="A77" s="117">
        <v>29</v>
      </c>
      <c r="B77" s="118" t="s">
        <v>1029</v>
      </c>
      <c r="C77" s="118" t="s">
        <v>909</v>
      </c>
      <c r="D77" s="119">
        <v>3</v>
      </c>
      <c r="E77" s="120">
        <v>450</v>
      </c>
      <c r="F77" s="119">
        <f t="shared" si="2"/>
        <v>1350</v>
      </c>
      <c r="G77" s="124"/>
      <c r="H77" s="118">
        <v>120</v>
      </c>
      <c r="I77" s="118">
        <v>150</v>
      </c>
      <c r="J77" s="124"/>
      <c r="K77" s="118" t="s">
        <v>1024</v>
      </c>
      <c r="L77" s="129"/>
      <c r="M77" s="108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1"/>
      <c r="FX77" s="101"/>
      <c r="FY77" s="101"/>
      <c r="FZ77" s="101"/>
      <c r="GA77" s="101"/>
      <c r="GB77" s="101"/>
      <c r="GC77" s="101"/>
      <c r="GD77" s="101"/>
      <c r="GE77" s="101"/>
      <c r="GF77" s="101"/>
      <c r="GG77" s="101"/>
      <c r="GH77" s="101"/>
      <c r="GI77" s="101"/>
      <c r="GJ77" s="101"/>
      <c r="GK77" s="101"/>
      <c r="GL77" s="101"/>
      <c r="GM77" s="101"/>
      <c r="GN77" s="101"/>
      <c r="GO77" s="101"/>
      <c r="GP77" s="101"/>
      <c r="GQ77" s="101"/>
      <c r="GR77" s="101"/>
      <c r="GS77" s="101"/>
      <c r="GT77" s="101"/>
      <c r="GU77" s="101"/>
      <c r="GV77" s="101"/>
      <c r="GW77" s="101"/>
      <c r="GX77" s="101"/>
      <c r="GY77" s="101"/>
      <c r="GZ77" s="101"/>
      <c r="HA77" s="101"/>
      <c r="HB77" s="101"/>
      <c r="HC77" s="101"/>
      <c r="HD77" s="101"/>
      <c r="HE77" s="101"/>
      <c r="HF77" s="101"/>
      <c r="HG77" s="101"/>
      <c r="HH77" s="101"/>
      <c r="HI77" s="101"/>
      <c r="HJ77" s="101"/>
      <c r="HK77" s="101"/>
      <c r="HL77" s="101"/>
      <c r="HM77" s="101"/>
      <c r="HN77" s="101"/>
      <c r="HO77" s="101"/>
      <c r="HP77" s="101"/>
      <c r="HQ77" s="101"/>
      <c r="HR77" s="101"/>
      <c r="HS77" s="101"/>
      <c r="HT77" s="101"/>
      <c r="HU77" s="101"/>
      <c r="HV77" s="101"/>
      <c r="HW77" s="101"/>
      <c r="HX77" s="101"/>
      <c r="HY77" s="101"/>
      <c r="HZ77" s="101"/>
      <c r="IA77" s="101"/>
      <c r="IB77" s="101"/>
      <c r="IC77" s="101"/>
      <c r="ID77" s="101"/>
      <c r="IE77" s="101"/>
      <c r="IF77" s="101"/>
      <c r="IG77" s="101"/>
      <c r="IH77" s="101"/>
      <c r="II77" s="101"/>
      <c r="IJ77" s="101"/>
      <c r="IK77" s="101"/>
      <c r="IL77" s="101"/>
      <c r="IM77" s="101"/>
      <c r="IN77" s="101"/>
    </row>
    <row r="78" s="104" customFormat="1" ht="45" outlineLevel="1" spans="1:248">
      <c r="A78" s="117">
        <v>30</v>
      </c>
      <c r="B78" s="118" t="s">
        <v>1029</v>
      </c>
      <c r="C78" s="118" t="s">
        <v>909</v>
      </c>
      <c r="D78" s="119">
        <v>1</v>
      </c>
      <c r="E78" s="122">
        <f>450*0+(1*0.2+1*0.3+1.4/1.5*0.5)*450*0.85</f>
        <v>369.75</v>
      </c>
      <c r="F78" s="119">
        <f t="shared" si="2"/>
        <v>369.75</v>
      </c>
      <c r="G78" s="124"/>
      <c r="H78" s="118">
        <v>140</v>
      </c>
      <c r="I78" s="118">
        <v>140</v>
      </c>
      <c r="J78" s="124"/>
      <c r="K78" s="118" t="s">
        <v>1024</v>
      </c>
      <c r="L78" s="129" t="s">
        <v>1030</v>
      </c>
      <c r="M78" s="108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1"/>
      <c r="FX78" s="101"/>
      <c r="FY78" s="101"/>
      <c r="FZ78" s="101"/>
      <c r="GA78" s="101"/>
      <c r="GB78" s="101"/>
      <c r="GC78" s="101"/>
      <c r="GD78" s="101"/>
      <c r="GE78" s="101"/>
      <c r="GF78" s="101"/>
      <c r="GG78" s="101"/>
      <c r="GH78" s="101"/>
      <c r="GI78" s="101"/>
      <c r="GJ78" s="101"/>
      <c r="GK78" s="101"/>
      <c r="GL78" s="101"/>
      <c r="GM78" s="101"/>
      <c r="GN78" s="101"/>
      <c r="GO78" s="101"/>
      <c r="GP78" s="101"/>
      <c r="GQ78" s="101"/>
      <c r="GR78" s="101"/>
      <c r="GS78" s="101"/>
      <c r="GT78" s="101"/>
      <c r="GU78" s="101"/>
      <c r="GV78" s="101"/>
      <c r="GW78" s="101"/>
      <c r="GX78" s="101"/>
      <c r="GY78" s="101"/>
      <c r="GZ78" s="101"/>
      <c r="HA78" s="101"/>
      <c r="HB78" s="101"/>
      <c r="HC78" s="101"/>
      <c r="HD78" s="101"/>
      <c r="HE78" s="101"/>
      <c r="HF78" s="101"/>
      <c r="HG78" s="101"/>
      <c r="HH78" s="101"/>
      <c r="HI78" s="101"/>
      <c r="HJ78" s="101"/>
      <c r="HK78" s="101"/>
      <c r="HL78" s="101"/>
      <c r="HM78" s="101"/>
      <c r="HN78" s="101"/>
      <c r="HO78" s="101"/>
      <c r="HP78" s="101"/>
      <c r="HQ78" s="101"/>
      <c r="HR78" s="101"/>
      <c r="HS78" s="101"/>
      <c r="HT78" s="101"/>
      <c r="HU78" s="101"/>
      <c r="HV78" s="101"/>
      <c r="HW78" s="101"/>
      <c r="HX78" s="101"/>
      <c r="HY78" s="101"/>
      <c r="HZ78" s="101"/>
      <c r="IA78" s="101"/>
      <c r="IB78" s="101"/>
      <c r="IC78" s="101"/>
      <c r="ID78" s="101"/>
      <c r="IE78" s="101"/>
      <c r="IF78" s="101"/>
      <c r="IG78" s="101"/>
      <c r="IH78" s="101"/>
      <c r="II78" s="101"/>
      <c r="IJ78" s="101"/>
      <c r="IK78" s="101"/>
      <c r="IL78" s="101"/>
      <c r="IM78" s="101"/>
      <c r="IN78" s="101"/>
    </row>
    <row r="79" s="104" customFormat="1" ht="45" outlineLevel="1" spans="1:248">
      <c r="A79" s="117">
        <v>31</v>
      </c>
      <c r="B79" s="118" t="s">
        <v>1029</v>
      </c>
      <c r="C79" s="118" t="s">
        <v>909</v>
      </c>
      <c r="D79" s="119">
        <v>1</v>
      </c>
      <c r="E79" s="120">
        <v>450</v>
      </c>
      <c r="F79" s="119">
        <f t="shared" si="2"/>
        <v>450</v>
      </c>
      <c r="G79" s="124"/>
      <c r="H79" s="118">
        <v>140</v>
      </c>
      <c r="I79" s="118">
        <v>160</v>
      </c>
      <c r="J79" s="124"/>
      <c r="K79" s="118" t="s">
        <v>1024</v>
      </c>
      <c r="L79" s="129" t="s">
        <v>1030</v>
      </c>
      <c r="M79" s="108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01"/>
      <c r="CW79" s="101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  <c r="DH79" s="101"/>
      <c r="DI79" s="101"/>
      <c r="DJ79" s="101"/>
      <c r="DK79" s="101"/>
      <c r="DL79" s="101"/>
      <c r="DM79" s="101"/>
      <c r="DN79" s="101"/>
      <c r="DO79" s="101"/>
      <c r="DP79" s="101"/>
      <c r="DQ79" s="101"/>
      <c r="DR79" s="101"/>
      <c r="DS79" s="101"/>
      <c r="DT79" s="101"/>
      <c r="DU79" s="101"/>
      <c r="DV79" s="101"/>
      <c r="DW79" s="101"/>
      <c r="DX79" s="101"/>
      <c r="DY79" s="101"/>
      <c r="DZ79" s="101"/>
      <c r="EA79" s="101"/>
      <c r="EB79" s="101"/>
      <c r="EC79" s="101"/>
      <c r="ED79" s="101"/>
      <c r="EE79" s="101"/>
      <c r="EF79" s="101"/>
      <c r="EG79" s="101"/>
      <c r="EH79" s="101"/>
      <c r="EI79" s="101"/>
      <c r="EJ79" s="101"/>
      <c r="EK79" s="101"/>
      <c r="EL79" s="101"/>
      <c r="EM79" s="101"/>
      <c r="EN79" s="101"/>
      <c r="EO79" s="101"/>
      <c r="EP79" s="101"/>
      <c r="EQ79" s="101"/>
      <c r="ER79" s="101"/>
      <c r="ES79" s="101"/>
      <c r="ET79" s="101"/>
      <c r="EU79" s="101"/>
      <c r="EV79" s="101"/>
      <c r="EW79" s="101"/>
      <c r="EX79" s="101"/>
      <c r="EY79" s="101"/>
      <c r="EZ79" s="101"/>
      <c r="FA79" s="101"/>
      <c r="FB79" s="101"/>
      <c r="FC79" s="101"/>
      <c r="FD79" s="101"/>
      <c r="FE79" s="101"/>
      <c r="FF79" s="101"/>
      <c r="FG79" s="101"/>
      <c r="FH79" s="101"/>
      <c r="FI79" s="101"/>
      <c r="FJ79" s="101"/>
      <c r="FK79" s="101"/>
      <c r="FL79" s="101"/>
      <c r="FM79" s="101"/>
      <c r="FN79" s="101"/>
      <c r="FO79" s="101"/>
      <c r="FP79" s="101"/>
      <c r="FQ79" s="101"/>
      <c r="FR79" s="101"/>
      <c r="FS79" s="101"/>
      <c r="FT79" s="101"/>
      <c r="FU79" s="101"/>
      <c r="FV79" s="101"/>
      <c r="FW79" s="101"/>
      <c r="FX79" s="101"/>
      <c r="FY79" s="101"/>
      <c r="FZ79" s="101"/>
      <c r="GA79" s="101"/>
      <c r="GB79" s="101"/>
      <c r="GC79" s="101"/>
      <c r="GD79" s="101"/>
      <c r="GE79" s="101"/>
      <c r="GF79" s="101"/>
      <c r="GG79" s="101"/>
      <c r="GH79" s="101"/>
      <c r="GI79" s="101"/>
      <c r="GJ79" s="101"/>
      <c r="GK79" s="101"/>
      <c r="GL79" s="101"/>
      <c r="GM79" s="101"/>
      <c r="GN79" s="101"/>
      <c r="GO79" s="101"/>
      <c r="GP79" s="101"/>
      <c r="GQ79" s="101"/>
      <c r="GR79" s="101"/>
      <c r="GS79" s="101"/>
      <c r="GT79" s="101"/>
      <c r="GU79" s="101"/>
      <c r="GV79" s="101"/>
      <c r="GW79" s="101"/>
      <c r="GX79" s="101"/>
      <c r="GY79" s="101"/>
      <c r="GZ79" s="101"/>
      <c r="HA79" s="101"/>
      <c r="HB79" s="101"/>
      <c r="HC79" s="101"/>
      <c r="HD79" s="101"/>
      <c r="HE79" s="101"/>
      <c r="HF79" s="101"/>
      <c r="HG79" s="101"/>
      <c r="HH79" s="101"/>
      <c r="HI79" s="101"/>
      <c r="HJ79" s="101"/>
      <c r="HK79" s="101"/>
      <c r="HL79" s="101"/>
      <c r="HM79" s="101"/>
      <c r="HN79" s="101"/>
      <c r="HO79" s="101"/>
      <c r="HP79" s="101"/>
      <c r="HQ79" s="101"/>
      <c r="HR79" s="101"/>
      <c r="HS79" s="101"/>
      <c r="HT79" s="101"/>
      <c r="HU79" s="101"/>
      <c r="HV79" s="101"/>
      <c r="HW79" s="101"/>
      <c r="HX79" s="101"/>
      <c r="HY79" s="101"/>
      <c r="HZ79" s="101"/>
      <c r="IA79" s="101"/>
      <c r="IB79" s="101"/>
      <c r="IC79" s="101"/>
      <c r="ID79" s="101"/>
      <c r="IE79" s="101"/>
      <c r="IF79" s="101"/>
      <c r="IG79" s="101"/>
      <c r="IH79" s="101"/>
      <c r="II79" s="101"/>
      <c r="IJ79" s="101"/>
      <c r="IK79" s="101"/>
      <c r="IL79" s="101"/>
      <c r="IM79" s="101"/>
      <c r="IN79" s="101"/>
    </row>
    <row r="80" s="104" customFormat="1" ht="45" outlineLevel="1" spans="1:248">
      <c r="A80" s="117">
        <v>32</v>
      </c>
      <c r="B80" s="118" t="s">
        <v>1029</v>
      </c>
      <c r="C80" s="118" t="s">
        <v>909</v>
      </c>
      <c r="D80" s="119">
        <v>1</v>
      </c>
      <c r="E80" s="122">
        <f>450*0+(1*0.2+1*0.3+1.3/1.5*0.5)*450*0.85</f>
        <v>357</v>
      </c>
      <c r="F80" s="119">
        <f t="shared" si="2"/>
        <v>357</v>
      </c>
      <c r="G80" s="124"/>
      <c r="H80" s="118">
        <v>120</v>
      </c>
      <c r="I80" s="118">
        <v>130</v>
      </c>
      <c r="J80" s="124"/>
      <c r="K80" s="118" t="s">
        <v>1024</v>
      </c>
      <c r="L80" s="129" t="s">
        <v>1030</v>
      </c>
      <c r="M80" s="108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  <c r="CV80" s="101"/>
      <c r="CW80" s="101"/>
      <c r="CX80" s="101"/>
      <c r="CY80" s="101"/>
      <c r="CZ80" s="101"/>
      <c r="DA80" s="101"/>
      <c r="DB80" s="101"/>
      <c r="DC80" s="101"/>
      <c r="DD80" s="101"/>
      <c r="DE80" s="101"/>
      <c r="DF80" s="101"/>
      <c r="DG80" s="101"/>
      <c r="DH80" s="101"/>
      <c r="DI80" s="101"/>
      <c r="DJ80" s="101"/>
      <c r="DK80" s="101"/>
      <c r="DL80" s="101"/>
      <c r="DM80" s="101"/>
      <c r="DN80" s="101"/>
      <c r="DO80" s="101"/>
      <c r="DP80" s="101"/>
      <c r="DQ80" s="101"/>
      <c r="DR80" s="101"/>
      <c r="DS80" s="101"/>
      <c r="DT80" s="101"/>
      <c r="DU80" s="101"/>
      <c r="DV80" s="101"/>
      <c r="DW80" s="101"/>
      <c r="DX80" s="101"/>
      <c r="DY80" s="101"/>
      <c r="DZ80" s="101"/>
      <c r="EA80" s="101"/>
      <c r="EB80" s="101"/>
      <c r="EC80" s="101"/>
      <c r="ED80" s="101"/>
      <c r="EE80" s="101"/>
      <c r="EF80" s="101"/>
      <c r="EG80" s="101"/>
      <c r="EH80" s="101"/>
      <c r="EI80" s="101"/>
      <c r="EJ80" s="101"/>
      <c r="EK80" s="101"/>
      <c r="EL80" s="101"/>
      <c r="EM80" s="101"/>
      <c r="EN80" s="101"/>
      <c r="EO80" s="101"/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01"/>
      <c r="FG80" s="101"/>
      <c r="FH80" s="101"/>
      <c r="FI80" s="101"/>
      <c r="FJ80" s="101"/>
      <c r="FK80" s="101"/>
      <c r="FL80" s="101"/>
      <c r="FM80" s="101"/>
      <c r="FN80" s="101"/>
      <c r="FO80" s="101"/>
      <c r="FP80" s="101"/>
      <c r="FQ80" s="101"/>
      <c r="FR80" s="101"/>
      <c r="FS80" s="101"/>
      <c r="FT80" s="101"/>
      <c r="FU80" s="101"/>
      <c r="FV80" s="101"/>
      <c r="FW80" s="101"/>
      <c r="FX80" s="101"/>
      <c r="FY80" s="101"/>
      <c r="FZ80" s="101"/>
      <c r="GA80" s="101"/>
      <c r="GB80" s="101"/>
      <c r="GC80" s="101"/>
      <c r="GD80" s="101"/>
      <c r="GE80" s="101"/>
      <c r="GF80" s="101"/>
      <c r="GG80" s="101"/>
      <c r="GH80" s="101"/>
      <c r="GI80" s="101"/>
      <c r="GJ80" s="101"/>
      <c r="GK80" s="101"/>
      <c r="GL80" s="101"/>
      <c r="GM80" s="101"/>
      <c r="GN80" s="101"/>
      <c r="GO80" s="101"/>
      <c r="GP80" s="101"/>
      <c r="GQ80" s="101"/>
      <c r="GR80" s="101"/>
      <c r="GS80" s="101"/>
      <c r="GT80" s="101"/>
      <c r="GU80" s="101"/>
      <c r="GV80" s="101"/>
      <c r="GW80" s="101"/>
      <c r="GX80" s="101"/>
      <c r="GY80" s="101"/>
      <c r="GZ80" s="101"/>
      <c r="HA80" s="101"/>
      <c r="HB80" s="101"/>
      <c r="HC80" s="101"/>
      <c r="HD80" s="101"/>
      <c r="HE80" s="101"/>
      <c r="HF80" s="101"/>
      <c r="HG80" s="101"/>
      <c r="HH80" s="101"/>
      <c r="HI80" s="101"/>
      <c r="HJ80" s="101"/>
      <c r="HK80" s="101"/>
      <c r="HL80" s="101"/>
      <c r="HM80" s="101"/>
      <c r="HN80" s="101"/>
      <c r="HO80" s="101"/>
      <c r="HP80" s="101"/>
      <c r="HQ80" s="101"/>
      <c r="HR80" s="101"/>
      <c r="HS80" s="101"/>
      <c r="HT80" s="101"/>
      <c r="HU80" s="101"/>
      <c r="HV80" s="101"/>
      <c r="HW80" s="101"/>
      <c r="HX80" s="101"/>
      <c r="HY80" s="101"/>
      <c r="HZ80" s="101"/>
      <c r="IA80" s="101"/>
      <c r="IB80" s="101"/>
      <c r="IC80" s="101"/>
      <c r="ID80" s="101"/>
      <c r="IE80" s="101"/>
      <c r="IF80" s="101"/>
      <c r="IG80" s="101"/>
      <c r="IH80" s="101"/>
      <c r="II80" s="101"/>
      <c r="IJ80" s="101"/>
      <c r="IK80" s="101"/>
      <c r="IL80" s="101"/>
      <c r="IM80" s="101"/>
      <c r="IN80" s="101"/>
    </row>
    <row r="81" s="104" customFormat="1" ht="45" outlineLevel="1" spans="1:248">
      <c r="A81" s="117">
        <v>33</v>
      </c>
      <c r="B81" s="118" t="s">
        <v>1029</v>
      </c>
      <c r="C81" s="118" t="s">
        <v>909</v>
      </c>
      <c r="D81" s="119">
        <v>1</v>
      </c>
      <c r="E81" s="122">
        <f>450*0+(1*0.2+1*0.3+1.2/1.5*0.5)*450*0.85</f>
        <v>344.25</v>
      </c>
      <c r="F81" s="119">
        <f t="shared" si="2"/>
        <v>344.25</v>
      </c>
      <c r="G81" s="124"/>
      <c r="H81" s="118">
        <v>120</v>
      </c>
      <c r="I81" s="118">
        <v>120</v>
      </c>
      <c r="J81" s="124"/>
      <c r="K81" s="118" t="s">
        <v>1024</v>
      </c>
      <c r="L81" s="129" t="s">
        <v>1030</v>
      </c>
      <c r="M81" s="108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/>
      <c r="CW81" s="101"/>
      <c r="CX81" s="101"/>
      <c r="CY81" s="101"/>
      <c r="CZ81" s="101"/>
      <c r="DA81" s="101"/>
      <c r="DB81" s="101"/>
      <c r="DC81" s="101"/>
      <c r="DD81" s="101"/>
      <c r="DE81" s="101"/>
      <c r="DF81" s="101"/>
      <c r="DG81" s="101"/>
      <c r="DH81" s="101"/>
      <c r="DI81" s="101"/>
      <c r="DJ81" s="101"/>
      <c r="DK81" s="101"/>
      <c r="DL81" s="101"/>
      <c r="DM81" s="101"/>
      <c r="DN81" s="101"/>
      <c r="DO81" s="101"/>
      <c r="DP81" s="101"/>
      <c r="DQ81" s="101"/>
      <c r="DR81" s="101"/>
      <c r="DS81" s="101"/>
      <c r="DT81" s="101"/>
      <c r="DU81" s="101"/>
      <c r="DV81" s="101"/>
      <c r="DW81" s="101"/>
      <c r="DX81" s="101"/>
      <c r="DY81" s="101"/>
      <c r="DZ81" s="101"/>
      <c r="EA81" s="101"/>
      <c r="EB81" s="101"/>
      <c r="EC81" s="101"/>
      <c r="ED81" s="101"/>
      <c r="EE81" s="101"/>
      <c r="EF81" s="101"/>
      <c r="EG81" s="101"/>
      <c r="EH81" s="101"/>
      <c r="EI81" s="101"/>
      <c r="EJ81" s="101"/>
      <c r="EK81" s="101"/>
      <c r="EL81" s="101"/>
      <c r="EM81" s="101"/>
      <c r="EN81" s="101"/>
      <c r="EO81" s="101"/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01"/>
      <c r="FG81" s="101"/>
      <c r="FH81" s="101"/>
      <c r="FI81" s="101"/>
      <c r="FJ81" s="101"/>
      <c r="FK81" s="101"/>
      <c r="FL81" s="101"/>
      <c r="FM81" s="101"/>
      <c r="FN81" s="101"/>
      <c r="FO81" s="101"/>
      <c r="FP81" s="101"/>
      <c r="FQ81" s="101"/>
      <c r="FR81" s="101"/>
      <c r="FS81" s="101"/>
      <c r="FT81" s="101"/>
      <c r="FU81" s="101"/>
      <c r="FV81" s="101"/>
      <c r="FW81" s="101"/>
      <c r="FX81" s="101"/>
      <c r="FY81" s="101"/>
      <c r="FZ81" s="101"/>
      <c r="GA81" s="101"/>
      <c r="GB81" s="101"/>
      <c r="GC81" s="101"/>
      <c r="GD81" s="101"/>
      <c r="GE81" s="101"/>
      <c r="GF81" s="101"/>
      <c r="GG81" s="101"/>
      <c r="GH81" s="101"/>
      <c r="GI81" s="101"/>
      <c r="GJ81" s="101"/>
      <c r="GK81" s="101"/>
      <c r="GL81" s="101"/>
      <c r="GM81" s="101"/>
      <c r="GN81" s="101"/>
      <c r="GO81" s="101"/>
      <c r="GP81" s="101"/>
      <c r="GQ81" s="101"/>
      <c r="GR81" s="101"/>
      <c r="GS81" s="101"/>
      <c r="GT81" s="101"/>
      <c r="GU81" s="101"/>
      <c r="GV81" s="101"/>
      <c r="GW81" s="101"/>
      <c r="GX81" s="101"/>
      <c r="GY81" s="101"/>
      <c r="GZ81" s="101"/>
      <c r="HA81" s="101"/>
      <c r="HB81" s="101"/>
      <c r="HC81" s="101"/>
      <c r="HD81" s="101"/>
      <c r="HE81" s="101"/>
      <c r="HF81" s="101"/>
      <c r="HG81" s="101"/>
      <c r="HH81" s="101"/>
      <c r="HI81" s="101"/>
      <c r="HJ81" s="101"/>
      <c r="HK81" s="101"/>
      <c r="HL81" s="101"/>
      <c r="HM81" s="101"/>
      <c r="HN81" s="101"/>
      <c r="HO81" s="101"/>
      <c r="HP81" s="101"/>
      <c r="HQ81" s="101"/>
      <c r="HR81" s="101"/>
      <c r="HS81" s="101"/>
      <c r="HT81" s="101"/>
      <c r="HU81" s="101"/>
      <c r="HV81" s="101"/>
      <c r="HW81" s="101"/>
      <c r="HX81" s="101"/>
      <c r="HY81" s="101"/>
      <c r="HZ81" s="101"/>
      <c r="IA81" s="101"/>
      <c r="IB81" s="101"/>
      <c r="IC81" s="101"/>
      <c r="ID81" s="101"/>
      <c r="IE81" s="101"/>
      <c r="IF81" s="101"/>
      <c r="IG81" s="101"/>
      <c r="IH81" s="101"/>
      <c r="II81" s="101"/>
      <c r="IJ81" s="101"/>
      <c r="IK81" s="101"/>
      <c r="IL81" s="101"/>
      <c r="IM81" s="101"/>
      <c r="IN81" s="101"/>
    </row>
    <row r="82" s="104" customFormat="1" ht="56.25" outlineLevel="1" spans="1:248">
      <c r="A82" s="117">
        <v>34</v>
      </c>
      <c r="B82" s="118" t="s">
        <v>1031</v>
      </c>
      <c r="C82" s="118" t="s">
        <v>909</v>
      </c>
      <c r="D82" s="119">
        <v>3</v>
      </c>
      <c r="E82" s="122">
        <v>1100</v>
      </c>
      <c r="F82" s="119">
        <f t="shared" si="2"/>
        <v>3300</v>
      </c>
      <c r="G82" s="124"/>
      <c r="H82" s="118">
        <v>120</v>
      </c>
      <c r="I82" s="118">
        <v>200</v>
      </c>
      <c r="J82" s="124"/>
      <c r="K82" s="118" t="s">
        <v>1024</v>
      </c>
      <c r="L82" s="129" t="s">
        <v>1032</v>
      </c>
      <c r="M82" s="108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01"/>
      <c r="CW82" s="101"/>
      <c r="CX82" s="101"/>
      <c r="CY82" s="101"/>
      <c r="CZ82" s="101"/>
      <c r="DA82" s="101"/>
      <c r="DB82" s="101"/>
      <c r="DC82" s="101"/>
      <c r="DD82" s="101"/>
      <c r="DE82" s="101"/>
      <c r="DF82" s="101"/>
      <c r="DG82" s="101"/>
      <c r="DH82" s="101"/>
      <c r="DI82" s="101"/>
      <c r="DJ82" s="101"/>
      <c r="DK82" s="101"/>
      <c r="DL82" s="101"/>
      <c r="DM82" s="101"/>
      <c r="DN82" s="101"/>
      <c r="DO82" s="101"/>
      <c r="DP82" s="101"/>
      <c r="DQ82" s="101"/>
      <c r="DR82" s="101"/>
      <c r="DS82" s="101"/>
      <c r="DT82" s="101"/>
      <c r="DU82" s="101"/>
      <c r="DV82" s="101"/>
      <c r="DW82" s="101"/>
      <c r="DX82" s="101"/>
      <c r="DY82" s="101"/>
      <c r="DZ82" s="101"/>
      <c r="EA82" s="101"/>
      <c r="EB82" s="101"/>
      <c r="EC82" s="101"/>
      <c r="ED82" s="101"/>
      <c r="EE82" s="101"/>
      <c r="EF82" s="101"/>
      <c r="EG82" s="101"/>
      <c r="EH82" s="101"/>
      <c r="EI82" s="101"/>
      <c r="EJ82" s="101"/>
      <c r="EK82" s="101"/>
      <c r="EL82" s="101"/>
      <c r="EM82" s="101"/>
      <c r="EN82" s="101"/>
      <c r="EO82" s="101"/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01"/>
      <c r="FG82" s="101"/>
      <c r="FH82" s="101"/>
      <c r="FI82" s="101"/>
      <c r="FJ82" s="101"/>
      <c r="FK82" s="101"/>
      <c r="FL82" s="101"/>
      <c r="FM82" s="101"/>
      <c r="FN82" s="101"/>
      <c r="FO82" s="101"/>
      <c r="FP82" s="101"/>
      <c r="FQ82" s="101"/>
      <c r="FR82" s="101"/>
      <c r="FS82" s="101"/>
      <c r="FT82" s="101"/>
      <c r="FU82" s="101"/>
      <c r="FV82" s="101"/>
      <c r="FW82" s="101"/>
      <c r="FX82" s="101"/>
      <c r="FY82" s="101"/>
      <c r="FZ82" s="101"/>
      <c r="GA82" s="101"/>
      <c r="GB82" s="101"/>
      <c r="GC82" s="101"/>
      <c r="GD82" s="101"/>
      <c r="GE82" s="101"/>
      <c r="GF82" s="101"/>
      <c r="GG82" s="101"/>
      <c r="GH82" s="101"/>
      <c r="GI82" s="101"/>
      <c r="GJ82" s="101"/>
      <c r="GK82" s="101"/>
      <c r="GL82" s="101"/>
      <c r="GM82" s="101"/>
      <c r="GN82" s="101"/>
      <c r="GO82" s="101"/>
      <c r="GP82" s="101"/>
      <c r="GQ82" s="101"/>
      <c r="GR82" s="101"/>
      <c r="GS82" s="101"/>
      <c r="GT82" s="101"/>
      <c r="GU82" s="101"/>
      <c r="GV82" s="101"/>
      <c r="GW82" s="101"/>
      <c r="GX82" s="101"/>
      <c r="GY82" s="101"/>
      <c r="GZ82" s="101"/>
      <c r="HA82" s="101"/>
      <c r="HB82" s="101"/>
      <c r="HC82" s="101"/>
      <c r="HD82" s="101"/>
      <c r="HE82" s="101"/>
      <c r="HF82" s="101"/>
      <c r="HG82" s="101"/>
      <c r="HH82" s="101"/>
      <c r="HI82" s="101"/>
      <c r="HJ82" s="101"/>
      <c r="HK82" s="101"/>
      <c r="HL82" s="101"/>
      <c r="HM82" s="101"/>
      <c r="HN82" s="101"/>
      <c r="HO82" s="101"/>
      <c r="HP82" s="101"/>
      <c r="HQ82" s="101"/>
      <c r="HR82" s="101"/>
      <c r="HS82" s="101"/>
      <c r="HT82" s="101"/>
      <c r="HU82" s="101"/>
      <c r="HV82" s="101"/>
      <c r="HW82" s="101"/>
      <c r="HX82" s="101"/>
      <c r="HY82" s="101"/>
      <c r="HZ82" s="101"/>
      <c r="IA82" s="101"/>
      <c r="IB82" s="101"/>
      <c r="IC82" s="101"/>
      <c r="ID82" s="101"/>
      <c r="IE82" s="101"/>
      <c r="IF82" s="101"/>
      <c r="IG82" s="101"/>
      <c r="IH82" s="101"/>
      <c r="II82" s="101"/>
      <c r="IJ82" s="101"/>
      <c r="IK82" s="101"/>
      <c r="IL82" s="101"/>
      <c r="IM82" s="101"/>
      <c r="IN82" s="101"/>
    </row>
    <row r="83" s="104" customFormat="1" ht="45" outlineLevel="1" spans="1:248">
      <c r="A83" s="117">
        <v>35</v>
      </c>
      <c r="B83" s="118" t="s">
        <v>1031</v>
      </c>
      <c r="C83" s="118" t="s">
        <v>909</v>
      </c>
      <c r="D83" s="119">
        <v>4</v>
      </c>
      <c r="E83" s="120">
        <v>650</v>
      </c>
      <c r="F83" s="119">
        <f t="shared" ref="F83:F113" si="3">E83*D83</f>
        <v>2600</v>
      </c>
      <c r="G83" s="124"/>
      <c r="H83" s="118">
        <v>140</v>
      </c>
      <c r="I83" s="118">
        <v>170</v>
      </c>
      <c r="J83" s="124"/>
      <c r="K83" s="118" t="s">
        <v>1024</v>
      </c>
      <c r="L83" s="129"/>
      <c r="M83" s="108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01"/>
      <c r="FG83" s="101"/>
      <c r="FH83" s="101"/>
      <c r="FI83" s="101"/>
      <c r="FJ83" s="101"/>
      <c r="FK83" s="101"/>
      <c r="FL83" s="101"/>
      <c r="FM83" s="101"/>
      <c r="FN83" s="101"/>
      <c r="FO83" s="101"/>
      <c r="FP83" s="101"/>
      <c r="FQ83" s="101"/>
      <c r="FR83" s="101"/>
      <c r="FS83" s="101"/>
      <c r="FT83" s="101"/>
      <c r="FU83" s="101"/>
      <c r="FV83" s="101"/>
      <c r="FW83" s="101"/>
      <c r="FX83" s="101"/>
      <c r="FY83" s="101"/>
      <c r="FZ83" s="101"/>
      <c r="GA83" s="101"/>
      <c r="GB83" s="101"/>
      <c r="GC83" s="101"/>
      <c r="GD83" s="101"/>
      <c r="GE83" s="101"/>
      <c r="GF83" s="101"/>
      <c r="GG83" s="101"/>
      <c r="GH83" s="101"/>
      <c r="GI83" s="101"/>
      <c r="GJ83" s="101"/>
      <c r="GK83" s="101"/>
      <c r="GL83" s="101"/>
      <c r="GM83" s="101"/>
      <c r="GN83" s="101"/>
      <c r="GO83" s="101"/>
      <c r="GP83" s="101"/>
      <c r="GQ83" s="101"/>
      <c r="GR83" s="101"/>
      <c r="GS83" s="101"/>
      <c r="GT83" s="101"/>
      <c r="GU83" s="101"/>
      <c r="GV83" s="101"/>
      <c r="GW83" s="101"/>
      <c r="GX83" s="101"/>
      <c r="GY83" s="101"/>
      <c r="GZ83" s="101"/>
      <c r="HA83" s="101"/>
      <c r="HB83" s="101"/>
      <c r="HC83" s="101"/>
      <c r="HD83" s="101"/>
      <c r="HE83" s="101"/>
      <c r="HF83" s="101"/>
      <c r="HG83" s="101"/>
      <c r="HH83" s="101"/>
      <c r="HI83" s="101"/>
      <c r="HJ83" s="101"/>
      <c r="HK83" s="101"/>
      <c r="HL83" s="101"/>
      <c r="HM83" s="101"/>
      <c r="HN83" s="101"/>
      <c r="HO83" s="101"/>
      <c r="HP83" s="101"/>
      <c r="HQ83" s="101"/>
      <c r="HR83" s="101"/>
      <c r="HS83" s="101"/>
      <c r="HT83" s="101"/>
      <c r="HU83" s="101"/>
      <c r="HV83" s="101"/>
      <c r="HW83" s="101"/>
      <c r="HX83" s="101"/>
      <c r="HY83" s="101"/>
      <c r="HZ83" s="101"/>
      <c r="IA83" s="101"/>
      <c r="IB83" s="101"/>
      <c r="IC83" s="101"/>
      <c r="ID83" s="101"/>
      <c r="IE83" s="101"/>
      <c r="IF83" s="101"/>
      <c r="IG83" s="101"/>
      <c r="IH83" s="101"/>
      <c r="II83" s="101"/>
      <c r="IJ83" s="101"/>
      <c r="IK83" s="101"/>
      <c r="IL83" s="101"/>
      <c r="IM83" s="101"/>
      <c r="IN83" s="101"/>
    </row>
    <row r="84" s="104" customFormat="1" ht="45" outlineLevel="1" spans="1:248">
      <c r="A84" s="117">
        <v>36</v>
      </c>
      <c r="B84" s="118" t="s">
        <v>1031</v>
      </c>
      <c r="C84" s="118" t="s">
        <v>909</v>
      </c>
      <c r="D84" s="119">
        <v>1</v>
      </c>
      <c r="E84" s="120">
        <v>650</v>
      </c>
      <c r="F84" s="119">
        <f t="shared" si="3"/>
        <v>650</v>
      </c>
      <c r="G84" s="124"/>
      <c r="H84" s="118">
        <v>135</v>
      </c>
      <c r="I84" s="118">
        <v>170</v>
      </c>
      <c r="J84" s="124"/>
      <c r="K84" s="118" t="s">
        <v>1024</v>
      </c>
      <c r="L84" s="129"/>
      <c r="M84" s="108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  <c r="FR84" s="101"/>
      <c r="FS84" s="101"/>
      <c r="FT84" s="101"/>
      <c r="FU84" s="101"/>
      <c r="FV84" s="101"/>
      <c r="FW84" s="101"/>
      <c r="FX84" s="101"/>
      <c r="FY84" s="101"/>
      <c r="FZ84" s="101"/>
      <c r="GA84" s="101"/>
      <c r="GB84" s="101"/>
      <c r="GC84" s="101"/>
      <c r="GD84" s="101"/>
      <c r="GE84" s="101"/>
      <c r="GF84" s="101"/>
      <c r="GG84" s="101"/>
      <c r="GH84" s="101"/>
      <c r="GI84" s="101"/>
      <c r="GJ84" s="101"/>
      <c r="GK84" s="101"/>
      <c r="GL84" s="101"/>
      <c r="GM84" s="101"/>
      <c r="GN84" s="101"/>
      <c r="GO84" s="101"/>
      <c r="GP84" s="101"/>
      <c r="GQ84" s="101"/>
      <c r="GR84" s="101"/>
      <c r="GS84" s="101"/>
      <c r="GT84" s="101"/>
      <c r="GU84" s="101"/>
      <c r="GV84" s="101"/>
      <c r="GW84" s="101"/>
      <c r="GX84" s="101"/>
      <c r="GY84" s="101"/>
      <c r="GZ84" s="101"/>
      <c r="HA84" s="101"/>
      <c r="HB84" s="101"/>
      <c r="HC84" s="101"/>
      <c r="HD84" s="101"/>
      <c r="HE84" s="101"/>
      <c r="HF84" s="101"/>
      <c r="HG84" s="101"/>
      <c r="HH84" s="101"/>
      <c r="HI84" s="101"/>
      <c r="HJ84" s="101"/>
      <c r="HK84" s="101"/>
      <c r="HL84" s="101"/>
      <c r="HM84" s="101"/>
      <c r="HN84" s="101"/>
      <c r="HO84" s="101"/>
      <c r="HP84" s="101"/>
      <c r="HQ84" s="101"/>
      <c r="HR84" s="101"/>
      <c r="HS84" s="101"/>
      <c r="HT84" s="101"/>
      <c r="HU84" s="101"/>
      <c r="HV84" s="101"/>
      <c r="HW84" s="101"/>
      <c r="HX84" s="101"/>
      <c r="HY84" s="101"/>
      <c r="HZ84" s="101"/>
      <c r="IA84" s="101"/>
      <c r="IB84" s="101"/>
      <c r="IC84" s="101"/>
      <c r="ID84" s="101"/>
      <c r="IE84" s="101"/>
      <c r="IF84" s="101"/>
      <c r="IG84" s="101"/>
      <c r="IH84" s="101"/>
      <c r="II84" s="101"/>
      <c r="IJ84" s="101"/>
      <c r="IK84" s="101"/>
      <c r="IL84" s="101"/>
      <c r="IM84" s="101"/>
      <c r="IN84" s="101"/>
    </row>
    <row r="85" s="104" customFormat="1" ht="45" outlineLevel="1" spans="1:248">
      <c r="A85" s="117">
        <v>37</v>
      </c>
      <c r="B85" s="118" t="s">
        <v>1031</v>
      </c>
      <c r="C85" s="118" t="s">
        <v>909</v>
      </c>
      <c r="D85" s="119">
        <v>1</v>
      </c>
      <c r="E85" s="120">
        <v>650</v>
      </c>
      <c r="F85" s="119">
        <f t="shared" si="3"/>
        <v>650</v>
      </c>
      <c r="G85" s="124"/>
      <c r="H85" s="118">
        <v>120</v>
      </c>
      <c r="I85" s="118">
        <v>190</v>
      </c>
      <c r="J85" s="124"/>
      <c r="K85" s="118" t="s">
        <v>1024</v>
      </c>
      <c r="L85" s="129"/>
      <c r="M85" s="108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1"/>
      <c r="DD85" s="101"/>
      <c r="DE85" s="101"/>
      <c r="DF85" s="101"/>
      <c r="DG85" s="101"/>
      <c r="DH85" s="101"/>
      <c r="DI85" s="101"/>
      <c r="DJ85" s="101"/>
      <c r="DK85" s="101"/>
      <c r="DL85" s="101"/>
      <c r="DM85" s="101"/>
      <c r="DN85" s="101"/>
      <c r="DO85" s="101"/>
      <c r="DP85" s="101"/>
      <c r="DQ85" s="101"/>
      <c r="DR85" s="101"/>
      <c r="DS85" s="101"/>
      <c r="DT85" s="101"/>
      <c r="DU85" s="101"/>
      <c r="DV85" s="101"/>
      <c r="DW85" s="101"/>
      <c r="DX85" s="101"/>
      <c r="DY85" s="101"/>
      <c r="DZ85" s="101"/>
      <c r="EA85" s="101"/>
      <c r="EB85" s="101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01"/>
      <c r="FG85" s="101"/>
      <c r="FH85" s="101"/>
      <c r="FI85" s="101"/>
      <c r="FJ85" s="101"/>
      <c r="FK85" s="101"/>
      <c r="FL85" s="101"/>
      <c r="FM85" s="101"/>
      <c r="FN85" s="101"/>
      <c r="FO85" s="101"/>
      <c r="FP85" s="101"/>
      <c r="FQ85" s="101"/>
      <c r="FR85" s="101"/>
      <c r="FS85" s="101"/>
      <c r="FT85" s="101"/>
      <c r="FU85" s="101"/>
      <c r="FV85" s="101"/>
      <c r="FW85" s="101"/>
      <c r="FX85" s="101"/>
      <c r="FY85" s="101"/>
      <c r="FZ85" s="101"/>
      <c r="GA85" s="101"/>
      <c r="GB85" s="101"/>
      <c r="GC85" s="101"/>
      <c r="GD85" s="101"/>
      <c r="GE85" s="101"/>
      <c r="GF85" s="101"/>
      <c r="GG85" s="101"/>
      <c r="GH85" s="101"/>
      <c r="GI85" s="101"/>
      <c r="GJ85" s="101"/>
      <c r="GK85" s="101"/>
      <c r="GL85" s="101"/>
      <c r="GM85" s="101"/>
      <c r="GN85" s="101"/>
      <c r="GO85" s="101"/>
      <c r="GP85" s="101"/>
      <c r="GQ85" s="101"/>
      <c r="GR85" s="101"/>
      <c r="GS85" s="101"/>
      <c r="GT85" s="101"/>
      <c r="GU85" s="101"/>
      <c r="GV85" s="101"/>
      <c r="GW85" s="101"/>
      <c r="GX85" s="101"/>
      <c r="GY85" s="101"/>
      <c r="GZ85" s="101"/>
      <c r="HA85" s="101"/>
      <c r="HB85" s="101"/>
      <c r="HC85" s="101"/>
      <c r="HD85" s="101"/>
      <c r="HE85" s="101"/>
      <c r="HF85" s="101"/>
      <c r="HG85" s="101"/>
      <c r="HH85" s="101"/>
      <c r="HI85" s="101"/>
      <c r="HJ85" s="101"/>
      <c r="HK85" s="101"/>
      <c r="HL85" s="101"/>
      <c r="HM85" s="101"/>
      <c r="HN85" s="101"/>
      <c r="HO85" s="101"/>
      <c r="HP85" s="101"/>
      <c r="HQ85" s="101"/>
      <c r="HR85" s="101"/>
      <c r="HS85" s="101"/>
      <c r="HT85" s="101"/>
      <c r="HU85" s="101"/>
      <c r="HV85" s="101"/>
      <c r="HW85" s="101"/>
      <c r="HX85" s="101"/>
      <c r="HY85" s="101"/>
      <c r="HZ85" s="101"/>
      <c r="IA85" s="101"/>
      <c r="IB85" s="101"/>
      <c r="IC85" s="101"/>
      <c r="ID85" s="101"/>
      <c r="IE85" s="101"/>
      <c r="IF85" s="101"/>
      <c r="IG85" s="101"/>
      <c r="IH85" s="101"/>
      <c r="II85" s="101"/>
      <c r="IJ85" s="101"/>
      <c r="IK85" s="101"/>
      <c r="IL85" s="101"/>
      <c r="IM85" s="101"/>
      <c r="IN85" s="101"/>
    </row>
    <row r="86" s="104" customFormat="1" ht="45" outlineLevel="1" spans="1:248">
      <c r="A86" s="117">
        <v>38</v>
      </c>
      <c r="B86" s="118" t="s">
        <v>1031</v>
      </c>
      <c r="C86" s="118" t="s">
        <v>909</v>
      </c>
      <c r="D86" s="119">
        <v>5</v>
      </c>
      <c r="E86" s="120">
        <v>650</v>
      </c>
      <c r="F86" s="119">
        <f t="shared" si="3"/>
        <v>3250</v>
      </c>
      <c r="G86" s="124"/>
      <c r="H86" s="118">
        <v>120</v>
      </c>
      <c r="I86" s="118">
        <v>180</v>
      </c>
      <c r="J86" s="124"/>
      <c r="K86" s="118" t="s">
        <v>1024</v>
      </c>
      <c r="L86" s="129"/>
      <c r="M86" s="108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1"/>
      <c r="DD86" s="101"/>
      <c r="DE86" s="101"/>
      <c r="DF86" s="101"/>
      <c r="DG86" s="101"/>
      <c r="DH86" s="101"/>
      <c r="DI86" s="101"/>
      <c r="DJ86" s="101"/>
      <c r="DK86" s="101"/>
      <c r="DL86" s="101"/>
      <c r="DM86" s="101"/>
      <c r="DN86" s="101"/>
      <c r="DO86" s="101"/>
      <c r="DP86" s="101"/>
      <c r="DQ86" s="101"/>
      <c r="DR86" s="101"/>
      <c r="DS86" s="101"/>
      <c r="DT86" s="101"/>
      <c r="DU86" s="101"/>
      <c r="DV86" s="101"/>
      <c r="DW86" s="101"/>
      <c r="DX86" s="101"/>
      <c r="DY86" s="101"/>
      <c r="DZ86" s="101"/>
      <c r="EA86" s="101"/>
      <c r="EB86" s="101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01"/>
      <c r="FG86" s="101"/>
      <c r="FH86" s="101"/>
      <c r="FI86" s="101"/>
      <c r="FJ86" s="101"/>
      <c r="FK86" s="101"/>
      <c r="FL86" s="101"/>
      <c r="FM86" s="101"/>
      <c r="FN86" s="101"/>
      <c r="FO86" s="101"/>
      <c r="FP86" s="101"/>
      <c r="FQ86" s="101"/>
      <c r="FR86" s="101"/>
      <c r="FS86" s="101"/>
      <c r="FT86" s="101"/>
      <c r="FU86" s="101"/>
      <c r="FV86" s="101"/>
      <c r="FW86" s="101"/>
      <c r="FX86" s="101"/>
      <c r="FY86" s="101"/>
      <c r="FZ86" s="101"/>
      <c r="GA86" s="101"/>
      <c r="GB86" s="101"/>
      <c r="GC86" s="101"/>
      <c r="GD86" s="101"/>
      <c r="GE86" s="101"/>
      <c r="GF86" s="101"/>
      <c r="GG86" s="101"/>
      <c r="GH86" s="101"/>
      <c r="GI86" s="101"/>
      <c r="GJ86" s="101"/>
      <c r="GK86" s="101"/>
      <c r="GL86" s="101"/>
      <c r="GM86" s="101"/>
      <c r="GN86" s="101"/>
      <c r="GO86" s="101"/>
      <c r="GP86" s="101"/>
      <c r="GQ86" s="101"/>
      <c r="GR86" s="101"/>
      <c r="GS86" s="101"/>
      <c r="GT86" s="101"/>
      <c r="GU86" s="101"/>
      <c r="GV86" s="101"/>
      <c r="GW86" s="101"/>
      <c r="GX86" s="101"/>
      <c r="GY86" s="101"/>
      <c r="GZ86" s="101"/>
      <c r="HA86" s="101"/>
      <c r="HB86" s="101"/>
      <c r="HC86" s="101"/>
      <c r="HD86" s="101"/>
      <c r="HE86" s="101"/>
      <c r="HF86" s="101"/>
      <c r="HG86" s="101"/>
      <c r="HH86" s="101"/>
      <c r="HI86" s="101"/>
      <c r="HJ86" s="101"/>
      <c r="HK86" s="101"/>
      <c r="HL86" s="101"/>
      <c r="HM86" s="101"/>
      <c r="HN86" s="101"/>
      <c r="HO86" s="101"/>
      <c r="HP86" s="101"/>
      <c r="HQ86" s="101"/>
      <c r="HR86" s="101"/>
      <c r="HS86" s="101"/>
      <c r="HT86" s="101"/>
      <c r="HU86" s="101"/>
      <c r="HV86" s="101"/>
      <c r="HW86" s="101"/>
      <c r="HX86" s="101"/>
      <c r="HY86" s="101"/>
      <c r="HZ86" s="101"/>
      <c r="IA86" s="101"/>
      <c r="IB86" s="101"/>
      <c r="IC86" s="101"/>
      <c r="ID86" s="101"/>
      <c r="IE86" s="101"/>
      <c r="IF86" s="101"/>
      <c r="IG86" s="101"/>
      <c r="IH86" s="101"/>
      <c r="II86" s="101"/>
      <c r="IJ86" s="101"/>
      <c r="IK86" s="101"/>
      <c r="IL86" s="101"/>
      <c r="IM86" s="101"/>
      <c r="IN86" s="101"/>
    </row>
    <row r="87" s="104" customFormat="1" ht="45" outlineLevel="1" spans="1:248">
      <c r="A87" s="117">
        <v>39</v>
      </c>
      <c r="B87" s="118" t="s">
        <v>1031</v>
      </c>
      <c r="C87" s="118" t="s">
        <v>909</v>
      </c>
      <c r="D87" s="119">
        <v>2</v>
      </c>
      <c r="E87" s="120">
        <v>650</v>
      </c>
      <c r="F87" s="119">
        <f t="shared" si="3"/>
        <v>1300</v>
      </c>
      <c r="G87" s="124"/>
      <c r="H87" s="118">
        <v>120</v>
      </c>
      <c r="I87" s="118">
        <v>170</v>
      </c>
      <c r="J87" s="124"/>
      <c r="K87" s="118" t="s">
        <v>1024</v>
      </c>
      <c r="L87" s="129"/>
      <c r="M87" s="108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01"/>
      <c r="FG87" s="101"/>
      <c r="FH87" s="101"/>
      <c r="FI87" s="101"/>
      <c r="FJ87" s="101"/>
      <c r="FK87" s="101"/>
      <c r="FL87" s="101"/>
      <c r="FM87" s="101"/>
      <c r="FN87" s="101"/>
      <c r="FO87" s="101"/>
      <c r="FP87" s="101"/>
      <c r="FQ87" s="101"/>
      <c r="FR87" s="101"/>
      <c r="FS87" s="101"/>
      <c r="FT87" s="101"/>
      <c r="FU87" s="101"/>
      <c r="FV87" s="101"/>
      <c r="FW87" s="101"/>
      <c r="FX87" s="101"/>
      <c r="FY87" s="101"/>
      <c r="FZ87" s="101"/>
      <c r="GA87" s="101"/>
      <c r="GB87" s="101"/>
      <c r="GC87" s="101"/>
      <c r="GD87" s="101"/>
      <c r="GE87" s="101"/>
      <c r="GF87" s="101"/>
      <c r="GG87" s="101"/>
      <c r="GH87" s="101"/>
      <c r="GI87" s="101"/>
      <c r="GJ87" s="101"/>
      <c r="GK87" s="101"/>
      <c r="GL87" s="101"/>
      <c r="GM87" s="101"/>
      <c r="GN87" s="101"/>
      <c r="GO87" s="101"/>
      <c r="GP87" s="101"/>
      <c r="GQ87" s="101"/>
      <c r="GR87" s="101"/>
      <c r="GS87" s="101"/>
      <c r="GT87" s="101"/>
      <c r="GU87" s="101"/>
      <c r="GV87" s="101"/>
      <c r="GW87" s="101"/>
      <c r="GX87" s="101"/>
      <c r="GY87" s="101"/>
      <c r="GZ87" s="101"/>
      <c r="HA87" s="101"/>
      <c r="HB87" s="101"/>
      <c r="HC87" s="101"/>
      <c r="HD87" s="101"/>
      <c r="HE87" s="101"/>
      <c r="HF87" s="101"/>
      <c r="HG87" s="101"/>
      <c r="HH87" s="101"/>
      <c r="HI87" s="101"/>
      <c r="HJ87" s="101"/>
      <c r="HK87" s="101"/>
      <c r="HL87" s="101"/>
      <c r="HM87" s="101"/>
      <c r="HN87" s="101"/>
      <c r="HO87" s="101"/>
      <c r="HP87" s="101"/>
      <c r="HQ87" s="101"/>
      <c r="HR87" s="101"/>
      <c r="HS87" s="101"/>
      <c r="HT87" s="101"/>
      <c r="HU87" s="101"/>
      <c r="HV87" s="101"/>
      <c r="HW87" s="101"/>
      <c r="HX87" s="101"/>
      <c r="HY87" s="101"/>
      <c r="HZ87" s="101"/>
      <c r="IA87" s="101"/>
      <c r="IB87" s="101"/>
      <c r="IC87" s="101"/>
      <c r="ID87" s="101"/>
      <c r="IE87" s="101"/>
      <c r="IF87" s="101"/>
      <c r="IG87" s="101"/>
      <c r="IH87" s="101"/>
      <c r="II87" s="101"/>
      <c r="IJ87" s="101"/>
      <c r="IK87" s="101"/>
      <c r="IL87" s="101"/>
      <c r="IM87" s="101"/>
      <c r="IN87" s="101"/>
    </row>
    <row r="88" s="104" customFormat="1" outlineLevel="1" spans="1:248">
      <c r="A88" s="117">
        <v>40</v>
      </c>
      <c r="B88" s="118" t="s">
        <v>1031</v>
      </c>
      <c r="C88" s="118" t="s">
        <v>909</v>
      </c>
      <c r="D88" s="119">
        <v>1</v>
      </c>
      <c r="E88" s="120">
        <v>650</v>
      </c>
      <c r="F88" s="119">
        <f t="shared" si="3"/>
        <v>650</v>
      </c>
      <c r="G88" s="124"/>
      <c r="H88" s="118">
        <v>120</v>
      </c>
      <c r="I88" s="118">
        <v>170</v>
      </c>
      <c r="J88" s="124"/>
      <c r="K88" s="123" t="s">
        <v>1033</v>
      </c>
      <c r="L88" s="129"/>
      <c r="M88" s="108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1"/>
      <c r="FJ88" s="101"/>
      <c r="FK88" s="101"/>
      <c r="FL88" s="101"/>
      <c r="FM88" s="101"/>
      <c r="FN88" s="101"/>
      <c r="FO88" s="101"/>
      <c r="FP88" s="101"/>
      <c r="FQ88" s="101"/>
      <c r="FR88" s="101"/>
      <c r="FS88" s="101"/>
      <c r="FT88" s="101"/>
      <c r="FU88" s="101"/>
      <c r="FV88" s="101"/>
      <c r="FW88" s="101"/>
      <c r="FX88" s="101"/>
      <c r="FY88" s="101"/>
      <c r="FZ88" s="101"/>
      <c r="GA88" s="101"/>
      <c r="GB88" s="101"/>
      <c r="GC88" s="101"/>
      <c r="GD88" s="101"/>
      <c r="GE88" s="101"/>
      <c r="GF88" s="101"/>
      <c r="GG88" s="101"/>
      <c r="GH88" s="101"/>
      <c r="GI88" s="101"/>
      <c r="GJ88" s="101"/>
      <c r="GK88" s="101"/>
      <c r="GL88" s="101"/>
      <c r="GM88" s="101"/>
      <c r="GN88" s="101"/>
      <c r="GO88" s="101"/>
      <c r="GP88" s="101"/>
      <c r="GQ88" s="101"/>
      <c r="GR88" s="101"/>
      <c r="GS88" s="101"/>
      <c r="GT88" s="101"/>
      <c r="GU88" s="101"/>
      <c r="GV88" s="101"/>
      <c r="GW88" s="101"/>
      <c r="GX88" s="101"/>
      <c r="GY88" s="101"/>
      <c r="GZ88" s="101"/>
      <c r="HA88" s="101"/>
      <c r="HB88" s="101"/>
      <c r="HC88" s="101"/>
      <c r="HD88" s="101"/>
      <c r="HE88" s="101"/>
      <c r="HF88" s="101"/>
      <c r="HG88" s="101"/>
      <c r="HH88" s="101"/>
      <c r="HI88" s="101"/>
      <c r="HJ88" s="101"/>
      <c r="HK88" s="101"/>
      <c r="HL88" s="101"/>
      <c r="HM88" s="101"/>
      <c r="HN88" s="101"/>
      <c r="HO88" s="101"/>
      <c r="HP88" s="101"/>
      <c r="HQ88" s="101"/>
      <c r="HR88" s="101"/>
      <c r="HS88" s="101"/>
      <c r="HT88" s="101"/>
      <c r="HU88" s="101"/>
      <c r="HV88" s="101"/>
      <c r="HW88" s="101"/>
      <c r="HX88" s="101"/>
      <c r="HY88" s="101"/>
      <c r="HZ88" s="101"/>
      <c r="IA88" s="101"/>
      <c r="IB88" s="101"/>
      <c r="IC88" s="101"/>
      <c r="ID88" s="101"/>
      <c r="IE88" s="101"/>
      <c r="IF88" s="101"/>
      <c r="IG88" s="101"/>
      <c r="IH88" s="101"/>
      <c r="II88" s="101"/>
      <c r="IJ88" s="101"/>
      <c r="IK88" s="101"/>
      <c r="IL88" s="101"/>
      <c r="IM88" s="101"/>
      <c r="IN88" s="101"/>
    </row>
    <row r="89" s="104" customFormat="1" ht="45" outlineLevel="1" spans="1:248">
      <c r="A89" s="117">
        <v>41</v>
      </c>
      <c r="B89" s="118" t="s">
        <v>1031</v>
      </c>
      <c r="C89" s="118" t="s">
        <v>909</v>
      </c>
      <c r="D89" s="119">
        <v>4</v>
      </c>
      <c r="E89" s="120">
        <v>650</v>
      </c>
      <c r="F89" s="119">
        <f t="shared" si="3"/>
        <v>2600</v>
      </c>
      <c r="G89" s="124"/>
      <c r="H89" s="118">
        <v>120</v>
      </c>
      <c r="I89" s="118">
        <v>160</v>
      </c>
      <c r="J89" s="124"/>
      <c r="K89" s="118" t="s">
        <v>1024</v>
      </c>
      <c r="L89" s="129"/>
      <c r="M89" s="108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1"/>
      <c r="DD89" s="101"/>
      <c r="DE89" s="101"/>
      <c r="DF89" s="101"/>
      <c r="DG89" s="101"/>
      <c r="DH89" s="101"/>
      <c r="DI89" s="101"/>
      <c r="DJ89" s="101"/>
      <c r="DK89" s="101"/>
      <c r="DL89" s="101"/>
      <c r="DM89" s="101"/>
      <c r="DN89" s="101"/>
      <c r="DO89" s="101"/>
      <c r="DP89" s="101"/>
      <c r="DQ89" s="101"/>
      <c r="DR89" s="101"/>
      <c r="DS89" s="101"/>
      <c r="DT89" s="101"/>
      <c r="DU89" s="101"/>
      <c r="DV89" s="101"/>
      <c r="DW89" s="101"/>
      <c r="DX89" s="101"/>
      <c r="DY89" s="101"/>
      <c r="DZ89" s="101"/>
      <c r="EA89" s="101"/>
      <c r="EB89" s="101"/>
      <c r="EC89" s="101"/>
      <c r="ED89" s="101"/>
      <c r="EE89" s="101"/>
      <c r="EF89" s="101"/>
      <c r="EG89" s="101"/>
      <c r="EH89" s="101"/>
      <c r="EI89" s="101"/>
      <c r="EJ89" s="101"/>
      <c r="EK89" s="101"/>
      <c r="EL89" s="101"/>
      <c r="EM89" s="101"/>
      <c r="EN89" s="101"/>
      <c r="EO89" s="101"/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01"/>
      <c r="FG89" s="101"/>
      <c r="FH89" s="101"/>
      <c r="FI89" s="101"/>
      <c r="FJ89" s="101"/>
      <c r="FK89" s="101"/>
      <c r="FL89" s="101"/>
      <c r="FM89" s="101"/>
      <c r="FN89" s="101"/>
      <c r="FO89" s="101"/>
      <c r="FP89" s="101"/>
      <c r="FQ89" s="101"/>
      <c r="FR89" s="101"/>
      <c r="FS89" s="101"/>
      <c r="FT89" s="101"/>
      <c r="FU89" s="101"/>
      <c r="FV89" s="101"/>
      <c r="FW89" s="101"/>
      <c r="FX89" s="101"/>
      <c r="FY89" s="101"/>
      <c r="FZ89" s="101"/>
      <c r="GA89" s="101"/>
      <c r="GB89" s="101"/>
      <c r="GC89" s="101"/>
      <c r="GD89" s="101"/>
      <c r="GE89" s="101"/>
      <c r="GF89" s="101"/>
      <c r="GG89" s="101"/>
      <c r="GH89" s="101"/>
      <c r="GI89" s="101"/>
      <c r="GJ89" s="101"/>
      <c r="GK89" s="101"/>
      <c r="GL89" s="101"/>
      <c r="GM89" s="101"/>
      <c r="GN89" s="101"/>
      <c r="GO89" s="101"/>
      <c r="GP89" s="101"/>
      <c r="GQ89" s="101"/>
      <c r="GR89" s="101"/>
      <c r="GS89" s="101"/>
      <c r="GT89" s="101"/>
      <c r="GU89" s="101"/>
      <c r="GV89" s="101"/>
      <c r="GW89" s="101"/>
      <c r="GX89" s="101"/>
      <c r="GY89" s="101"/>
      <c r="GZ89" s="101"/>
      <c r="HA89" s="101"/>
      <c r="HB89" s="101"/>
      <c r="HC89" s="101"/>
      <c r="HD89" s="101"/>
      <c r="HE89" s="101"/>
      <c r="HF89" s="101"/>
      <c r="HG89" s="101"/>
      <c r="HH89" s="101"/>
      <c r="HI89" s="101"/>
      <c r="HJ89" s="101"/>
      <c r="HK89" s="101"/>
      <c r="HL89" s="101"/>
      <c r="HM89" s="101"/>
      <c r="HN89" s="101"/>
      <c r="HO89" s="101"/>
      <c r="HP89" s="101"/>
      <c r="HQ89" s="101"/>
      <c r="HR89" s="101"/>
      <c r="HS89" s="101"/>
      <c r="HT89" s="101"/>
      <c r="HU89" s="101"/>
      <c r="HV89" s="101"/>
      <c r="HW89" s="101"/>
      <c r="HX89" s="101"/>
      <c r="HY89" s="101"/>
      <c r="HZ89" s="101"/>
      <c r="IA89" s="101"/>
      <c r="IB89" s="101"/>
      <c r="IC89" s="101"/>
      <c r="ID89" s="101"/>
      <c r="IE89" s="101"/>
      <c r="IF89" s="101"/>
      <c r="IG89" s="101"/>
      <c r="IH89" s="101"/>
      <c r="II89" s="101"/>
      <c r="IJ89" s="101"/>
      <c r="IK89" s="101"/>
      <c r="IL89" s="101"/>
      <c r="IM89" s="101"/>
      <c r="IN89" s="101"/>
    </row>
    <row r="90" s="104" customFormat="1" ht="45" outlineLevel="1" spans="1:248">
      <c r="A90" s="117">
        <v>42</v>
      </c>
      <c r="B90" s="118" t="s">
        <v>1031</v>
      </c>
      <c r="C90" s="118" t="s">
        <v>909</v>
      </c>
      <c r="D90" s="119">
        <v>1</v>
      </c>
      <c r="E90" s="120">
        <v>650</v>
      </c>
      <c r="F90" s="119">
        <f t="shared" si="3"/>
        <v>650</v>
      </c>
      <c r="G90" s="124"/>
      <c r="H90" s="118">
        <v>120</v>
      </c>
      <c r="I90" s="118">
        <v>190</v>
      </c>
      <c r="J90" s="124"/>
      <c r="K90" s="118" t="s">
        <v>1024</v>
      </c>
      <c r="L90" s="129"/>
      <c r="M90" s="108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1"/>
      <c r="DD90" s="101"/>
      <c r="DE90" s="101"/>
      <c r="DF90" s="101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1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101"/>
      <c r="EK90" s="101"/>
      <c r="EL90" s="101"/>
      <c r="EM90" s="101"/>
      <c r="EN90" s="101"/>
      <c r="EO90" s="101"/>
      <c r="EP90" s="101"/>
      <c r="EQ90" s="101"/>
      <c r="ER90" s="101"/>
      <c r="ES90" s="101"/>
      <c r="ET90" s="101"/>
      <c r="EU90" s="101"/>
      <c r="EV90" s="101"/>
      <c r="EW90" s="101"/>
      <c r="EX90" s="101"/>
      <c r="EY90" s="101"/>
      <c r="EZ90" s="101"/>
      <c r="FA90" s="101"/>
      <c r="FB90" s="101"/>
      <c r="FC90" s="101"/>
      <c r="FD90" s="101"/>
      <c r="FE90" s="101"/>
      <c r="FF90" s="101"/>
      <c r="FG90" s="101"/>
      <c r="FH90" s="101"/>
      <c r="FI90" s="101"/>
      <c r="FJ90" s="101"/>
      <c r="FK90" s="101"/>
      <c r="FL90" s="101"/>
      <c r="FM90" s="101"/>
      <c r="FN90" s="101"/>
      <c r="FO90" s="101"/>
      <c r="FP90" s="101"/>
      <c r="FQ90" s="101"/>
      <c r="FR90" s="101"/>
      <c r="FS90" s="101"/>
      <c r="FT90" s="101"/>
      <c r="FU90" s="101"/>
      <c r="FV90" s="101"/>
      <c r="FW90" s="101"/>
      <c r="FX90" s="101"/>
      <c r="FY90" s="101"/>
      <c r="FZ90" s="101"/>
      <c r="GA90" s="101"/>
      <c r="GB90" s="101"/>
      <c r="GC90" s="101"/>
      <c r="GD90" s="101"/>
      <c r="GE90" s="101"/>
      <c r="GF90" s="101"/>
      <c r="GG90" s="101"/>
      <c r="GH90" s="101"/>
      <c r="GI90" s="101"/>
      <c r="GJ90" s="101"/>
      <c r="GK90" s="101"/>
      <c r="GL90" s="101"/>
      <c r="GM90" s="101"/>
      <c r="GN90" s="101"/>
      <c r="GO90" s="101"/>
      <c r="GP90" s="101"/>
      <c r="GQ90" s="101"/>
      <c r="GR90" s="101"/>
      <c r="GS90" s="101"/>
      <c r="GT90" s="101"/>
      <c r="GU90" s="101"/>
      <c r="GV90" s="101"/>
      <c r="GW90" s="101"/>
      <c r="GX90" s="101"/>
      <c r="GY90" s="101"/>
      <c r="GZ90" s="101"/>
      <c r="HA90" s="101"/>
      <c r="HB90" s="101"/>
      <c r="HC90" s="101"/>
      <c r="HD90" s="101"/>
      <c r="HE90" s="101"/>
      <c r="HF90" s="101"/>
      <c r="HG90" s="101"/>
      <c r="HH90" s="101"/>
      <c r="HI90" s="101"/>
      <c r="HJ90" s="101"/>
      <c r="HK90" s="101"/>
      <c r="HL90" s="101"/>
      <c r="HM90" s="101"/>
      <c r="HN90" s="101"/>
      <c r="HO90" s="101"/>
      <c r="HP90" s="101"/>
      <c r="HQ90" s="101"/>
      <c r="HR90" s="101"/>
      <c r="HS90" s="101"/>
      <c r="HT90" s="101"/>
      <c r="HU90" s="101"/>
      <c r="HV90" s="101"/>
      <c r="HW90" s="101"/>
      <c r="HX90" s="101"/>
      <c r="HY90" s="101"/>
      <c r="HZ90" s="101"/>
      <c r="IA90" s="101"/>
      <c r="IB90" s="101"/>
      <c r="IC90" s="101"/>
      <c r="ID90" s="101"/>
      <c r="IE90" s="101"/>
      <c r="IF90" s="101"/>
      <c r="IG90" s="101"/>
      <c r="IH90" s="101"/>
      <c r="II90" s="101"/>
      <c r="IJ90" s="101"/>
      <c r="IK90" s="101"/>
      <c r="IL90" s="101"/>
      <c r="IM90" s="101"/>
      <c r="IN90" s="101"/>
    </row>
    <row r="91" s="104" customFormat="1" ht="45" outlineLevel="1" spans="1:248">
      <c r="A91" s="117">
        <v>43</v>
      </c>
      <c r="B91" s="118" t="s">
        <v>1031</v>
      </c>
      <c r="C91" s="118" t="s">
        <v>909</v>
      </c>
      <c r="D91" s="119">
        <v>1</v>
      </c>
      <c r="E91" s="120">
        <v>650</v>
      </c>
      <c r="F91" s="119">
        <f t="shared" si="3"/>
        <v>650</v>
      </c>
      <c r="G91" s="124"/>
      <c r="H91" s="118">
        <v>130</v>
      </c>
      <c r="I91" s="118">
        <v>160</v>
      </c>
      <c r="J91" s="124"/>
      <c r="K91" s="118" t="s">
        <v>1024</v>
      </c>
      <c r="L91" s="129"/>
      <c r="M91" s="108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  <c r="CV91" s="101"/>
      <c r="CW91" s="101"/>
      <c r="CX91" s="101"/>
      <c r="CY91" s="101"/>
      <c r="CZ91" s="101"/>
      <c r="DA91" s="101"/>
      <c r="DB91" s="101"/>
      <c r="DC91" s="101"/>
      <c r="DD91" s="101"/>
      <c r="DE91" s="101"/>
      <c r="DF91" s="101"/>
      <c r="DG91" s="101"/>
      <c r="DH91" s="101"/>
      <c r="DI91" s="101"/>
      <c r="DJ91" s="101"/>
      <c r="DK91" s="101"/>
      <c r="DL91" s="101"/>
      <c r="DM91" s="101"/>
      <c r="DN91" s="101"/>
      <c r="DO91" s="101"/>
      <c r="DP91" s="101"/>
      <c r="DQ91" s="101"/>
      <c r="DR91" s="101"/>
      <c r="DS91" s="101"/>
      <c r="DT91" s="101"/>
      <c r="DU91" s="101"/>
      <c r="DV91" s="101"/>
      <c r="DW91" s="101"/>
      <c r="DX91" s="101"/>
      <c r="DY91" s="101"/>
      <c r="DZ91" s="101"/>
      <c r="EA91" s="101"/>
      <c r="EB91" s="101"/>
      <c r="EC91" s="101"/>
      <c r="ED91" s="101"/>
      <c r="EE91" s="101"/>
      <c r="EF91" s="101"/>
      <c r="EG91" s="101"/>
      <c r="EH91" s="101"/>
      <c r="EI91" s="101"/>
      <c r="EJ91" s="101"/>
      <c r="EK91" s="101"/>
      <c r="EL91" s="101"/>
      <c r="EM91" s="101"/>
      <c r="EN91" s="101"/>
      <c r="EO91" s="101"/>
      <c r="EP91" s="101"/>
      <c r="EQ91" s="101"/>
      <c r="ER91" s="101"/>
      <c r="ES91" s="101"/>
      <c r="ET91" s="101"/>
      <c r="EU91" s="101"/>
      <c r="EV91" s="101"/>
      <c r="EW91" s="101"/>
      <c r="EX91" s="101"/>
      <c r="EY91" s="101"/>
      <c r="EZ91" s="101"/>
      <c r="FA91" s="101"/>
      <c r="FB91" s="101"/>
      <c r="FC91" s="101"/>
      <c r="FD91" s="101"/>
      <c r="FE91" s="101"/>
      <c r="FF91" s="101"/>
      <c r="FG91" s="101"/>
      <c r="FH91" s="101"/>
      <c r="FI91" s="101"/>
      <c r="FJ91" s="101"/>
      <c r="FK91" s="101"/>
      <c r="FL91" s="101"/>
      <c r="FM91" s="101"/>
      <c r="FN91" s="101"/>
      <c r="FO91" s="101"/>
      <c r="FP91" s="101"/>
      <c r="FQ91" s="101"/>
      <c r="FR91" s="101"/>
      <c r="FS91" s="101"/>
      <c r="FT91" s="101"/>
      <c r="FU91" s="101"/>
      <c r="FV91" s="101"/>
      <c r="FW91" s="101"/>
      <c r="FX91" s="101"/>
      <c r="FY91" s="101"/>
      <c r="FZ91" s="101"/>
      <c r="GA91" s="101"/>
      <c r="GB91" s="101"/>
      <c r="GC91" s="101"/>
      <c r="GD91" s="101"/>
      <c r="GE91" s="101"/>
      <c r="GF91" s="101"/>
      <c r="GG91" s="101"/>
      <c r="GH91" s="101"/>
      <c r="GI91" s="101"/>
      <c r="GJ91" s="101"/>
      <c r="GK91" s="101"/>
      <c r="GL91" s="101"/>
      <c r="GM91" s="101"/>
      <c r="GN91" s="101"/>
      <c r="GO91" s="101"/>
      <c r="GP91" s="101"/>
      <c r="GQ91" s="101"/>
      <c r="GR91" s="101"/>
      <c r="GS91" s="101"/>
      <c r="GT91" s="101"/>
      <c r="GU91" s="101"/>
      <c r="GV91" s="101"/>
      <c r="GW91" s="101"/>
      <c r="GX91" s="101"/>
      <c r="GY91" s="101"/>
      <c r="GZ91" s="101"/>
      <c r="HA91" s="101"/>
      <c r="HB91" s="101"/>
      <c r="HC91" s="101"/>
      <c r="HD91" s="101"/>
      <c r="HE91" s="101"/>
      <c r="HF91" s="101"/>
      <c r="HG91" s="101"/>
      <c r="HH91" s="101"/>
      <c r="HI91" s="101"/>
      <c r="HJ91" s="101"/>
      <c r="HK91" s="101"/>
      <c r="HL91" s="101"/>
      <c r="HM91" s="101"/>
      <c r="HN91" s="101"/>
      <c r="HO91" s="101"/>
      <c r="HP91" s="101"/>
      <c r="HQ91" s="101"/>
      <c r="HR91" s="101"/>
      <c r="HS91" s="101"/>
      <c r="HT91" s="101"/>
      <c r="HU91" s="101"/>
      <c r="HV91" s="101"/>
      <c r="HW91" s="101"/>
      <c r="HX91" s="101"/>
      <c r="HY91" s="101"/>
      <c r="HZ91" s="101"/>
      <c r="IA91" s="101"/>
      <c r="IB91" s="101"/>
      <c r="IC91" s="101"/>
      <c r="ID91" s="101"/>
      <c r="IE91" s="101"/>
      <c r="IF91" s="101"/>
      <c r="IG91" s="101"/>
      <c r="IH91" s="101"/>
      <c r="II91" s="101"/>
      <c r="IJ91" s="101"/>
      <c r="IK91" s="101"/>
      <c r="IL91" s="101"/>
      <c r="IM91" s="101"/>
      <c r="IN91" s="101"/>
    </row>
    <row r="92" s="104" customFormat="1" ht="45" outlineLevel="1" spans="1:248">
      <c r="A92" s="117">
        <v>44</v>
      </c>
      <c r="B92" s="118" t="s">
        <v>1031</v>
      </c>
      <c r="C92" s="118" t="s">
        <v>909</v>
      </c>
      <c r="D92" s="119">
        <v>1</v>
      </c>
      <c r="E92" s="122">
        <f>650*0+(1*0.2+1*0.3+1.4/1.5*0.5)*650*0.85</f>
        <v>534.08</v>
      </c>
      <c r="F92" s="119">
        <f t="shared" si="3"/>
        <v>534.08</v>
      </c>
      <c r="G92" s="124"/>
      <c r="H92" s="118">
        <v>120</v>
      </c>
      <c r="I92" s="118">
        <v>140</v>
      </c>
      <c r="J92" s="124"/>
      <c r="K92" s="118" t="s">
        <v>1024</v>
      </c>
      <c r="L92" s="129" t="s">
        <v>1030</v>
      </c>
      <c r="M92" s="108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1"/>
      <c r="DD92" s="101"/>
      <c r="DE92" s="101"/>
      <c r="DF92" s="101"/>
      <c r="DG92" s="101"/>
      <c r="DH92" s="101"/>
      <c r="DI92" s="101"/>
      <c r="DJ92" s="101"/>
      <c r="DK92" s="101"/>
      <c r="DL92" s="101"/>
      <c r="DM92" s="101"/>
      <c r="DN92" s="101"/>
      <c r="DO92" s="101"/>
      <c r="DP92" s="101"/>
      <c r="DQ92" s="101"/>
      <c r="DR92" s="101"/>
      <c r="DS92" s="101"/>
      <c r="DT92" s="101"/>
      <c r="DU92" s="101"/>
      <c r="DV92" s="101"/>
      <c r="DW92" s="101"/>
      <c r="DX92" s="101"/>
      <c r="DY92" s="101"/>
      <c r="DZ92" s="101"/>
      <c r="EA92" s="101"/>
      <c r="EB92" s="101"/>
      <c r="EC92" s="101"/>
      <c r="ED92" s="101"/>
      <c r="EE92" s="101"/>
      <c r="EF92" s="101"/>
      <c r="EG92" s="101"/>
      <c r="EH92" s="101"/>
      <c r="EI92" s="101"/>
      <c r="EJ92" s="101"/>
      <c r="EK92" s="101"/>
      <c r="EL92" s="101"/>
      <c r="EM92" s="101"/>
      <c r="EN92" s="101"/>
      <c r="EO92" s="101"/>
      <c r="EP92" s="101"/>
      <c r="EQ92" s="101"/>
      <c r="ER92" s="101"/>
      <c r="ES92" s="101"/>
      <c r="ET92" s="101"/>
      <c r="EU92" s="101"/>
      <c r="EV92" s="101"/>
      <c r="EW92" s="101"/>
      <c r="EX92" s="101"/>
      <c r="EY92" s="101"/>
      <c r="EZ92" s="101"/>
      <c r="FA92" s="101"/>
      <c r="FB92" s="101"/>
      <c r="FC92" s="101"/>
      <c r="FD92" s="101"/>
      <c r="FE92" s="101"/>
      <c r="FF92" s="101"/>
      <c r="FG92" s="101"/>
      <c r="FH92" s="101"/>
      <c r="FI92" s="101"/>
      <c r="FJ92" s="101"/>
      <c r="FK92" s="101"/>
      <c r="FL92" s="101"/>
      <c r="FM92" s="101"/>
      <c r="FN92" s="101"/>
      <c r="FO92" s="101"/>
      <c r="FP92" s="101"/>
      <c r="FQ92" s="101"/>
      <c r="FR92" s="101"/>
      <c r="FS92" s="101"/>
      <c r="FT92" s="101"/>
      <c r="FU92" s="101"/>
      <c r="FV92" s="101"/>
      <c r="FW92" s="101"/>
      <c r="FX92" s="101"/>
      <c r="FY92" s="101"/>
      <c r="FZ92" s="101"/>
      <c r="GA92" s="101"/>
      <c r="GB92" s="101"/>
      <c r="GC92" s="101"/>
      <c r="GD92" s="101"/>
      <c r="GE92" s="101"/>
      <c r="GF92" s="101"/>
      <c r="GG92" s="101"/>
      <c r="GH92" s="101"/>
      <c r="GI92" s="101"/>
      <c r="GJ92" s="101"/>
      <c r="GK92" s="101"/>
      <c r="GL92" s="101"/>
      <c r="GM92" s="101"/>
      <c r="GN92" s="101"/>
      <c r="GO92" s="101"/>
      <c r="GP92" s="101"/>
      <c r="GQ92" s="101"/>
      <c r="GR92" s="101"/>
      <c r="GS92" s="101"/>
      <c r="GT92" s="101"/>
      <c r="GU92" s="101"/>
      <c r="GV92" s="101"/>
      <c r="GW92" s="101"/>
      <c r="GX92" s="101"/>
      <c r="GY92" s="101"/>
      <c r="GZ92" s="101"/>
      <c r="HA92" s="101"/>
      <c r="HB92" s="101"/>
      <c r="HC92" s="101"/>
      <c r="HD92" s="101"/>
      <c r="HE92" s="101"/>
      <c r="HF92" s="101"/>
      <c r="HG92" s="101"/>
      <c r="HH92" s="101"/>
      <c r="HI92" s="101"/>
      <c r="HJ92" s="101"/>
      <c r="HK92" s="101"/>
      <c r="HL92" s="101"/>
      <c r="HM92" s="101"/>
      <c r="HN92" s="101"/>
      <c r="HO92" s="101"/>
      <c r="HP92" s="101"/>
      <c r="HQ92" s="101"/>
      <c r="HR92" s="101"/>
      <c r="HS92" s="101"/>
      <c r="HT92" s="101"/>
      <c r="HU92" s="101"/>
      <c r="HV92" s="101"/>
      <c r="HW92" s="101"/>
      <c r="HX92" s="101"/>
      <c r="HY92" s="101"/>
      <c r="HZ92" s="101"/>
      <c r="IA92" s="101"/>
      <c r="IB92" s="101"/>
      <c r="IC92" s="101"/>
      <c r="ID92" s="101"/>
      <c r="IE92" s="101"/>
      <c r="IF92" s="101"/>
      <c r="IG92" s="101"/>
      <c r="IH92" s="101"/>
      <c r="II92" s="101"/>
      <c r="IJ92" s="101"/>
      <c r="IK92" s="101"/>
      <c r="IL92" s="101"/>
      <c r="IM92" s="101"/>
      <c r="IN92" s="101"/>
    </row>
    <row r="93" s="104" customFormat="1" ht="45" outlineLevel="1" spans="1:248">
      <c r="A93" s="117">
        <v>45</v>
      </c>
      <c r="B93" s="118" t="s">
        <v>1034</v>
      </c>
      <c r="C93" s="118" t="s">
        <v>909</v>
      </c>
      <c r="D93" s="119">
        <v>1</v>
      </c>
      <c r="E93" s="120">
        <v>400</v>
      </c>
      <c r="F93" s="119">
        <f t="shared" si="3"/>
        <v>400</v>
      </c>
      <c r="G93" s="124"/>
      <c r="H93" s="10">
        <v>100</v>
      </c>
      <c r="I93" s="10">
        <v>120</v>
      </c>
      <c r="J93" s="124"/>
      <c r="K93" s="118" t="s">
        <v>1024</v>
      </c>
      <c r="L93" s="129"/>
      <c r="M93" s="131" t="s">
        <v>1035</v>
      </c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1"/>
      <c r="DD93" s="101"/>
      <c r="DE93" s="101"/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1"/>
      <c r="DY93" s="101"/>
      <c r="DZ93" s="101"/>
      <c r="EA93" s="101"/>
      <c r="EB93" s="101"/>
      <c r="EC93" s="101"/>
      <c r="ED93" s="101"/>
      <c r="EE93" s="101"/>
      <c r="EF93" s="101"/>
      <c r="EG93" s="101"/>
      <c r="EH93" s="101"/>
      <c r="EI93" s="101"/>
      <c r="EJ93" s="101"/>
      <c r="EK93" s="101"/>
      <c r="EL93" s="101"/>
      <c r="EM93" s="101"/>
      <c r="EN93" s="101"/>
      <c r="EO93" s="101"/>
      <c r="EP93" s="101"/>
      <c r="EQ93" s="101"/>
      <c r="ER93" s="101"/>
      <c r="ES93" s="101"/>
      <c r="ET93" s="101"/>
      <c r="EU93" s="101"/>
      <c r="EV93" s="101"/>
      <c r="EW93" s="101"/>
      <c r="EX93" s="101"/>
      <c r="EY93" s="101"/>
      <c r="EZ93" s="101"/>
      <c r="FA93" s="101"/>
      <c r="FB93" s="101"/>
      <c r="FC93" s="101"/>
      <c r="FD93" s="101"/>
      <c r="FE93" s="101"/>
      <c r="FF93" s="101"/>
      <c r="FG93" s="101"/>
      <c r="FH93" s="101"/>
      <c r="FI93" s="101"/>
      <c r="FJ93" s="101"/>
      <c r="FK93" s="101"/>
      <c r="FL93" s="101"/>
      <c r="FM93" s="101"/>
      <c r="FN93" s="101"/>
      <c r="FO93" s="101"/>
      <c r="FP93" s="101"/>
      <c r="FQ93" s="101"/>
      <c r="FR93" s="101"/>
      <c r="FS93" s="101"/>
      <c r="FT93" s="101"/>
      <c r="FU93" s="101"/>
      <c r="FV93" s="101"/>
      <c r="FW93" s="101"/>
      <c r="FX93" s="101"/>
      <c r="FY93" s="101"/>
      <c r="FZ93" s="101"/>
      <c r="GA93" s="101"/>
      <c r="GB93" s="101"/>
      <c r="GC93" s="101"/>
      <c r="GD93" s="101"/>
      <c r="GE93" s="101"/>
      <c r="GF93" s="101"/>
      <c r="GG93" s="101"/>
      <c r="GH93" s="101"/>
      <c r="GI93" s="101"/>
      <c r="GJ93" s="101"/>
      <c r="GK93" s="101"/>
      <c r="GL93" s="101"/>
      <c r="GM93" s="101"/>
      <c r="GN93" s="101"/>
      <c r="GO93" s="101"/>
      <c r="GP93" s="101"/>
      <c r="GQ93" s="101"/>
      <c r="GR93" s="101"/>
      <c r="GS93" s="101"/>
      <c r="GT93" s="101"/>
      <c r="GU93" s="101"/>
      <c r="GV93" s="101"/>
      <c r="GW93" s="101"/>
      <c r="GX93" s="101"/>
      <c r="GY93" s="101"/>
      <c r="GZ93" s="101"/>
      <c r="HA93" s="101"/>
      <c r="HB93" s="101"/>
      <c r="HC93" s="101"/>
      <c r="HD93" s="101"/>
      <c r="HE93" s="101"/>
      <c r="HF93" s="101"/>
      <c r="HG93" s="101"/>
      <c r="HH93" s="101"/>
      <c r="HI93" s="101"/>
      <c r="HJ93" s="101"/>
      <c r="HK93" s="101"/>
      <c r="HL93" s="101"/>
      <c r="HM93" s="101"/>
      <c r="HN93" s="101"/>
      <c r="HO93" s="101"/>
      <c r="HP93" s="101"/>
      <c r="HQ93" s="101"/>
      <c r="HR93" s="101"/>
      <c r="HS93" s="101"/>
      <c r="HT93" s="101"/>
      <c r="HU93" s="101"/>
      <c r="HV93" s="101"/>
      <c r="HW93" s="101"/>
      <c r="HX93" s="101"/>
      <c r="HY93" s="101"/>
      <c r="HZ93" s="101"/>
      <c r="IA93" s="101"/>
      <c r="IB93" s="101"/>
      <c r="IC93" s="101"/>
      <c r="ID93" s="101"/>
      <c r="IE93" s="101"/>
      <c r="IF93" s="101"/>
      <c r="IG93" s="101"/>
      <c r="IH93" s="101"/>
      <c r="II93" s="101"/>
      <c r="IJ93" s="101"/>
      <c r="IK93" s="101"/>
      <c r="IL93" s="101"/>
      <c r="IM93" s="101"/>
      <c r="IN93" s="101"/>
    </row>
    <row r="94" s="104" customFormat="1" ht="45" outlineLevel="1" spans="1:248">
      <c r="A94" s="117">
        <v>46</v>
      </c>
      <c r="B94" s="118" t="s">
        <v>1034</v>
      </c>
      <c r="C94" s="118" t="s">
        <v>909</v>
      </c>
      <c r="D94" s="119">
        <v>4</v>
      </c>
      <c r="E94" s="120">
        <v>400</v>
      </c>
      <c r="F94" s="119">
        <f t="shared" si="3"/>
        <v>1600</v>
      </c>
      <c r="G94" s="124"/>
      <c r="H94" s="10">
        <v>100</v>
      </c>
      <c r="I94" s="10">
        <v>150</v>
      </c>
      <c r="J94" s="124"/>
      <c r="K94" s="118" t="s">
        <v>1024</v>
      </c>
      <c r="L94" s="136"/>
      <c r="M94" s="13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/>
      <c r="DH94" s="101"/>
      <c r="DI94" s="101"/>
      <c r="DJ94" s="101"/>
      <c r="DK94" s="101"/>
      <c r="DL94" s="101"/>
      <c r="DM94" s="101"/>
      <c r="DN94" s="101"/>
      <c r="DO94" s="101"/>
      <c r="DP94" s="101"/>
      <c r="DQ94" s="101"/>
      <c r="DR94" s="101"/>
      <c r="DS94" s="101"/>
      <c r="DT94" s="101"/>
      <c r="DU94" s="101"/>
      <c r="DV94" s="101"/>
      <c r="DW94" s="101"/>
      <c r="DX94" s="101"/>
      <c r="DY94" s="101"/>
      <c r="DZ94" s="101"/>
      <c r="EA94" s="101"/>
      <c r="EB94" s="101"/>
      <c r="EC94" s="101"/>
      <c r="ED94" s="101"/>
      <c r="EE94" s="101"/>
      <c r="EF94" s="101"/>
      <c r="EG94" s="101"/>
      <c r="EH94" s="101"/>
      <c r="EI94" s="101"/>
      <c r="EJ94" s="101"/>
      <c r="EK94" s="101"/>
      <c r="EL94" s="101"/>
      <c r="EM94" s="101"/>
      <c r="EN94" s="101"/>
      <c r="EO94" s="101"/>
      <c r="EP94" s="101"/>
      <c r="EQ94" s="101"/>
      <c r="ER94" s="101"/>
      <c r="ES94" s="101"/>
      <c r="ET94" s="101"/>
      <c r="EU94" s="101"/>
      <c r="EV94" s="101"/>
      <c r="EW94" s="101"/>
      <c r="EX94" s="101"/>
      <c r="EY94" s="101"/>
      <c r="EZ94" s="101"/>
      <c r="FA94" s="101"/>
      <c r="FB94" s="101"/>
      <c r="FC94" s="101"/>
      <c r="FD94" s="101"/>
      <c r="FE94" s="101"/>
      <c r="FF94" s="101"/>
      <c r="FG94" s="101"/>
      <c r="FH94" s="101"/>
      <c r="FI94" s="101"/>
      <c r="FJ94" s="101"/>
      <c r="FK94" s="101"/>
      <c r="FL94" s="101"/>
      <c r="FM94" s="101"/>
      <c r="FN94" s="101"/>
      <c r="FO94" s="101"/>
      <c r="FP94" s="101"/>
      <c r="FQ94" s="101"/>
      <c r="FR94" s="101"/>
      <c r="FS94" s="101"/>
      <c r="FT94" s="101"/>
      <c r="FU94" s="101"/>
      <c r="FV94" s="101"/>
      <c r="FW94" s="101"/>
      <c r="FX94" s="101"/>
      <c r="FY94" s="101"/>
      <c r="FZ94" s="101"/>
      <c r="GA94" s="101"/>
      <c r="GB94" s="101"/>
      <c r="GC94" s="101"/>
      <c r="GD94" s="101"/>
      <c r="GE94" s="101"/>
      <c r="GF94" s="101"/>
      <c r="GG94" s="101"/>
      <c r="GH94" s="101"/>
      <c r="GI94" s="101"/>
      <c r="GJ94" s="101"/>
      <c r="GK94" s="101"/>
      <c r="GL94" s="101"/>
      <c r="GM94" s="101"/>
      <c r="GN94" s="101"/>
      <c r="GO94" s="101"/>
      <c r="GP94" s="101"/>
      <c r="GQ94" s="101"/>
      <c r="GR94" s="101"/>
      <c r="GS94" s="101"/>
      <c r="GT94" s="101"/>
      <c r="GU94" s="101"/>
      <c r="GV94" s="101"/>
      <c r="GW94" s="101"/>
      <c r="GX94" s="101"/>
      <c r="GY94" s="101"/>
      <c r="GZ94" s="101"/>
      <c r="HA94" s="101"/>
      <c r="HB94" s="101"/>
      <c r="HC94" s="101"/>
      <c r="HD94" s="101"/>
      <c r="HE94" s="101"/>
      <c r="HF94" s="101"/>
      <c r="HG94" s="101"/>
      <c r="HH94" s="101"/>
      <c r="HI94" s="101"/>
      <c r="HJ94" s="101"/>
      <c r="HK94" s="101"/>
      <c r="HL94" s="101"/>
      <c r="HM94" s="101"/>
      <c r="HN94" s="101"/>
      <c r="HO94" s="101"/>
      <c r="HP94" s="101"/>
      <c r="HQ94" s="101"/>
      <c r="HR94" s="101"/>
      <c r="HS94" s="101"/>
      <c r="HT94" s="101"/>
      <c r="HU94" s="101"/>
      <c r="HV94" s="101"/>
      <c r="HW94" s="101"/>
      <c r="HX94" s="101"/>
      <c r="HY94" s="101"/>
      <c r="HZ94" s="101"/>
      <c r="IA94" s="101"/>
      <c r="IB94" s="101"/>
      <c r="IC94" s="101"/>
      <c r="ID94" s="101"/>
      <c r="IE94" s="101"/>
      <c r="IF94" s="101"/>
      <c r="IG94" s="101"/>
      <c r="IH94" s="101"/>
      <c r="II94" s="101"/>
      <c r="IJ94" s="101"/>
      <c r="IK94" s="101"/>
      <c r="IL94" s="101"/>
      <c r="IM94" s="101"/>
      <c r="IN94" s="101"/>
    </row>
    <row r="95" s="104" customFormat="1" ht="45" outlineLevel="1" spans="1:248">
      <c r="A95" s="117">
        <v>47</v>
      </c>
      <c r="B95" s="118" t="s">
        <v>1034</v>
      </c>
      <c r="C95" s="118" t="s">
        <v>909</v>
      </c>
      <c r="D95" s="119">
        <v>2</v>
      </c>
      <c r="E95" s="120">
        <v>400</v>
      </c>
      <c r="F95" s="119">
        <f t="shared" si="3"/>
        <v>800</v>
      </c>
      <c r="G95" s="124"/>
      <c r="H95" s="10">
        <v>110</v>
      </c>
      <c r="I95" s="10">
        <v>140</v>
      </c>
      <c r="J95" s="124"/>
      <c r="K95" s="118" t="s">
        <v>1024</v>
      </c>
      <c r="L95" s="129"/>
      <c r="M95" s="13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/>
      <c r="CW95" s="101"/>
      <c r="CX95" s="101"/>
      <c r="CY95" s="101"/>
      <c r="CZ95" s="101"/>
      <c r="DA95" s="101"/>
      <c r="DB95" s="101"/>
      <c r="DC95" s="101"/>
      <c r="DD95" s="101"/>
      <c r="DE95" s="101"/>
      <c r="DF95" s="101"/>
      <c r="DG95" s="101"/>
      <c r="DH95" s="101"/>
      <c r="DI95" s="101"/>
      <c r="DJ95" s="101"/>
      <c r="DK95" s="101"/>
      <c r="DL95" s="101"/>
      <c r="DM95" s="101"/>
      <c r="DN95" s="101"/>
      <c r="DO95" s="101"/>
      <c r="DP95" s="101"/>
      <c r="DQ95" s="101"/>
      <c r="DR95" s="101"/>
      <c r="DS95" s="101"/>
      <c r="DT95" s="101"/>
      <c r="DU95" s="101"/>
      <c r="DV95" s="101"/>
      <c r="DW95" s="101"/>
      <c r="DX95" s="101"/>
      <c r="DY95" s="101"/>
      <c r="DZ95" s="101"/>
      <c r="EA95" s="101"/>
      <c r="EB95" s="101"/>
      <c r="EC95" s="101"/>
      <c r="ED95" s="101"/>
      <c r="EE95" s="101"/>
      <c r="EF95" s="101"/>
      <c r="EG95" s="101"/>
      <c r="EH95" s="101"/>
      <c r="EI95" s="101"/>
      <c r="EJ95" s="101"/>
      <c r="EK95" s="101"/>
      <c r="EL95" s="101"/>
      <c r="EM95" s="101"/>
      <c r="EN95" s="101"/>
      <c r="EO95" s="101"/>
      <c r="EP95" s="101"/>
      <c r="EQ95" s="101"/>
      <c r="ER95" s="101"/>
      <c r="ES95" s="101"/>
      <c r="ET95" s="101"/>
      <c r="EU95" s="101"/>
      <c r="EV95" s="101"/>
      <c r="EW95" s="101"/>
      <c r="EX95" s="101"/>
      <c r="EY95" s="101"/>
      <c r="EZ95" s="101"/>
      <c r="FA95" s="101"/>
      <c r="FB95" s="101"/>
      <c r="FC95" s="101"/>
      <c r="FD95" s="101"/>
      <c r="FE95" s="101"/>
      <c r="FF95" s="101"/>
      <c r="FG95" s="101"/>
      <c r="FH95" s="101"/>
      <c r="FI95" s="101"/>
      <c r="FJ95" s="101"/>
      <c r="FK95" s="101"/>
      <c r="FL95" s="101"/>
      <c r="FM95" s="101"/>
      <c r="FN95" s="101"/>
      <c r="FO95" s="101"/>
      <c r="FP95" s="101"/>
      <c r="FQ95" s="101"/>
      <c r="FR95" s="101"/>
      <c r="FS95" s="101"/>
      <c r="FT95" s="101"/>
      <c r="FU95" s="101"/>
      <c r="FV95" s="101"/>
      <c r="FW95" s="101"/>
      <c r="FX95" s="101"/>
      <c r="FY95" s="101"/>
      <c r="FZ95" s="101"/>
      <c r="GA95" s="101"/>
      <c r="GB95" s="101"/>
      <c r="GC95" s="101"/>
      <c r="GD95" s="101"/>
      <c r="GE95" s="101"/>
      <c r="GF95" s="101"/>
      <c r="GG95" s="101"/>
      <c r="GH95" s="101"/>
      <c r="GI95" s="101"/>
      <c r="GJ95" s="101"/>
      <c r="GK95" s="101"/>
      <c r="GL95" s="101"/>
      <c r="GM95" s="101"/>
      <c r="GN95" s="101"/>
      <c r="GO95" s="101"/>
      <c r="GP95" s="101"/>
      <c r="GQ95" s="101"/>
      <c r="GR95" s="101"/>
      <c r="GS95" s="101"/>
      <c r="GT95" s="101"/>
      <c r="GU95" s="101"/>
      <c r="GV95" s="101"/>
      <c r="GW95" s="101"/>
      <c r="GX95" s="101"/>
      <c r="GY95" s="101"/>
      <c r="GZ95" s="101"/>
      <c r="HA95" s="101"/>
      <c r="HB95" s="101"/>
      <c r="HC95" s="101"/>
      <c r="HD95" s="101"/>
      <c r="HE95" s="101"/>
      <c r="HF95" s="101"/>
      <c r="HG95" s="101"/>
      <c r="HH95" s="101"/>
      <c r="HI95" s="101"/>
      <c r="HJ95" s="101"/>
      <c r="HK95" s="101"/>
      <c r="HL95" s="101"/>
      <c r="HM95" s="101"/>
      <c r="HN95" s="101"/>
      <c r="HO95" s="101"/>
      <c r="HP95" s="101"/>
      <c r="HQ95" s="101"/>
      <c r="HR95" s="101"/>
      <c r="HS95" s="101"/>
      <c r="HT95" s="101"/>
      <c r="HU95" s="101"/>
      <c r="HV95" s="101"/>
      <c r="HW95" s="101"/>
      <c r="HX95" s="101"/>
      <c r="HY95" s="101"/>
      <c r="HZ95" s="101"/>
      <c r="IA95" s="101"/>
      <c r="IB95" s="101"/>
      <c r="IC95" s="101"/>
      <c r="ID95" s="101"/>
      <c r="IE95" s="101"/>
      <c r="IF95" s="101"/>
      <c r="IG95" s="101"/>
      <c r="IH95" s="101"/>
      <c r="II95" s="101"/>
      <c r="IJ95" s="101"/>
      <c r="IK95" s="101"/>
      <c r="IL95" s="101"/>
      <c r="IM95" s="101"/>
      <c r="IN95" s="101"/>
    </row>
    <row r="96" s="104" customFormat="1" ht="45" outlineLevel="1" spans="1:248">
      <c r="A96" s="117">
        <v>48</v>
      </c>
      <c r="B96" s="118" t="s">
        <v>1034</v>
      </c>
      <c r="C96" s="118" t="s">
        <v>909</v>
      </c>
      <c r="D96" s="119">
        <v>1</v>
      </c>
      <c r="E96" s="120">
        <v>400</v>
      </c>
      <c r="F96" s="119">
        <f t="shared" si="3"/>
        <v>400</v>
      </c>
      <c r="G96" s="124"/>
      <c r="H96" s="10">
        <v>130</v>
      </c>
      <c r="I96" s="10">
        <v>130</v>
      </c>
      <c r="J96" s="124"/>
      <c r="K96" s="118" t="s">
        <v>1024</v>
      </c>
      <c r="L96" s="129"/>
      <c r="M96" s="13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101"/>
      <c r="DF96" s="101"/>
      <c r="DG96" s="101"/>
      <c r="DH96" s="101"/>
      <c r="DI96" s="101"/>
      <c r="DJ96" s="101"/>
      <c r="DK96" s="101"/>
      <c r="DL96" s="101"/>
      <c r="DM96" s="101"/>
      <c r="DN96" s="101"/>
      <c r="DO96" s="101"/>
      <c r="DP96" s="101"/>
      <c r="DQ96" s="101"/>
      <c r="DR96" s="101"/>
      <c r="DS96" s="101"/>
      <c r="DT96" s="101"/>
      <c r="DU96" s="101"/>
      <c r="DV96" s="101"/>
      <c r="DW96" s="101"/>
      <c r="DX96" s="101"/>
      <c r="DY96" s="101"/>
      <c r="DZ96" s="101"/>
      <c r="EA96" s="101"/>
      <c r="EB96" s="101"/>
      <c r="EC96" s="101"/>
      <c r="ED96" s="101"/>
      <c r="EE96" s="101"/>
      <c r="EF96" s="101"/>
      <c r="EG96" s="101"/>
      <c r="EH96" s="101"/>
      <c r="EI96" s="101"/>
      <c r="EJ96" s="101"/>
      <c r="EK96" s="101"/>
      <c r="EL96" s="101"/>
      <c r="EM96" s="101"/>
      <c r="EN96" s="101"/>
      <c r="EO96" s="101"/>
      <c r="EP96" s="101"/>
      <c r="EQ96" s="101"/>
      <c r="ER96" s="101"/>
      <c r="ES96" s="101"/>
      <c r="ET96" s="101"/>
      <c r="EU96" s="101"/>
      <c r="EV96" s="101"/>
      <c r="EW96" s="101"/>
      <c r="EX96" s="101"/>
      <c r="EY96" s="101"/>
      <c r="EZ96" s="101"/>
      <c r="FA96" s="101"/>
      <c r="FB96" s="101"/>
      <c r="FC96" s="101"/>
      <c r="FD96" s="101"/>
      <c r="FE96" s="101"/>
      <c r="FF96" s="101"/>
      <c r="FG96" s="101"/>
      <c r="FH96" s="101"/>
      <c r="FI96" s="101"/>
      <c r="FJ96" s="101"/>
      <c r="FK96" s="101"/>
      <c r="FL96" s="101"/>
      <c r="FM96" s="101"/>
      <c r="FN96" s="101"/>
      <c r="FO96" s="101"/>
      <c r="FP96" s="101"/>
      <c r="FQ96" s="101"/>
      <c r="FR96" s="101"/>
      <c r="FS96" s="101"/>
      <c r="FT96" s="101"/>
      <c r="FU96" s="101"/>
      <c r="FV96" s="101"/>
      <c r="FW96" s="101"/>
      <c r="FX96" s="101"/>
      <c r="FY96" s="101"/>
      <c r="FZ96" s="101"/>
      <c r="GA96" s="101"/>
      <c r="GB96" s="101"/>
      <c r="GC96" s="101"/>
      <c r="GD96" s="101"/>
      <c r="GE96" s="101"/>
      <c r="GF96" s="101"/>
      <c r="GG96" s="101"/>
      <c r="GH96" s="101"/>
      <c r="GI96" s="101"/>
      <c r="GJ96" s="101"/>
      <c r="GK96" s="101"/>
      <c r="GL96" s="101"/>
      <c r="GM96" s="101"/>
      <c r="GN96" s="101"/>
      <c r="GO96" s="101"/>
      <c r="GP96" s="101"/>
      <c r="GQ96" s="101"/>
      <c r="GR96" s="101"/>
      <c r="GS96" s="101"/>
      <c r="GT96" s="101"/>
      <c r="GU96" s="101"/>
      <c r="GV96" s="101"/>
      <c r="GW96" s="101"/>
      <c r="GX96" s="101"/>
      <c r="GY96" s="101"/>
      <c r="GZ96" s="101"/>
      <c r="HA96" s="101"/>
      <c r="HB96" s="101"/>
      <c r="HC96" s="101"/>
      <c r="HD96" s="101"/>
      <c r="HE96" s="101"/>
      <c r="HF96" s="101"/>
      <c r="HG96" s="101"/>
      <c r="HH96" s="101"/>
      <c r="HI96" s="101"/>
      <c r="HJ96" s="101"/>
      <c r="HK96" s="101"/>
      <c r="HL96" s="101"/>
      <c r="HM96" s="101"/>
      <c r="HN96" s="101"/>
      <c r="HO96" s="101"/>
      <c r="HP96" s="101"/>
      <c r="HQ96" s="101"/>
      <c r="HR96" s="101"/>
      <c r="HS96" s="101"/>
      <c r="HT96" s="101"/>
      <c r="HU96" s="101"/>
      <c r="HV96" s="101"/>
      <c r="HW96" s="101"/>
      <c r="HX96" s="101"/>
      <c r="HY96" s="101"/>
      <c r="HZ96" s="101"/>
      <c r="IA96" s="101"/>
      <c r="IB96" s="101"/>
      <c r="IC96" s="101"/>
      <c r="ID96" s="101"/>
      <c r="IE96" s="101"/>
      <c r="IF96" s="101"/>
      <c r="IG96" s="101"/>
      <c r="IH96" s="101"/>
      <c r="II96" s="101"/>
      <c r="IJ96" s="101"/>
      <c r="IK96" s="101"/>
      <c r="IL96" s="101"/>
      <c r="IM96" s="101"/>
      <c r="IN96" s="101"/>
    </row>
    <row r="97" s="104" customFormat="1" ht="45" outlineLevel="1" spans="1:248">
      <c r="A97" s="117">
        <v>49</v>
      </c>
      <c r="B97" s="118" t="s">
        <v>1034</v>
      </c>
      <c r="C97" s="118" t="s">
        <v>909</v>
      </c>
      <c r="D97" s="119">
        <v>1</v>
      </c>
      <c r="E97" s="120">
        <v>400</v>
      </c>
      <c r="F97" s="119">
        <f t="shared" si="3"/>
        <v>400</v>
      </c>
      <c r="G97" s="124"/>
      <c r="H97" s="10">
        <v>110</v>
      </c>
      <c r="I97" s="10">
        <v>160</v>
      </c>
      <c r="J97" s="124"/>
      <c r="K97" s="118" t="s">
        <v>1024</v>
      </c>
      <c r="L97" s="129"/>
      <c r="M97" s="13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1"/>
      <c r="DD97" s="101"/>
      <c r="DE97" s="101"/>
      <c r="DF97" s="101"/>
      <c r="DG97" s="101"/>
      <c r="DH97" s="101"/>
      <c r="DI97" s="101"/>
      <c r="DJ97" s="101"/>
      <c r="DK97" s="101"/>
      <c r="DL97" s="101"/>
      <c r="DM97" s="101"/>
      <c r="DN97" s="101"/>
      <c r="DO97" s="101"/>
      <c r="DP97" s="101"/>
      <c r="DQ97" s="101"/>
      <c r="DR97" s="101"/>
      <c r="DS97" s="101"/>
      <c r="DT97" s="101"/>
      <c r="DU97" s="101"/>
      <c r="DV97" s="101"/>
      <c r="DW97" s="101"/>
      <c r="DX97" s="101"/>
      <c r="DY97" s="101"/>
      <c r="DZ97" s="101"/>
      <c r="EA97" s="101"/>
      <c r="EB97" s="101"/>
      <c r="EC97" s="101"/>
      <c r="ED97" s="101"/>
      <c r="EE97" s="101"/>
      <c r="EF97" s="101"/>
      <c r="EG97" s="101"/>
      <c r="EH97" s="101"/>
      <c r="EI97" s="101"/>
      <c r="EJ97" s="101"/>
      <c r="EK97" s="101"/>
      <c r="EL97" s="101"/>
      <c r="EM97" s="101"/>
      <c r="EN97" s="101"/>
      <c r="EO97" s="101"/>
      <c r="EP97" s="101"/>
      <c r="EQ97" s="101"/>
      <c r="ER97" s="101"/>
      <c r="ES97" s="101"/>
      <c r="ET97" s="101"/>
      <c r="EU97" s="101"/>
      <c r="EV97" s="101"/>
      <c r="EW97" s="101"/>
      <c r="EX97" s="101"/>
      <c r="EY97" s="101"/>
      <c r="EZ97" s="101"/>
      <c r="FA97" s="101"/>
      <c r="FB97" s="101"/>
      <c r="FC97" s="101"/>
      <c r="FD97" s="101"/>
      <c r="FE97" s="101"/>
      <c r="FF97" s="101"/>
      <c r="FG97" s="101"/>
      <c r="FH97" s="101"/>
      <c r="FI97" s="101"/>
      <c r="FJ97" s="101"/>
      <c r="FK97" s="101"/>
      <c r="FL97" s="101"/>
      <c r="FM97" s="101"/>
      <c r="FN97" s="101"/>
      <c r="FO97" s="101"/>
      <c r="FP97" s="101"/>
      <c r="FQ97" s="101"/>
      <c r="FR97" s="101"/>
      <c r="FS97" s="101"/>
      <c r="FT97" s="101"/>
      <c r="FU97" s="101"/>
      <c r="FV97" s="101"/>
      <c r="FW97" s="101"/>
      <c r="FX97" s="101"/>
      <c r="FY97" s="101"/>
      <c r="FZ97" s="101"/>
      <c r="GA97" s="101"/>
      <c r="GB97" s="101"/>
      <c r="GC97" s="101"/>
      <c r="GD97" s="101"/>
      <c r="GE97" s="101"/>
      <c r="GF97" s="101"/>
      <c r="GG97" s="101"/>
      <c r="GH97" s="101"/>
      <c r="GI97" s="101"/>
      <c r="GJ97" s="101"/>
      <c r="GK97" s="101"/>
      <c r="GL97" s="101"/>
      <c r="GM97" s="101"/>
      <c r="GN97" s="101"/>
      <c r="GO97" s="101"/>
      <c r="GP97" s="101"/>
      <c r="GQ97" s="101"/>
      <c r="GR97" s="101"/>
      <c r="GS97" s="101"/>
      <c r="GT97" s="101"/>
      <c r="GU97" s="101"/>
      <c r="GV97" s="101"/>
      <c r="GW97" s="101"/>
      <c r="GX97" s="101"/>
      <c r="GY97" s="101"/>
      <c r="GZ97" s="101"/>
      <c r="HA97" s="101"/>
      <c r="HB97" s="101"/>
      <c r="HC97" s="101"/>
      <c r="HD97" s="101"/>
      <c r="HE97" s="101"/>
      <c r="HF97" s="101"/>
      <c r="HG97" s="101"/>
      <c r="HH97" s="101"/>
      <c r="HI97" s="101"/>
      <c r="HJ97" s="101"/>
      <c r="HK97" s="101"/>
      <c r="HL97" s="101"/>
      <c r="HM97" s="101"/>
      <c r="HN97" s="101"/>
      <c r="HO97" s="101"/>
      <c r="HP97" s="101"/>
      <c r="HQ97" s="101"/>
      <c r="HR97" s="101"/>
      <c r="HS97" s="101"/>
      <c r="HT97" s="101"/>
      <c r="HU97" s="101"/>
      <c r="HV97" s="101"/>
      <c r="HW97" s="101"/>
      <c r="HX97" s="101"/>
      <c r="HY97" s="101"/>
      <c r="HZ97" s="101"/>
      <c r="IA97" s="101"/>
      <c r="IB97" s="101"/>
      <c r="IC97" s="101"/>
      <c r="ID97" s="101"/>
      <c r="IE97" s="101"/>
      <c r="IF97" s="101"/>
      <c r="IG97" s="101"/>
      <c r="IH97" s="101"/>
      <c r="II97" s="101"/>
      <c r="IJ97" s="101"/>
      <c r="IK97" s="101"/>
      <c r="IL97" s="101"/>
      <c r="IM97" s="101"/>
      <c r="IN97" s="101"/>
    </row>
    <row r="98" s="104" customFormat="1" ht="45" outlineLevel="1" spans="1:248">
      <c r="A98" s="117">
        <v>50</v>
      </c>
      <c r="B98" s="118" t="s">
        <v>1034</v>
      </c>
      <c r="C98" s="118" t="s">
        <v>909</v>
      </c>
      <c r="D98" s="119">
        <v>1</v>
      </c>
      <c r="E98" s="120">
        <v>400</v>
      </c>
      <c r="F98" s="119">
        <f t="shared" si="3"/>
        <v>400</v>
      </c>
      <c r="G98" s="124"/>
      <c r="H98" s="10">
        <v>115</v>
      </c>
      <c r="I98" s="10">
        <v>130</v>
      </c>
      <c r="J98" s="124"/>
      <c r="K98" s="118" t="s">
        <v>1024</v>
      </c>
      <c r="L98" s="129"/>
      <c r="M98" s="13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/>
      <c r="CW98" s="101"/>
      <c r="CX98" s="101"/>
      <c r="CY98" s="101"/>
      <c r="CZ98" s="101"/>
      <c r="DA98" s="101"/>
      <c r="DB98" s="101"/>
      <c r="DC98" s="101"/>
      <c r="DD98" s="101"/>
      <c r="DE98" s="101"/>
      <c r="DF98" s="101"/>
      <c r="DG98" s="101"/>
      <c r="DH98" s="101"/>
      <c r="DI98" s="101"/>
      <c r="DJ98" s="101"/>
      <c r="DK98" s="101"/>
      <c r="DL98" s="101"/>
      <c r="DM98" s="101"/>
      <c r="DN98" s="101"/>
      <c r="DO98" s="101"/>
      <c r="DP98" s="101"/>
      <c r="DQ98" s="101"/>
      <c r="DR98" s="101"/>
      <c r="DS98" s="101"/>
      <c r="DT98" s="101"/>
      <c r="DU98" s="101"/>
      <c r="DV98" s="101"/>
      <c r="DW98" s="101"/>
      <c r="DX98" s="101"/>
      <c r="DY98" s="101"/>
      <c r="DZ98" s="101"/>
      <c r="EA98" s="101"/>
      <c r="EB98" s="101"/>
      <c r="EC98" s="101"/>
      <c r="ED98" s="101"/>
      <c r="EE98" s="101"/>
      <c r="EF98" s="101"/>
      <c r="EG98" s="101"/>
      <c r="EH98" s="101"/>
      <c r="EI98" s="101"/>
      <c r="EJ98" s="101"/>
      <c r="EK98" s="101"/>
      <c r="EL98" s="101"/>
      <c r="EM98" s="101"/>
      <c r="EN98" s="101"/>
      <c r="EO98" s="101"/>
      <c r="EP98" s="101"/>
      <c r="EQ98" s="101"/>
      <c r="ER98" s="101"/>
      <c r="ES98" s="101"/>
      <c r="ET98" s="101"/>
      <c r="EU98" s="101"/>
      <c r="EV98" s="101"/>
      <c r="EW98" s="101"/>
      <c r="EX98" s="101"/>
      <c r="EY98" s="101"/>
      <c r="EZ98" s="101"/>
      <c r="FA98" s="101"/>
      <c r="FB98" s="101"/>
      <c r="FC98" s="101"/>
      <c r="FD98" s="101"/>
      <c r="FE98" s="101"/>
      <c r="FF98" s="101"/>
      <c r="FG98" s="101"/>
      <c r="FH98" s="101"/>
      <c r="FI98" s="101"/>
      <c r="FJ98" s="101"/>
      <c r="FK98" s="101"/>
      <c r="FL98" s="101"/>
      <c r="FM98" s="101"/>
      <c r="FN98" s="101"/>
      <c r="FO98" s="101"/>
      <c r="FP98" s="101"/>
      <c r="FQ98" s="101"/>
      <c r="FR98" s="101"/>
      <c r="FS98" s="101"/>
      <c r="FT98" s="101"/>
      <c r="FU98" s="101"/>
      <c r="FV98" s="101"/>
      <c r="FW98" s="101"/>
      <c r="FX98" s="101"/>
      <c r="FY98" s="101"/>
      <c r="FZ98" s="101"/>
      <c r="GA98" s="101"/>
      <c r="GB98" s="101"/>
      <c r="GC98" s="101"/>
      <c r="GD98" s="101"/>
      <c r="GE98" s="101"/>
      <c r="GF98" s="101"/>
      <c r="GG98" s="101"/>
      <c r="GH98" s="101"/>
      <c r="GI98" s="101"/>
      <c r="GJ98" s="101"/>
      <c r="GK98" s="101"/>
      <c r="GL98" s="101"/>
      <c r="GM98" s="101"/>
      <c r="GN98" s="101"/>
      <c r="GO98" s="101"/>
      <c r="GP98" s="101"/>
      <c r="GQ98" s="101"/>
      <c r="GR98" s="101"/>
      <c r="GS98" s="101"/>
      <c r="GT98" s="101"/>
      <c r="GU98" s="101"/>
      <c r="GV98" s="101"/>
      <c r="GW98" s="101"/>
      <c r="GX98" s="101"/>
      <c r="GY98" s="101"/>
      <c r="GZ98" s="101"/>
      <c r="HA98" s="101"/>
      <c r="HB98" s="101"/>
      <c r="HC98" s="101"/>
      <c r="HD98" s="101"/>
      <c r="HE98" s="101"/>
      <c r="HF98" s="101"/>
      <c r="HG98" s="101"/>
      <c r="HH98" s="101"/>
      <c r="HI98" s="101"/>
      <c r="HJ98" s="101"/>
      <c r="HK98" s="101"/>
      <c r="HL98" s="101"/>
      <c r="HM98" s="101"/>
      <c r="HN98" s="101"/>
      <c r="HO98" s="101"/>
      <c r="HP98" s="101"/>
      <c r="HQ98" s="101"/>
      <c r="HR98" s="101"/>
      <c r="HS98" s="101"/>
      <c r="HT98" s="101"/>
      <c r="HU98" s="101"/>
      <c r="HV98" s="101"/>
      <c r="HW98" s="101"/>
      <c r="HX98" s="101"/>
      <c r="HY98" s="101"/>
      <c r="HZ98" s="101"/>
      <c r="IA98" s="101"/>
      <c r="IB98" s="101"/>
      <c r="IC98" s="101"/>
      <c r="ID98" s="101"/>
      <c r="IE98" s="101"/>
      <c r="IF98" s="101"/>
      <c r="IG98" s="101"/>
      <c r="IH98" s="101"/>
      <c r="II98" s="101"/>
      <c r="IJ98" s="101"/>
      <c r="IK98" s="101"/>
      <c r="IL98" s="101"/>
      <c r="IM98" s="101"/>
      <c r="IN98" s="101"/>
    </row>
    <row r="99" s="104" customFormat="1" ht="45" outlineLevel="1" spans="1:248">
      <c r="A99" s="117">
        <v>51</v>
      </c>
      <c r="B99" s="118" t="s">
        <v>1034</v>
      </c>
      <c r="C99" s="118" t="s">
        <v>909</v>
      </c>
      <c r="D99" s="119">
        <v>1</v>
      </c>
      <c r="E99" s="122">
        <f>400*0+(1*0.2+0.9/1*0.3+1*0.5)*400*0.85</f>
        <v>329.8</v>
      </c>
      <c r="F99" s="119">
        <f t="shared" si="3"/>
        <v>329.8</v>
      </c>
      <c r="G99" s="124"/>
      <c r="H99" s="10">
        <v>90</v>
      </c>
      <c r="I99" s="10">
        <v>120</v>
      </c>
      <c r="J99" s="124"/>
      <c r="K99" s="118" t="s">
        <v>1024</v>
      </c>
      <c r="L99" s="129" t="s">
        <v>1036</v>
      </c>
      <c r="M99" s="13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1"/>
      <c r="CX99" s="101"/>
      <c r="CY99" s="101"/>
      <c r="CZ99" s="101"/>
      <c r="DA99" s="101"/>
      <c r="DB99" s="101"/>
      <c r="DC99" s="101"/>
      <c r="DD99" s="101"/>
      <c r="DE99" s="101"/>
      <c r="DF99" s="101"/>
      <c r="DG99" s="101"/>
      <c r="DH99" s="101"/>
      <c r="DI99" s="101"/>
      <c r="DJ99" s="101"/>
      <c r="DK99" s="101"/>
      <c r="DL99" s="101"/>
      <c r="DM99" s="101"/>
      <c r="DN99" s="101"/>
      <c r="DO99" s="101"/>
      <c r="DP99" s="101"/>
      <c r="DQ99" s="101"/>
      <c r="DR99" s="101"/>
      <c r="DS99" s="101"/>
      <c r="DT99" s="101"/>
      <c r="DU99" s="101"/>
      <c r="DV99" s="101"/>
      <c r="DW99" s="101"/>
      <c r="DX99" s="101"/>
      <c r="DY99" s="101"/>
      <c r="DZ99" s="101"/>
      <c r="EA99" s="101"/>
      <c r="EB99" s="101"/>
      <c r="EC99" s="101"/>
      <c r="ED99" s="101"/>
      <c r="EE99" s="101"/>
      <c r="EF99" s="101"/>
      <c r="EG99" s="101"/>
      <c r="EH99" s="101"/>
      <c r="EI99" s="101"/>
      <c r="EJ99" s="101"/>
      <c r="EK99" s="101"/>
      <c r="EL99" s="101"/>
      <c r="EM99" s="101"/>
      <c r="EN99" s="101"/>
      <c r="EO99" s="101"/>
      <c r="EP99" s="101"/>
      <c r="EQ99" s="101"/>
      <c r="ER99" s="101"/>
      <c r="ES99" s="101"/>
      <c r="ET99" s="101"/>
      <c r="EU99" s="101"/>
      <c r="EV99" s="101"/>
      <c r="EW99" s="101"/>
      <c r="EX99" s="101"/>
      <c r="EY99" s="101"/>
      <c r="EZ99" s="101"/>
      <c r="FA99" s="101"/>
      <c r="FB99" s="101"/>
      <c r="FC99" s="101"/>
      <c r="FD99" s="101"/>
      <c r="FE99" s="101"/>
      <c r="FF99" s="101"/>
      <c r="FG99" s="101"/>
      <c r="FH99" s="101"/>
      <c r="FI99" s="101"/>
      <c r="FJ99" s="101"/>
      <c r="FK99" s="101"/>
      <c r="FL99" s="101"/>
      <c r="FM99" s="101"/>
      <c r="FN99" s="101"/>
      <c r="FO99" s="101"/>
      <c r="FP99" s="101"/>
      <c r="FQ99" s="101"/>
      <c r="FR99" s="101"/>
      <c r="FS99" s="101"/>
      <c r="FT99" s="101"/>
      <c r="FU99" s="101"/>
      <c r="FV99" s="101"/>
      <c r="FW99" s="101"/>
      <c r="FX99" s="101"/>
      <c r="FY99" s="101"/>
      <c r="FZ99" s="101"/>
      <c r="GA99" s="101"/>
      <c r="GB99" s="101"/>
      <c r="GC99" s="101"/>
      <c r="GD99" s="101"/>
      <c r="GE99" s="101"/>
      <c r="GF99" s="101"/>
      <c r="GG99" s="101"/>
      <c r="GH99" s="101"/>
      <c r="GI99" s="101"/>
      <c r="GJ99" s="101"/>
      <c r="GK99" s="101"/>
      <c r="GL99" s="101"/>
      <c r="GM99" s="101"/>
      <c r="GN99" s="101"/>
      <c r="GO99" s="101"/>
      <c r="GP99" s="101"/>
      <c r="GQ99" s="101"/>
      <c r="GR99" s="101"/>
      <c r="GS99" s="101"/>
      <c r="GT99" s="101"/>
      <c r="GU99" s="101"/>
      <c r="GV99" s="101"/>
      <c r="GW99" s="101"/>
      <c r="GX99" s="101"/>
      <c r="GY99" s="101"/>
      <c r="GZ99" s="101"/>
      <c r="HA99" s="101"/>
      <c r="HB99" s="101"/>
      <c r="HC99" s="101"/>
      <c r="HD99" s="101"/>
      <c r="HE99" s="101"/>
      <c r="HF99" s="101"/>
      <c r="HG99" s="101"/>
      <c r="HH99" s="101"/>
      <c r="HI99" s="101"/>
      <c r="HJ99" s="101"/>
      <c r="HK99" s="101"/>
      <c r="HL99" s="101"/>
      <c r="HM99" s="101"/>
      <c r="HN99" s="101"/>
      <c r="HO99" s="101"/>
      <c r="HP99" s="101"/>
      <c r="HQ99" s="101"/>
      <c r="HR99" s="101"/>
      <c r="HS99" s="101"/>
      <c r="HT99" s="101"/>
      <c r="HU99" s="101"/>
      <c r="HV99" s="101"/>
      <c r="HW99" s="101"/>
      <c r="HX99" s="101"/>
      <c r="HY99" s="101"/>
      <c r="HZ99" s="101"/>
      <c r="IA99" s="101"/>
      <c r="IB99" s="101"/>
      <c r="IC99" s="101"/>
      <c r="ID99" s="101"/>
      <c r="IE99" s="101"/>
      <c r="IF99" s="101"/>
      <c r="IG99" s="101"/>
      <c r="IH99" s="101"/>
      <c r="II99" s="101"/>
      <c r="IJ99" s="101"/>
      <c r="IK99" s="101"/>
      <c r="IL99" s="101"/>
      <c r="IM99" s="101"/>
      <c r="IN99" s="101"/>
    </row>
    <row r="100" s="104" customFormat="1" ht="45" outlineLevel="1" spans="1:248">
      <c r="A100" s="117">
        <v>52</v>
      </c>
      <c r="B100" s="118" t="s">
        <v>1034</v>
      </c>
      <c r="C100" s="118" t="s">
        <v>909</v>
      </c>
      <c r="D100" s="119">
        <v>1</v>
      </c>
      <c r="E100" s="122">
        <f>400*0+(1*0.2+0.8/1*0.3+1*0.5)*400*0.85*0.85</f>
        <v>271.66</v>
      </c>
      <c r="F100" s="119">
        <f t="shared" si="3"/>
        <v>271.66</v>
      </c>
      <c r="G100" s="124"/>
      <c r="H100" s="10">
        <v>80</v>
      </c>
      <c r="I100" s="10">
        <v>120</v>
      </c>
      <c r="J100" s="124"/>
      <c r="K100" s="118" t="s">
        <v>1024</v>
      </c>
      <c r="L100" s="129" t="s">
        <v>979</v>
      </c>
      <c r="M100" s="13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101"/>
      <c r="CW100" s="101"/>
      <c r="CX100" s="101"/>
      <c r="CY100" s="101"/>
      <c r="CZ100" s="101"/>
      <c r="DA100" s="101"/>
      <c r="DB100" s="101"/>
      <c r="DC100" s="101"/>
      <c r="DD100" s="101"/>
      <c r="DE100" s="101"/>
      <c r="DF100" s="101"/>
      <c r="DG100" s="101"/>
      <c r="DH100" s="101"/>
      <c r="DI100" s="101"/>
      <c r="DJ100" s="101"/>
      <c r="DK100" s="101"/>
      <c r="DL100" s="101"/>
      <c r="DM100" s="101"/>
      <c r="DN100" s="101"/>
      <c r="DO100" s="101"/>
      <c r="DP100" s="101"/>
      <c r="DQ100" s="101"/>
      <c r="DR100" s="101"/>
      <c r="DS100" s="101"/>
      <c r="DT100" s="101"/>
      <c r="DU100" s="101"/>
      <c r="DV100" s="101"/>
      <c r="DW100" s="101"/>
      <c r="DX100" s="101"/>
      <c r="DY100" s="101"/>
      <c r="DZ100" s="101"/>
      <c r="EA100" s="101"/>
      <c r="EB100" s="101"/>
      <c r="EC100" s="101"/>
      <c r="ED100" s="101"/>
      <c r="EE100" s="101"/>
      <c r="EF100" s="101"/>
      <c r="EG100" s="101"/>
      <c r="EH100" s="101"/>
      <c r="EI100" s="101"/>
      <c r="EJ100" s="101"/>
      <c r="EK100" s="101"/>
      <c r="EL100" s="101"/>
      <c r="EM100" s="101"/>
      <c r="EN100" s="101"/>
      <c r="EO100" s="101"/>
      <c r="EP100" s="101"/>
      <c r="EQ100" s="101"/>
      <c r="ER100" s="101"/>
      <c r="ES100" s="101"/>
      <c r="ET100" s="101"/>
      <c r="EU100" s="101"/>
      <c r="EV100" s="101"/>
      <c r="EW100" s="101"/>
      <c r="EX100" s="101"/>
      <c r="EY100" s="101"/>
      <c r="EZ100" s="101"/>
      <c r="FA100" s="101"/>
      <c r="FB100" s="101"/>
      <c r="FC100" s="101"/>
      <c r="FD100" s="101"/>
      <c r="FE100" s="101"/>
      <c r="FF100" s="101"/>
      <c r="FG100" s="101"/>
      <c r="FH100" s="101"/>
      <c r="FI100" s="101"/>
      <c r="FJ100" s="101"/>
      <c r="FK100" s="101"/>
      <c r="FL100" s="101"/>
      <c r="FM100" s="101"/>
      <c r="FN100" s="101"/>
      <c r="FO100" s="101"/>
      <c r="FP100" s="101"/>
      <c r="FQ100" s="101"/>
      <c r="FR100" s="101"/>
      <c r="FS100" s="101"/>
      <c r="FT100" s="101"/>
      <c r="FU100" s="101"/>
      <c r="FV100" s="101"/>
      <c r="FW100" s="101"/>
      <c r="FX100" s="101"/>
      <c r="FY100" s="101"/>
      <c r="FZ100" s="101"/>
      <c r="GA100" s="101"/>
      <c r="GB100" s="101"/>
      <c r="GC100" s="101"/>
      <c r="GD100" s="101"/>
      <c r="GE100" s="101"/>
      <c r="GF100" s="101"/>
      <c r="GG100" s="101"/>
      <c r="GH100" s="101"/>
      <c r="GI100" s="101"/>
      <c r="GJ100" s="101"/>
      <c r="GK100" s="101"/>
      <c r="GL100" s="101"/>
      <c r="GM100" s="101"/>
      <c r="GN100" s="101"/>
      <c r="GO100" s="101"/>
      <c r="GP100" s="101"/>
      <c r="GQ100" s="101"/>
      <c r="GR100" s="101"/>
      <c r="GS100" s="101"/>
      <c r="GT100" s="101"/>
      <c r="GU100" s="101"/>
      <c r="GV100" s="101"/>
      <c r="GW100" s="101"/>
      <c r="GX100" s="101"/>
      <c r="GY100" s="101"/>
      <c r="GZ100" s="101"/>
      <c r="HA100" s="101"/>
      <c r="HB100" s="101"/>
      <c r="HC100" s="101"/>
      <c r="HD100" s="101"/>
      <c r="HE100" s="101"/>
      <c r="HF100" s="101"/>
      <c r="HG100" s="101"/>
      <c r="HH100" s="101"/>
      <c r="HI100" s="101"/>
      <c r="HJ100" s="101"/>
      <c r="HK100" s="101"/>
      <c r="HL100" s="101"/>
      <c r="HM100" s="101"/>
      <c r="HN100" s="101"/>
      <c r="HO100" s="101"/>
      <c r="HP100" s="101"/>
      <c r="HQ100" s="101"/>
      <c r="HR100" s="101"/>
      <c r="HS100" s="101"/>
      <c r="HT100" s="101"/>
      <c r="HU100" s="101"/>
      <c r="HV100" s="101"/>
      <c r="HW100" s="101"/>
      <c r="HX100" s="101"/>
      <c r="HY100" s="101"/>
      <c r="HZ100" s="101"/>
      <c r="IA100" s="101"/>
      <c r="IB100" s="101"/>
      <c r="IC100" s="101"/>
      <c r="ID100" s="101"/>
      <c r="IE100" s="101"/>
      <c r="IF100" s="101"/>
      <c r="IG100" s="101"/>
      <c r="IH100" s="101"/>
      <c r="II100" s="101"/>
      <c r="IJ100" s="101"/>
      <c r="IK100" s="101"/>
      <c r="IL100" s="101"/>
      <c r="IM100" s="101"/>
      <c r="IN100" s="101"/>
    </row>
    <row r="101" s="104" customFormat="1" ht="45" outlineLevel="1" spans="1:248">
      <c r="A101" s="117">
        <v>53</v>
      </c>
      <c r="B101" s="118" t="s">
        <v>1034</v>
      </c>
      <c r="C101" s="118" t="s">
        <v>909</v>
      </c>
      <c r="D101" s="119">
        <v>1</v>
      </c>
      <c r="E101" s="120">
        <v>400</v>
      </c>
      <c r="F101" s="119">
        <f t="shared" si="3"/>
        <v>400</v>
      </c>
      <c r="G101" s="124"/>
      <c r="H101" s="10">
        <v>110</v>
      </c>
      <c r="I101" s="10">
        <v>120</v>
      </c>
      <c r="J101" s="124"/>
      <c r="K101" s="118" t="s">
        <v>1024</v>
      </c>
      <c r="L101" s="129"/>
      <c r="M101" s="13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  <c r="CV101" s="101"/>
      <c r="CW101" s="101"/>
      <c r="CX101" s="101"/>
      <c r="CY101" s="101"/>
      <c r="CZ101" s="101"/>
      <c r="DA101" s="101"/>
      <c r="DB101" s="101"/>
      <c r="DC101" s="101"/>
      <c r="DD101" s="101"/>
      <c r="DE101" s="101"/>
      <c r="DF101" s="101"/>
      <c r="DG101" s="101"/>
      <c r="DH101" s="101"/>
      <c r="DI101" s="101"/>
      <c r="DJ101" s="101"/>
      <c r="DK101" s="101"/>
      <c r="DL101" s="101"/>
      <c r="DM101" s="101"/>
      <c r="DN101" s="101"/>
      <c r="DO101" s="101"/>
      <c r="DP101" s="101"/>
      <c r="DQ101" s="101"/>
      <c r="DR101" s="101"/>
      <c r="DS101" s="101"/>
      <c r="DT101" s="101"/>
      <c r="DU101" s="101"/>
      <c r="DV101" s="101"/>
      <c r="DW101" s="101"/>
      <c r="DX101" s="101"/>
      <c r="DY101" s="101"/>
      <c r="DZ101" s="101"/>
      <c r="EA101" s="101"/>
      <c r="EB101" s="101"/>
      <c r="EC101" s="101"/>
      <c r="ED101" s="101"/>
      <c r="EE101" s="101"/>
      <c r="EF101" s="101"/>
      <c r="EG101" s="101"/>
      <c r="EH101" s="101"/>
      <c r="EI101" s="101"/>
      <c r="EJ101" s="101"/>
      <c r="EK101" s="101"/>
      <c r="EL101" s="101"/>
      <c r="EM101" s="101"/>
      <c r="EN101" s="101"/>
      <c r="EO101" s="101"/>
      <c r="EP101" s="101"/>
      <c r="EQ101" s="101"/>
      <c r="ER101" s="101"/>
      <c r="ES101" s="101"/>
      <c r="ET101" s="101"/>
      <c r="EU101" s="101"/>
      <c r="EV101" s="101"/>
      <c r="EW101" s="101"/>
      <c r="EX101" s="101"/>
      <c r="EY101" s="101"/>
      <c r="EZ101" s="101"/>
      <c r="FA101" s="101"/>
      <c r="FB101" s="101"/>
      <c r="FC101" s="101"/>
      <c r="FD101" s="101"/>
      <c r="FE101" s="101"/>
      <c r="FF101" s="101"/>
      <c r="FG101" s="101"/>
      <c r="FH101" s="101"/>
      <c r="FI101" s="101"/>
      <c r="FJ101" s="101"/>
      <c r="FK101" s="101"/>
      <c r="FL101" s="101"/>
      <c r="FM101" s="101"/>
      <c r="FN101" s="101"/>
      <c r="FO101" s="101"/>
      <c r="FP101" s="101"/>
      <c r="FQ101" s="101"/>
      <c r="FR101" s="101"/>
      <c r="FS101" s="101"/>
      <c r="FT101" s="101"/>
      <c r="FU101" s="101"/>
      <c r="FV101" s="101"/>
      <c r="FW101" s="101"/>
      <c r="FX101" s="101"/>
      <c r="FY101" s="101"/>
      <c r="FZ101" s="101"/>
      <c r="GA101" s="101"/>
      <c r="GB101" s="101"/>
      <c r="GC101" s="101"/>
      <c r="GD101" s="101"/>
      <c r="GE101" s="101"/>
      <c r="GF101" s="101"/>
      <c r="GG101" s="101"/>
      <c r="GH101" s="101"/>
      <c r="GI101" s="101"/>
      <c r="GJ101" s="101"/>
      <c r="GK101" s="101"/>
      <c r="GL101" s="101"/>
      <c r="GM101" s="101"/>
      <c r="GN101" s="101"/>
      <c r="GO101" s="101"/>
      <c r="GP101" s="101"/>
      <c r="GQ101" s="101"/>
      <c r="GR101" s="101"/>
      <c r="GS101" s="101"/>
      <c r="GT101" s="101"/>
      <c r="GU101" s="101"/>
      <c r="GV101" s="101"/>
      <c r="GW101" s="101"/>
      <c r="GX101" s="101"/>
      <c r="GY101" s="101"/>
      <c r="GZ101" s="101"/>
      <c r="HA101" s="101"/>
      <c r="HB101" s="101"/>
      <c r="HC101" s="101"/>
      <c r="HD101" s="101"/>
      <c r="HE101" s="101"/>
      <c r="HF101" s="101"/>
      <c r="HG101" s="101"/>
      <c r="HH101" s="101"/>
      <c r="HI101" s="101"/>
      <c r="HJ101" s="101"/>
      <c r="HK101" s="101"/>
      <c r="HL101" s="101"/>
      <c r="HM101" s="101"/>
      <c r="HN101" s="101"/>
      <c r="HO101" s="101"/>
      <c r="HP101" s="101"/>
      <c r="HQ101" s="101"/>
      <c r="HR101" s="101"/>
      <c r="HS101" s="101"/>
      <c r="HT101" s="101"/>
      <c r="HU101" s="101"/>
      <c r="HV101" s="101"/>
      <c r="HW101" s="101"/>
      <c r="HX101" s="101"/>
      <c r="HY101" s="101"/>
      <c r="HZ101" s="101"/>
      <c r="IA101" s="101"/>
      <c r="IB101" s="101"/>
      <c r="IC101" s="101"/>
      <c r="ID101" s="101"/>
      <c r="IE101" s="101"/>
      <c r="IF101" s="101"/>
      <c r="IG101" s="101"/>
      <c r="IH101" s="101"/>
      <c r="II101" s="101"/>
      <c r="IJ101" s="101"/>
      <c r="IK101" s="101"/>
      <c r="IL101" s="101"/>
      <c r="IM101" s="101"/>
      <c r="IN101" s="101"/>
    </row>
    <row r="102" s="104" customFormat="1" ht="45" outlineLevel="1" spans="1:248">
      <c r="A102" s="117">
        <v>54</v>
      </c>
      <c r="B102" s="118" t="s">
        <v>1034</v>
      </c>
      <c r="C102" s="118" t="s">
        <v>909</v>
      </c>
      <c r="D102" s="119">
        <v>1</v>
      </c>
      <c r="E102" s="122">
        <f>400*0+(1*0.2+0.8/1*0.3+1.1/1.2*0.5)*400*0.85</f>
        <v>305.43</v>
      </c>
      <c r="F102" s="119">
        <f t="shared" si="3"/>
        <v>305.43</v>
      </c>
      <c r="G102" s="124"/>
      <c r="H102" s="10">
        <v>80</v>
      </c>
      <c r="I102" s="10">
        <v>110</v>
      </c>
      <c r="J102" s="124"/>
      <c r="K102" s="118" t="s">
        <v>1024</v>
      </c>
      <c r="L102" s="129" t="s">
        <v>1036</v>
      </c>
      <c r="M102" s="13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/>
      <c r="CW102" s="101"/>
      <c r="CX102" s="101"/>
      <c r="CY102" s="101"/>
      <c r="CZ102" s="101"/>
      <c r="DA102" s="101"/>
      <c r="DB102" s="101"/>
      <c r="DC102" s="101"/>
      <c r="DD102" s="101"/>
      <c r="DE102" s="101"/>
      <c r="DF102" s="101"/>
      <c r="DG102" s="101"/>
      <c r="DH102" s="101"/>
      <c r="DI102" s="101"/>
      <c r="DJ102" s="101"/>
      <c r="DK102" s="101"/>
      <c r="DL102" s="101"/>
      <c r="DM102" s="101"/>
      <c r="DN102" s="101"/>
      <c r="DO102" s="101"/>
      <c r="DP102" s="101"/>
      <c r="DQ102" s="101"/>
      <c r="DR102" s="101"/>
      <c r="DS102" s="101"/>
      <c r="DT102" s="101"/>
      <c r="DU102" s="101"/>
      <c r="DV102" s="101"/>
      <c r="DW102" s="101"/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1"/>
      <c r="EH102" s="101"/>
      <c r="EI102" s="101"/>
      <c r="EJ102" s="101"/>
      <c r="EK102" s="101"/>
      <c r="EL102" s="101"/>
      <c r="EM102" s="101"/>
      <c r="EN102" s="101"/>
      <c r="EO102" s="101"/>
      <c r="EP102" s="101"/>
      <c r="EQ102" s="101"/>
      <c r="ER102" s="101"/>
      <c r="ES102" s="101"/>
      <c r="ET102" s="101"/>
      <c r="EU102" s="101"/>
      <c r="EV102" s="101"/>
      <c r="EW102" s="101"/>
      <c r="EX102" s="101"/>
      <c r="EY102" s="101"/>
      <c r="EZ102" s="101"/>
      <c r="FA102" s="101"/>
      <c r="FB102" s="101"/>
      <c r="FC102" s="101"/>
      <c r="FD102" s="101"/>
      <c r="FE102" s="101"/>
      <c r="FF102" s="101"/>
      <c r="FG102" s="101"/>
      <c r="FH102" s="101"/>
      <c r="FI102" s="101"/>
      <c r="FJ102" s="101"/>
      <c r="FK102" s="101"/>
      <c r="FL102" s="101"/>
      <c r="FM102" s="101"/>
      <c r="FN102" s="101"/>
      <c r="FO102" s="101"/>
      <c r="FP102" s="101"/>
      <c r="FQ102" s="101"/>
      <c r="FR102" s="101"/>
      <c r="FS102" s="101"/>
      <c r="FT102" s="101"/>
      <c r="FU102" s="101"/>
      <c r="FV102" s="101"/>
      <c r="FW102" s="101"/>
      <c r="FX102" s="101"/>
      <c r="FY102" s="101"/>
      <c r="FZ102" s="101"/>
      <c r="GA102" s="101"/>
      <c r="GB102" s="101"/>
      <c r="GC102" s="101"/>
      <c r="GD102" s="101"/>
      <c r="GE102" s="101"/>
      <c r="GF102" s="101"/>
      <c r="GG102" s="101"/>
      <c r="GH102" s="101"/>
      <c r="GI102" s="101"/>
      <c r="GJ102" s="101"/>
      <c r="GK102" s="101"/>
      <c r="GL102" s="101"/>
      <c r="GM102" s="101"/>
      <c r="GN102" s="101"/>
      <c r="GO102" s="101"/>
      <c r="GP102" s="101"/>
      <c r="GQ102" s="101"/>
      <c r="GR102" s="101"/>
      <c r="GS102" s="101"/>
      <c r="GT102" s="101"/>
      <c r="GU102" s="101"/>
      <c r="GV102" s="101"/>
      <c r="GW102" s="101"/>
      <c r="GX102" s="101"/>
      <c r="GY102" s="101"/>
      <c r="GZ102" s="101"/>
      <c r="HA102" s="101"/>
      <c r="HB102" s="101"/>
      <c r="HC102" s="101"/>
      <c r="HD102" s="101"/>
      <c r="HE102" s="101"/>
      <c r="HF102" s="101"/>
      <c r="HG102" s="101"/>
      <c r="HH102" s="101"/>
      <c r="HI102" s="101"/>
      <c r="HJ102" s="101"/>
      <c r="HK102" s="101"/>
      <c r="HL102" s="101"/>
      <c r="HM102" s="101"/>
      <c r="HN102" s="101"/>
      <c r="HO102" s="101"/>
      <c r="HP102" s="101"/>
      <c r="HQ102" s="101"/>
      <c r="HR102" s="101"/>
      <c r="HS102" s="101"/>
      <c r="HT102" s="101"/>
      <c r="HU102" s="101"/>
      <c r="HV102" s="101"/>
      <c r="HW102" s="101"/>
      <c r="HX102" s="101"/>
      <c r="HY102" s="101"/>
      <c r="HZ102" s="101"/>
      <c r="IA102" s="101"/>
      <c r="IB102" s="101"/>
      <c r="IC102" s="101"/>
      <c r="ID102" s="101"/>
      <c r="IE102" s="101"/>
      <c r="IF102" s="101"/>
      <c r="IG102" s="101"/>
      <c r="IH102" s="101"/>
      <c r="II102" s="101"/>
      <c r="IJ102" s="101"/>
      <c r="IK102" s="101"/>
      <c r="IL102" s="101"/>
      <c r="IM102" s="101"/>
      <c r="IN102" s="101"/>
    </row>
    <row r="103" s="104" customFormat="1" ht="45" outlineLevel="1" spans="1:248">
      <c r="A103" s="117">
        <v>55</v>
      </c>
      <c r="B103" s="118" t="s">
        <v>1034</v>
      </c>
      <c r="C103" s="118" t="s">
        <v>909</v>
      </c>
      <c r="D103" s="119">
        <v>1</v>
      </c>
      <c r="E103" s="120">
        <v>400</v>
      </c>
      <c r="F103" s="119">
        <f t="shared" si="3"/>
        <v>400</v>
      </c>
      <c r="G103" s="124"/>
      <c r="H103" s="10">
        <v>100</v>
      </c>
      <c r="I103" s="10">
        <v>130</v>
      </c>
      <c r="J103" s="124"/>
      <c r="K103" s="118" t="s">
        <v>1024</v>
      </c>
      <c r="L103" s="129"/>
      <c r="M103" s="13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/>
      <c r="CW103" s="101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/>
      <c r="DH103" s="101"/>
      <c r="DI103" s="101"/>
      <c r="DJ103" s="101"/>
      <c r="DK103" s="101"/>
      <c r="DL103" s="101"/>
      <c r="DM103" s="101"/>
      <c r="DN103" s="101"/>
      <c r="DO103" s="101"/>
      <c r="DP103" s="101"/>
      <c r="DQ103" s="101"/>
      <c r="DR103" s="101"/>
      <c r="DS103" s="101"/>
      <c r="DT103" s="101"/>
      <c r="DU103" s="101"/>
      <c r="DV103" s="101"/>
      <c r="DW103" s="101"/>
      <c r="DX103" s="101"/>
      <c r="DY103" s="101"/>
      <c r="DZ103" s="101"/>
      <c r="EA103" s="101"/>
      <c r="EB103" s="101"/>
      <c r="EC103" s="101"/>
      <c r="ED103" s="101"/>
      <c r="EE103" s="101"/>
      <c r="EF103" s="101"/>
      <c r="EG103" s="101"/>
      <c r="EH103" s="101"/>
      <c r="EI103" s="101"/>
      <c r="EJ103" s="101"/>
      <c r="EK103" s="101"/>
      <c r="EL103" s="101"/>
      <c r="EM103" s="101"/>
      <c r="EN103" s="101"/>
      <c r="EO103" s="101"/>
      <c r="EP103" s="101"/>
      <c r="EQ103" s="101"/>
      <c r="ER103" s="101"/>
      <c r="ES103" s="101"/>
      <c r="ET103" s="101"/>
      <c r="EU103" s="101"/>
      <c r="EV103" s="101"/>
      <c r="EW103" s="101"/>
      <c r="EX103" s="101"/>
      <c r="EY103" s="101"/>
      <c r="EZ103" s="101"/>
      <c r="FA103" s="101"/>
      <c r="FB103" s="101"/>
      <c r="FC103" s="101"/>
      <c r="FD103" s="101"/>
      <c r="FE103" s="101"/>
      <c r="FF103" s="101"/>
      <c r="FG103" s="101"/>
      <c r="FH103" s="101"/>
      <c r="FI103" s="101"/>
      <c r="FJ103" s="101"/>
      <c r="FK103" s="101"/>
      <c r="FL103" s="101"/>
      <c r="FM103" s="101"/>
      <c r="FN103" s="101"/>
      <c r="FO103" s="101"/>
      <c r="FP103" s="101"/>
      <c r="FQ103" s="101"/>
      <c r="FR103" s="101"/>
      <c r="FS103" s="101"/>
      <c r="FT103" s="101"/>
      <c r="FU103" s="101"/>
      <c r="FV103" s="101"/>
      <c r="FW103" s="101"/>
      <c r="FX103" s="101"/>
      <c r="FY103" s="101"/>
      <c r="FZ103" s="101"/>
      <c r="GA103" s="101"/>
      <c r="GB103" s="101"/>
      <c r="GC103" s="101"/>
      <c r="GD103" s="101"/>
      <c r="GE103" s="101"/>
      <c r="GF103" s="101"/>
      <c r="GG103" s="101"/>
      <c r="GH103" s="101"/>
      <c r="GI103" s="101"/>
      <c r="GJ103" s="101"/>
      <c r="GK103" s="101"/>
      <c r="GL103" s="101"/>
      <c r="GM103" s="101"/>
      <c r="GN103" s="101"/>
      <c r="GO103" s="101"/>
      <c r="GP103" s="101"/>
      <c r="GQ103" s="101"/>
      <c r="GR103" s="101"/>
      <c r="GS103" s="101"/>
      <c r="GT103" s="101"/>
      <c r="GU103" s="101"/>
      <c r="GV103" s="101"/>
      <c r="GW103" s="101"/>
      <c r="GX103" s="101"/>
      <c r="GY103" s="101"/>
      <c r="GZ103" s="101"/>
      <c r="HA103" s="101"/>
      <c r="HB103" s="101"/>
      <c r="HC103" s="101"/>
      <c r="HD103" s="101"/>
      <c r="HE103" s="101"/>
      <c r="HF103" s="101"/>
      <c r="HG103" s="101"/>
      <c r="HH103" s="101"/>
      <c r="HI103" s="101"/>
      <c r="HJ103" s="101"/>
      <c r="HK103" s="101"/>
      <c r="HL103" s="101"/>
      <c r="HM103" s="101"/>
      <c r="HN103" s="101"/>
      <c r="HO103" s="101"/>
      <c r="HP103" s="101"/>
      <c r="HQ103" s="101"/>
      <c r="HR103" s="101"/>
      <c r="HS103" s="101"/>
      <c r="HT103" s="101"/>
      <c r="HU103" s="101"/>
      <c r="HV103" s="101"/>
      <c r="HW103" s="101"/>
      <c r="HX103" s="101"/>
      <c r="HY103" s="101"/>
      <c r="HZ103" s="101"/>
      <c r="IA103" s="101"/>
      <c r="IB103" s="101"/>
      <c r="IC103" s="101"/>
      <c r="ID103" s="101"/>
      <c r="IE103" s="101"/>
      <c r="IF103" s="101"/>
      <c r="IG103" s="101"/>
      <c r="IH103" s="101"/>
      <c r="II103" s="101"/>
      <c r="IJ103" s="101"/>
      <c r="IK103" s="101"/>
      <c r="IL103" s="101"/>
      <c r="IM103" s="101"/>
      <c r="IN103" s="101"/>
    </row>
    <row r="104" s="104" customFormat="1" ht="45" outlineLevel="1" spans="1:248">
      <c r="A104" s="117">
        <v>56</v>
      </c>
      <c r="B104" s="118" t="s">
        <v>1034</v>
      </c>
      <c r="C104" s="118" t="s">
        <v>909</v>
      </c>
      <c r="D104" s="119">
        <f>1+1</f>
        <v>2</v>
      </c>
      <c r="E104" s="122">
        <f t="shared" ref="E104:E106" si="4">400*0+(1*0.2+1*0.3+1.1/1.2*0.5)*400*0.85</f>
        <v>325.83</v>
      </c>
      <c r="F104" s="119">
        <f t="shared" si="3"/>
        <v>651.66</v>
      </c>
      <c r="G104" s="124"/>
      <c r="H104" s="10">
        <v>100</v>
      </c>
      <c r="I104" s="10">
        <v>110</v>
      </c>
      <c r="J104" s="124"/>
      <c r="K104" s="118" t="s">
        <v>1024</v>
      </c>
      <c r="L104" s="129" t="s">
        <v>1036</v>
      </c>
      <c r="M104" s="13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  <c r="CV104" s="101"/>
      <c r="CW104" s="101"/>
      <c r="CX104" s="101"/>
      <c r="CY104" s="101"/>
      <c r="CZ104" s="101"/>
      <c r="DA104" s="101"/>
      <c r="DB104" s="101"/>
      <c r="DC104" s="101"/>
      <c r="DD104" s="101"/>
      <c r="DE104" s="101"/>
      <c r="DF104" s="101"/>
      <c r="DG104" s="101"/>
      <c r="DH104" s="101"/>
      <c r="DI104" s="101"/>
      <c r="DJ104" s="101"/>
      <c r="DK104" s="101"/>
      <c r="DL104" s="101"/>
      <c r="DM104" s="101"/>
      <c r="DN104" s="101"/>
      <c r="DO104" s="101"/>
      <c r="DP104" s="101"/>
      <c r="DQ104" s="101"/>
      <c r="DR104" s="101"/>
      <c r="DS104" s="101"/>
      <c r="DT104" s="101"/>
      <c r="DU104" s="101"/>
      <c r="DV104" s="101"/>
      <c r="DW104" s="101"/>
      <c r="DX104" s="101"/>
      <c r="DY104" s="101"/>
      <c r="DZ104" s="101"/>
      <c r="EA104" s="101"/>
      <c r="EB104" s="101"/>
      <c r="EC104" s="101"/>
      <c r="ED104" s="101"/>
      <c r="EE104" s="101"/>
      <c r="EF104" s="101"/>
      <c r="EG104" s="101"/>
      <c r="EH104" s="101"/>
      <c r="EI104" s="101"/>
      <c r="EJ104" s="101"/>
      <c r="EK104" s="101"/>
      <c r="EL104" s="101"/>
      <c r="EM104" s="101"/>
      <c r="EN104" s="101"/>
      <c r="EO104" s="101"/>
      <c r="EP104" s="101"/>
      <c r="EQ104" s="101"/>
      <c r="ER104" s="101"/>
      <c r="ES104" s="101"/>
      <c r="ET104" s="101"/>
      <c r="EU104" s="101"/>
      <c r="EV104" s="101"/>
      <c r="EW104" s="101"/>
      <c r="EX104" s="101"/>
      <c r="EY104" s="101"/>
      <c r="EZ104" s="101"/>
      <c r="FA104" s="101"/>
      <c r="FB104" s="101"/>
      <c r="FC104" s="101"/>
      <c r="FD104" s="101"/>
      <c r="FE104" s="101"/>
      <c r="FF104" s="101"/>
      <c r="FG104" s="101"/>
      <c r="FH104" s="101"/>
      <c r="FI104" s="101"/>
      <c r="FJ104" s="101"/>
      <c r="FK104" s="101"/>
      <c r="FL104" s="101"/>
      <c r="FM104" s="101"/>
      <c r="FN104" s="101"/>
      <c r="FO104" s="101"/>
      <c r="FP104" s="101"/>
      <c r="FQ104" s="101"/>
      <c r="FR104" s="101"/>
      <c r="FS104" s="101"/>
      <c r="FT104" s="101"/>
      <c r="FU104" s="101"/>
      <c r="FV104" s="101"/>
      <c r="FW104" s="101"/>
      <c r="FX104" s="101"/>
      <c r="FY104" s="101"/>
      <c r="FZ104" s="101"/>
      <c r="GA104" s="101"/>
      <c r="GB104" s="101"/>
      <c r="GC104" s="101"/>
      <c r="GD104" s="101"/>
      <c r="GE104" s="101"/>
      <c r="GF104" s="101"/>
      <c r="GG104" s="101"/>
      <c r="GH104" s="101"/>
      <c r="GI104" s="101"/>
      <c r="GJ104" s="101"/>
      <c r="GK104" s="101"/>
      <c r="GL104" s="101"/>
      <c r="GM104" s="101"/>
      <c r="GN104" s="101"/>
      <c r="GO104" s="101"/>
      <c r="GP104" s="101"/>
      <c r="GQ104" s="101"/>
      <c r="GR104" s="101"/>
      <c r="GS104" s="101"/>
      <c r="GT104" s="101"/>
      <c r="GU104" s="101"/>
      <c r="GV104" s="101"/>
      <c r="GW104" s="101"/>
      <c r="GX104" s="101"/>
      <c r="GY104" s="101"/>
      <c r="GZ104" s="101"/>
      <c r="HA104" s="101"/>
      <c r="HB104" s="101"/>
      <c r="HC104" s="101"/>
      <c r="HD104" s="101"/>
      <c r="HE104" s="101"/>
      <c r="HF104" s="101"/>
      <c r="HG104" s="101"/>
      <c r="HH104" s="101"/>
      <c r="HI104" s="101"/>
      <c r="HJ104" s="101"/>
      <c r="HK104" s="101"/>
      <c r="HL104" s="101"/>
      <c r="HM104" s="101"/>
      <c r="HN104" s="101"/>
      <c r="HO104" s="101"/>
      <c r="HP104" s="101"/>
      <c r="HQ104" s="101"/>
      <c r="HR104" s="101"/>
      <c r="HS104" s="101"/>
      <c r="HT104" s="101"/>
      <c r="HU104" s="101"/>
      <c r="HV104" s="101"/>
      <c r="HW104" s="101"/>
      <c r="HX104" s="101"/>
      <c r="HY104" s="101"/>
      <c r="HZ104" s="101"/>
      <c r="IA104" s="101"/>
      <c r="IB104" s="101"/>
      <c r="IC104" s="101"/>
      <c r="ID104" s="101"/>
      <c r="IE104" s="101"/>
      <c r="IF104" s="101"/>
      <c r="IG104" s="101"/>
      <c r="IH104" s="101"/>
      <c r="II104" s="101"/>
      <c r="IJ104" s="101"/>
      <c r="IK104" s="101"/>
      <c r="IL104" s="101"/>
      <c r="IM104" s="101"/>
      <c r="IN104" s="101"/>
    </row>
    <row r="105" s="104" customFormat="1" ht="45" outlineLevel="1" spans="1:248">
      <c r="A105" s="117">
        <v>57</v>
      </c>
      <c r="B105" s="118" t="s">
        <v>1034</v>
      </c>
      <c r="C105" s="118" t="s">
        <v>909</v>
      </c>
      <c r="D105" s="119">
        <v>1</v>
      </c>
      <c r="E105" s="122">
        <f t="shared" si="4"/>
        <v>325.83</v>
      </c>
      <c r="F105" s="119">
        <f t="shared" si="3"/>
        <v>325.83</v>
      </c>
      <c r="G105" s="124"/>
      <c r="H105" s="10">
        <v>110</v>
      </c>
      <c r="I105" s="10">
        <v>110</v>
      </c>
      <c r="J105" s="124"/>
      <c r="K105" s="118" t="s">
        <v>1024</v>
      </c>
      <c r="L105" s="129" t="s">
        <v>1036</v>
      </c>
      <c r="M105" s="13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1"/>
      <c r="BZ105" s="101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1"/>
      <c r="CM105" s="101"/>
      <c r="CN105" s="101"/>
      <c r="CO105" s="101"/>
      <c r="CP105" s="101"/>
      <c r="CQ105" s="101"/>
      <c r="CR105" s="101"/>
      <c r="CS105" s="101"/>
      <c r="CT105" s="101"/>
      <c r="CU105" s="101"/>
      <c r="CV105" s="101"/>
      <c r="CW105" s="101"/>
      <c r="CX105" s="101"/>
      <c r="CY105" s="101"/>
      <c r="CZ105" s="101"/>
      <c r="DA105" s="101"/>
      <c r="DB105" s="101"/>
      <c r="DC105" s="101"/>
      <c r="DD105" s="101"/>
      <c r="DE105" s="101"/>
      <c r="DF105" s="101"/>
      <c r="DG105" s="101"/>
      <c r="DH105" s="101"/>
      <c r="DI105" s="101"/>
      <c r="DJ105" s="101"/>
      <c r="DK105" s="101"/>
      <c r="DL105" s="101"/>
      <c r="DM105" s="101"/>
      <c r="DN105" s="101"/>
      <c r="DO105" s="101"/>
      <c r="DP105" s="101"/>
      <c r="DQ105" s="101"/>
      <c r="DR105" s="101"/>
      <c r="DS105" s="101"/>
      <c r="DT105" s="101"/>
      <c r="DU105" s="101"/>
      <c r="DV105" s="101"/>
      <c r="DW105" s="101"/>
      <c r="DX105" s="101"/>
      <c r="DY105" s="101"/>
      <c r="DZ105" s="101"/>
      <c r="EA105" s="101"/>
      <c r="EB105" s="101"/>
      <c r="EC105" s="101"/>
      <c r="ED105" s="101"/>
      <c r="EE105" s="101"/>
      <c r="EF105" s="101"/>
      <c r="EG105" s="101"/>
      <c r="EH105" s="101"/>
      <c r="EI105" s="101"/>
      <c r="EJ105" s="101"/>
      <c r="EK105" s="101"/>
      <c r="EL105" s="101"/>
      <c r="EM105" s="101"/>
      <c r="EN105" s="101"/>
      <c r="EO105" s="101"/>
      <c r="EP105" s="101"/>
      <c r="EQ105" s="101"/>
      <c r="ER105" s="101"/>
      <c r="ES105" s="101"/>
      <c r="ET105" s="101"/>
      <c r="EU105" s="101"/>
      <c r="EV105" s="101"/>
      <c r="EW105" s="101"/>
      <c r="EX105" s="101"/>
      <c r="EY105" s="101"/>
      <c r="EZ105" s="101"/>
      <c r="FA105" s="101"/>
      <c r="FB105" s="101"/>
      <c r="FC105" s="101"/>
      <c r="FD105" s="101"/>
      <c r="FE105" s="101"/>
      <c r="FF105" s="101"/>
      <c r="FG105" s="101"/>
      <c r="FH105" s="101"/>
      <c r="FI105" s="101"/>
      <c r="FJ105" s="101"/>
      <c r="FK105" s="101"/>
      <c r="FL105" s="101"/>
      <c r="FM105" s="101"/>
      <c r="FN105" s="101"/>
      <c r="FO105" s="101"/>
      <c r="FP105" s="101"/>
      <c r="FQ105" s="101"/>
      <c r="FR105" s="101"/>
      <c r="FS105" s="101"/>
      <c r="FT105" s="101"/>
      <c r="FU105" s="101"/>
      <c r="FV105" s="101"/>
      <c r="FW105" s="101"/>
      <c r="FX105" s="101"/>
      <c r="FY105" s="101"/>
      <c r="FZ105" s="101"/>
      <c r="GA105" s="101"/>
      <c r="GB105" s="101"/>
      <c r="GC105" s="101"/>
      <c r="GD105" s="101"/>
      <c r="GE105" s="101"/>
      <c r="GF105" s="101"/>
      <c r="GG105" s="101"/>
      <c r="GH105" s="101"/>
      <c r="GI105" s="101"/>
      <c r="GJ105" s="101"/>
      <c r="GK105" s="101"/>
      <c r="GL105" s="101"/>
      <c r="GM105" s="101"/>
      <c r="GN105" s="101"/>
      <c r="GO105" s="101"/>
      <c r="GP105" s="101"/>
      <c r="GQ105" s="101"/>
      <c r="GR105" s="101"/>
      <c r="GS105" s="101"/>
      <c r="GT105" s="101"/>
      <c r="GU105" s="101"/>
      <c r="GV105" s="101"/>
      <c r="GW105" s="101"/>
      <c r="GX105" s="101"/>
      <c r="GY105" s="101"/>
      <c r="GZ105" s="101"/>
      <c r="HA105" s="101"/>
      <c r="HB105" s="101"/>
      <c r="HC105" s="101"/>
      <c r="HD105" s="101"/>
      <c r="HE105" s="101"/>
      <c r="HF105" s="101"/>
      <c r="HG105" s="101"/>
      <c r="HH105" s="101"/>
      <c r="HI105" s="101"/>
      <c r="HJ105" s="101"/>
      <c r="HK105" s="101"/>
      <c r="HL105" s="101"/>
      <c r="HM105" s="101"/>
      <c r="HN105" s="101"/>
      <c r="HO105" s="101"/>
      <c r="HP105" s="101"/>
      <c r="HQ105" s="101"/>
      <c r="HR105" s="101"/>
      <c r="HS105" s="101"/>
      <c r="HT105" s="101"/>
      <c r="HU105" s="101"/>
      <c r="HV105" s="101"/>
      <c r="HW105" s="101"/>
      <c r="HX105" s="101"/>
      <c r="HY105" s="101"/>
      <c r="HZ105" s="101"/>
      <c r="IA105" s="101"/>
      <c r="IB105" s="101"/>
      <c r="IC105" s="101"/>
      <c r="ID105" s="101"/>
      <c r="IE105" s="101"/>
      <c r="IF105" s="101"/>
      <c r="IG105" s="101"/>
      <c r="IH105" s="101"/>
      <c r="II105" s="101"/>
      <c r="IJ105" s="101"/>
      <c r="IK105" s="101"/>
      <c r="IL105" s="101"/>
      <c r="IM105" s="101"/>
      <c r="IN105" s="101"/>
    </row>
    <row r="106" s="104" customFormat="1" ht="45" outlineLevel="1" spans="1:248">
      <c r="A106" s="117">
        <v>58</v>
      </c>
      <c r="B106" s="118" t="s">
        <v>1034</v>
      </c>
      <c r="C106" s="118" t="s">
        <v>909</v>
      </c>
      <c r="D106" s="119">
        <v>1</v>
      </c>
      <c r="E106" s="122">
        <f>400*0+(1*0.2+0.9/1*0.3+1.1/1.2*0.5)*400*0.85</f>
        <v>315.63</v>
      </c>
      <c r="F106" s="119">
        <f t="shared" si="3"/>
        <v>315.63</v>
      </c>
      <c r="G106" s="124"/>
      <c r="H106" s="10">
        <v>90</v>
      </c>
      <c r="I106" s="10">
        <v>110</v>
      </c>
      <c r="J106" s="124"/>
      <c r="K106" s="118" t="s">
        <v>1024</v>
      </c>
      <c r="L106" s="129" t="s">
        <v>1036</v>
      </c>
      <c r="M106" s="13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1"/>
      <c r="DD106" s="101"/>
      <c r="DE106" s="101"/>
      <c r="DF106" s="101"/>
      <c r="DG106" s="101"/>
      <c r="DH106" s="101"/>
      <c r="DI106" s="101"/>
      <c r="DJ106" s="101"/>
      <c r="DK106" s="101"/>
      <c r="DL106" s="101"/>
      <c r="DM106" s="101"/>
      <c r="DN106" s="101"/>
      <c r="DO106" s="101"/>
      <c r="DP106" s="101"/>
      <c r="DQ106" s="101"/>
      <c r="DR106" s="101"/>
      <c r="DS106" s="101"/>
      <c r="DT106" s="101"/>
      <c r="DU106" s="101"/>
      <c r="DV106" s="101"/>
      <c r="DW106" s="101"/>
      <c r="DX106" s="101"/>
      <c r="DY106" s="101"/>
      <c r="DZ106" s="101"/>
      <c r="EA106" s="101"/>
      <c r="EB106" s="101"/>
      <c r="EC106" s="101"/>
      <c r="ED106" s="101"/>
      <c r="EE106" s="101"/>
      <c r="EF106" s="101"/>
      <c r="EG106" s="101"/>
      <c r="EH106" s="101"/>
      <c r="EI106" s="101"/>
      <c r="EJ106" s="101"/>
      <c r="EK106" s="101"/>
      <c r="EL106" s="101"/>
      <c r="EM106" s="101"/>
      <c r="EN106" s="101"/>
      <c r="EO106" s="101"/>
      <c r="EP106" s="101"/>
      <c r="EQ106" s="101"/>
      <c r="ER106" s="101"/>
      <c r="ES106" s="101"/>
      <c r="ET106" s="101"/>
      <c r="EU106" s="101"/>
      <c r="EV106" s="101"/>
      <c r="EW106" s="101"/>
      <c r="EX106" s="101"/>
      <c r="EY106" s="101"/>
      <c r="EZ106" s="101"/>
      <c r="FA106" s="101"/>
      <c r="FB106" s="101"/>
      <c r="FC106" s="101"/>
      <c r="FD106" s="101"/>
      <c r="FE106" s="101"/>
      <c r="FF106" s="101"/>
      <c r="FG106" s="101"/>
      <c r="FH106" s="101"/>
      <c r="FI106" s="101"/>
      <c r="FJ106" s="101"/>
      <c r="FK106" s="101"/>
      <c r="FL106" s="101"/>
      <c r="FM106" s="101"/>
      <c r="FN106" s="101"/>
      <c r="FO106" s="101"/>
      <c r="FP106" s="101"/>
      <c r="FQ106" s="101"/>
      <c r="FR106" s="101"/>
      <c r="FS106" s="101"/>
      <c r="FT106" s="101"/>
      <c r="FU106" s="101"/>
      <c r="FV106" s="101"/>
      <c r="FW106" s="101"/>
      <c r="FX106" s="101"/>
      <c r="FY106" s="101"/>
      <c r="FZ106" s="101"/>
      <c r="GA106" s="101"/>
      <c r="GB106" s="101"/>
      <c r="GC106" s="101"/>
      <c r="GD106" s="101"/>
      <c r="GE106" s="101"/>
      <c r="GF106" s="101"/>
      <c r="GG106" s="101"/>
      <c r="GH106" s="101"/>
      <c r="GI106" s="101"/>
      <c r="GJ106" s="101"/>
      <c r="GK106" s="101"/>
      <c r="GL106" s="101"/>
      <c r="GM106" s="101"/>
      <c r="GN106" s="101"/>
      <c r="GO106" s="101"/>
      <c r="GP106" s="101"/>
      <c r="GQ106" s="101"/>
      <c r="GR106" s="101"/>
      <c r="GS106" s="101"/>
      <c r="GT106" s="101"/>
      <c r="GU106" s="101"/>
      <c r="GV106" s="101"/>
      <c r="GW106" s="101"/>
      <c r="GX106" s="101"/>
      <c r="GY106" s="101"/>
      <c r="GZ106" s="101"/>
      <c r="HA106" s="101"/>
      <c r="HB106" s="101"/>
      <c r="HC106" s="101"/>
      <c r="HD106" s="101"/>
      <c r="HE106" s="101"/>
      <c r="HF106" s="101"/>
      <c r="HG106" s="101"/>
      <c r="HH106" s="101"/>
      <c r="HI106" s="101"/>
      <c r="HJ106" s="101"/>
      <c r="HK106" s="101"/>
      <c r="HL106" s="101"/>
      <c r="HM106" s="101"/>
      <c r="HN106" s="101"/>
      <c r="HO106" s="101"/>
      <c r="HP106" s="101"/>
      <c r="HQ106" s="101"/>
      <c r="HR106" s="101"/>
      <c r="HS106" s="101"/>
      <c r="HT106" s="101"/>
      <c r="HU106" s="101"/>
      <c r="HV106" s="101"/>
      <c r="HW106" s="101"/>
      <c r="HX106" s="101"/>
      <c r="HY106" s="101"/>
      <c r="HZ106" s="101"/>
      <c r="IA106" s="101"/>
      <c r="IB106" s="101"/>
      <c r="IC106" s="101"/>
      <c r="ID106" s="101"/>
      <c r="IE106" s="101"/>
      <c r="IF106" s="101"/>
      <c r="IG106" s="101"/>
      <c r="IH106" s="101"/>
      <c r="II106" s="101"/>
      <c r="IJ106" s="101"/>
      <c r="IK106" s="101"/>
      <c r="IL106" s="101"/>
      <c r="IM106" s="101"/>
      <c r="IN106" s="101"/>
    </row>
    <row r="107" s="104" customFormat="1" ht="45" outlineLevel="1" spans="1:248">
      <c r="A107" s="117">
        <v>59</v>
      </c>
      <c r="B107" s="118" t="s">
        <v>1037</v>
      </c>
      <c r="C107" s="118" t="s">
        <v>909</v>
      </c>
      <c r="D107" s="119">
        <v>1</v>
      </c>
      <c r="E107" s="120">
        <v>300</v>
      </c>
      <c r="F107" s="119">
        <f t="shared" si="3"/>
        <v>300</v>
      </c>
      <c r="G107" s="124"/>
      <c r="H107" s="10">
        <v>80</v>
      </c>
      <c r="I107" s="10">
        <v>100</v>
      </c>
      <c r="J107" s="124"/>
      <c r="K107" s="118" t="s">
        <v>1024</v>
      </c>
      <c r="L107" s="129" t="s">
        <v>686</v>
      </c>
      <c r="M107" s="108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1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1"/>
      <c r="CN107" s="101"/>
      <c r="CO107" s="101"/>
      <c r="CP107" s="101"/>
      <c r="CQ107" s="101"/>
      <c r="CR107" s="101"/>
      <c r="CS107" s="101"/>
      <c r="CT107" s="101"/>
      <c r="CU107" s="101"/>
      <c r="CV107" s="101"/>
      <c r="CW107" s="101"/>
      <c r="CX107" s="101"/>
      <c r="CY107" s="101"/>
      <c r="CZ107" s="101"/>
      <c r="DA107" s="101"/>
      <c r="DB107" s="101"/>
      <c r="DC107" s="101"/>
      <c r="DD107" s="101"/>
      <c r="DE107" s="101"/>
      <c r="DF107" s="101"/>
      <c r="DG107" s="101"/>
      <c r="DH107" s="101"/>
      <c r="DI107" s="101"/>
      <c r="DJ107" s="101"/>
      <c r="DK107" s="101"/>
      <c r="DL107" s="101"/>
      <c r="DM107" s="101"/>
      <c r="DN107" s="101"/>
      <c r="DO107" s="101"/>
      <c r="DP107" s="101"/>
      <c r="DQ107" s="101"/>
      <c r="DR107" s="101"/>
      <c r="DS107" s="101"/>
      <c r="DT107" s="101"/>
      <c r="DU107" s="101"/>
      <c r="DV107" s="101"/>
      <c r="DW107" s="101"/>
      <c r="DX107" s="101"/>
      <c r="DY107" s="101"/>
      <c r="DZ107" s="101"/>
      <c r="EA107" s="101"/>
      <c r="EB107" s="101"/>
      <c r="EC107" s="101"/>
      <c r="ED107" s="101"/>
      <c r="EE107" s="101"/>
      <c r="EF107" s="101"/>
      <c r="EG107" s="101"/>
      <c r="EH107" s="101"/>
      <c r="EI107" s="101"/>
      <c r="EJ107" s="101"/>
      <c r="EK107" s="101"/>
      <c r="EL107" s="101"/>
      <c r="EM107" s="101"/>
      <c r="EN107" s="101"/>
      <c r="EO107" s="101"/>
      <c r="EP107" s="101"/>
      <c r="EQ107" s="101"/>
      <c r="ER107" s="101"/>
      <c r="ES107" s="101"/>
      <c r="ET107" s="101"/>
      <c r="EU107" s="101"/>
      <c r="EV107" s="101"/>
      <c r="EW107" s="101"/>
      <c r="EX107" s="101"/>
      <c r="EY107" s="101"/>
      <c r="EZ107" s="101"/>
      <c r="FA107" s="101"/>
      <c r="FB107" s="101"/>
      <c r="FC107" s="101"/>
      <c r="FD107" s="101"/>
      <c r="FE107" s="101"/>
      <c r="FF107" s="101"/>
      <c r="FG107" s="101"/>
      <c r="FH107" s="101"/>
      <c r="FI107" s="101"/>
      <c r="FJ107" s="101"/>
      <c r="FK107" s="101"/>
      <c r="FL107" s="101"/>
      <c r="FM107" s="101"/>
      <c r="FN107" s="101"/>
      <c r="FO107" s="101"/>
      <c r="FP107" s="101"/>
      <c r="FQ107" s="101"/>
      <c r="FR107" s="101"/>
      <c r="FS107" s="101"/>
      <c r="FT107" s="101"/>
      <c r="FU107" s="101"/>
      <c r="FV107" s="101"/>
      <c r="FW107" s="101"/>
      <c r="FX107" s="101"/>
      <c r="FY107" s="101"/>
      <c r="FZ107" s="101"/>
      <c r="GA107" s="101"/>
      <c r="GB107" s="101"/>
      <c r="GC107" s="101"/>
      <c r="GD107" s="101"/>
      <c r="GE107" s="101"/>
      <c r="GF107" s="101"/>
      <c r="GG107" s="101"/>
      <c r="GH107" s="101"/>
      <c r="GI107" s="101"/>
      <c r="GJ107" s="101"/>
      <c r="GK107" s="101"/>
      <c r="GL107" s="101"/>
      <c r="GM107" s="101"/>
      <c r="GN107" s="101"/>
      <c r="GO107" s="101"/>
      <c r="GP107" s="101"/>
      <c r="GQ107" s="101"/>
      <c r="GR107" s="101"/>
      <c r="GS107" s="101"/>
      <c r="GT107" s="101"/>
      <c r="GU107" s="101"/>
      <c r="GV107" s="101"/>
      <c r="GW107" s="101"/>
      <c r="GX107" s="101"/>
      <c r="GY107" s="101"/>
      <c r="GZ107" s="101"/>
      <c r="HA107" s="101"/>
      <c r="HB107" s="101"/>
      <c r="HC107" s="101"/>
      <c r="HD107" s="101"/>
      <c r="HE107" s="101"/>
      <c r="HF107" s="101"/>
      <c r="HG107" s="101"/>
      <c r="HH107" s="101"/>
      <c r="HI107" s="101"/>
      <c r="HJ107" s="101"/>
      <c r="HK107" s="101"/>
      <c r="HL107" s="101"/>
      <c r="HM107" s="101"/>
      <c r="HN107" s="101"/>
      <c r="HO107" s="101"/>
      <c r="HP107" s="101"/>
      <c r="HQ107" s="101"/>
      <c r="HR107" s="101"/>
      <c r="HS107" s="101"/>
      <c r="HT107" s="101"/>
      <c r="HU107" s="101"/>
      <c r="HV107" s="101"/>
      <c r="HW107" s="101"/>
      <c r="HX107" s="101"/>
      <c r="HY107" s="101"/>
      <c r="HZ107" s="101"/>
      <c r="IA107" s="101"/>
      <c r="IB107" s="101"/>
      <c r="IC107" s="101"/>
      <c r="ID107" s="101"/>
      <c r="IE107" s="101"/>
      <c r="IF107" s="101"/>
      <c r="IG107" s="101"/>
      <c r="IH107" s="101"/>
      <c r="II107" s="101"/>
      <c r="IJ107" s="101"/>
      <c r="IK107" s="101"/>
      <c r="IL107" s="101"/>
      <c r="IM107" s="101"/>
      <c r="IN107" s="101"/>
    </row>
    <row r="108" s="104" customFormat="1" ht="45" outlineLevel="1" spans="1:248">
      <c r="A108" s="117">
        <v>60</v>
      </c>
      <c r="B108" s="118" t="s">
        <v>1038</v>
      </c>
      <c r="C108" s="118" t="s">
        <v>909</v>
      </c>
      <c r="D108" s="119">
        <v>1</v>
      </c>
      <c r="E108" s="122">
        <f>400*0+(1*0.2+1*0.3+0.9/1.2*0.5)*400*0.85</f>
        <v>297.5</v>
      </c>
      <c r="F108" s="119">
        <f t="shared" si="3"/>
        <v>297.5</v>
      </c>
      <c r="G108" s="124"/>
      <c r="H108" s="10">
        <v>100</v>
      </c>
      <c r="I108" s="10">
        <v>90</v>
      </c>
      <c r="J108" s="124"/>
      <c r="K108" s="118" t="s">
        <v>1024</v>
      </c>
      <c r="L108" s="129" t="s">
        <v>1039</v>
      </c>
      <c r="M108" s="131" t="s">
        <v>1009</v>
      </c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1"/>
      <c r="BZ108" s="101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1"/>
      <c r="CM108" s="101"/>
      <c r="CN108" s="101"/>
      <c r="CO108" s="101"/>
      <c r="CP108" s="101"/>
      <c r="CQ108" s="101"/>
      <c r="CR108" s="101"/>
      <c r="CS108" s="101"/>
      <c r="CT108" s="101"/>
      <c r="CU108" s="101"/>
      <c r="CV108" s="101"/>
      <c r="CW108" s="101"/>
      <c r="CX108" s="101"/>
      <c r="CY108" s="101"/>
      <c r="CZ108" s="101"/>
      <c r="DA108" s="101"/>
      <c r="DB108" s="101"/>
      <c r="DC108" s="101"/>
      <c r="DD108" s="101"/>
      <c r="DE108" s="101"/>
      <c r="DF108" s="101"/>
      <c r="DG108" s="101"/>
      <c r="DH108" s="101"/>
      <c r="DI108" s="101"/>
      <c r="DJ108" s="101"/>
      <c r="DK108" s="101"/>
      <c r="DL108" s="101"/>
      <c r="DM108" s="101"/>
      <c r="DN108" s="101"/>
      <c r="DO108" s="101"/>
      <c r="DP108" s="101"/>
      <c r="DQ108" s="101"/>
      <c r="DR108" s="101"/>
      <c r="DS108" s="101"/>
      <c r="DT108" s="101"/>
      <c r="DU108" s="101"/>
      <c r="DV108" s="101"/>
      <c r="DW108" s="101"/>
      <c r="DX108" s="101"/>
      <c r="DY108" s="101"/>
      <c r="DZ108" s="101"/>
      <c r="EA108" s="101"/>
      <c r="EB108" s="101"/>
      <c r="EC108" s="101"/>
      <c r="ED108" s="101"/>
      <c r="EE108" s="101"/>
      <c r="EF108" s="101"/>
      <c r="EG108" s="101"/>
      <c r="EH108" s="101"/>
      <c r="EI108" s="101"/>
      <c r="EJ108" s="101"/>
      <c r="EK108" s="101"/>
      <c r="EL108" s="101"/>
      <c r="EM108" s="101"/>
      <c r="EN108" s="101"/>
      <c r="EO108" s="101"/>
      <c r="EP108" s="101"/>
      <c r="EQ108" s="101"/>
      <c r="ER108" s="101"/>
      <c r="ES108" s="101"/>
      <c r="ET108" s="101"/>
      <c r="EU108" s="101"/>
      <c r="EV108" s="101"/>
      <c r="EW108" s="101"/>
      <c r="EX108" s="101"/>
      <c r="EY108" s="101"/>
      <c r="EZ108" s="101"/>
      <c r="FA108" s="101"/>
      <c r="FB108" s="101"/>
      <c r="FC108" s="101"/>
      <c r="FD108" s="101"/>
      <c r="FE108" s="101"/>
      <c r="FF108" s="101"/>
      <c r="FG108" s="101"/>
      <c r="FH108" s="101"/>
      <c r="FI108" s="101"/>
      <c r="FJ108" s="101"/>
      <c r="FK108" s="101"/>
      <c r="FL108" s="101"/>
      <c r="FM108" s="101"/>
      <c r="FN108" s="101"/>
      <c r="FO108" s="101"/>
      <c r="FP108" s="101"/>
      <c r="FQ108" s="101"/>
      <c r="FR108" s="101"/>
      <c r="FS108" s="101"/>
      <c r="FT108" s="101"/>
      <c r="FU108" s="101"/>
      <c r="FV108" s="101"/>
      <c r="FW108" s="101"/>
      <c r="FX108" s="101"/>
      <c r="FY108" s="101"/>
      <c r="FZ108" s="101"/>
      <c r="GA108" s="101"/>
      <c r="GB108" s="101"/>
      <c r="GC108" s="101"/>
      <c r="GD108" s="101"/>
      <c r="GE108" s="101"/>
      <c r="GF108" s="101"/>
      <c r="GG108" s="101"/>
      <c r="GH108" s="101"/>
      <c r="GI108" s="101"/>
      <c r="GJ108" s="101"/>
      <c r="GK108" s="101"/>
      <c r="GL108" s="101"/>
      <c r="GM108" s="101"/>
      <c r="GN108" s="101"/>
      <c r="GO108" s="101"/>
      <c r="GP108" s="101"/>
      <c r="GQ108" s="101"/>
      <c r="GR108" s="101"/>
      <c r="GS108" s="101"/>
      <c r="GT108" s="101"/>
      <c r="GU108" s="101"/>
      <c r="GV108" s="101"/>
      <c r="GW108" s="101"/>
      <c r="GX108" s="101"/>
      <c r="GY108" s="101"/>
      <c r="GZ108" s="101"/>
      <c r="HA108" s="101"/>
      <c r="HB108" s="101"/>
      <c r="HC108" s="101"/>
      <c r="HD108" s="101"/>
      <c r="HE108" s="101"/>
      <c r="HF108" s="101"/>
      <c r="HG108" s="101"/>
      <c r="HH108" s="101"/>
      <c r="HI108" s="101"/>
      <c r="HJ108" s="101"/>
      <c r="HK108" s="101"/>
      <c r="HL108" s="101"/>
      <c r="HM108" s="101"/>
      <c r="HN108" s="101"/>
      <c r="HO108" s="101"/>
      <c r="HP108" s="101"/>
      <c r="HQ108" s="101"/>
      <c r="HR108" s="101"/>
      <c r="HS108" s="101"/>
      <c r="HT108" s="101"/>
      <c r="HU108" s="101"/>
      <c r="HV108" s="101"/>
      <c r="HW108" s="101"/>
      <c r="HX108" s="101"/>
      <c r="HY108" s="101"/>
      <c r="HZ108" s="101"/>
      <c r="IA108" s="101"/>
      <c r="IB108" s="101"/>
      <c r="IC108" s="101"/>
      <c r="ID108" s="101"/>
      <c r="IE108" s="101"/>
      <c r="IF108" s="101"/>
      <c r="IG108" s="101"/>
      <c r="IH108" s="101"/>
      <c r="II108" s="101"/>
      <c r="IJ108" s="101"/>
      <c r="IK108" s="101"/>
      <c r="IL108" s="101"/>
      <c r="IM108" s="101"/>
      <c r="IN108" s="101"/>
    </row>
    <row r="109" s="104" customFormat="1" ht="45" outlineLevel="1" spans="1:248">
      <c r="A109" s="117">
        <v>61</v>
      </c>
      <c r="B109" s="118" t="s">
        <v>1038</v>
      </c>
      <c r="C109" s="118" t="s">
        <v>909</v>
      </c>
      <c r="D109" s="119">
        <v>1</v>
      </c>
      <c r="E109" s="122">
        <f>400*0+(1*0.2+0.8/1*0.3+0.8/1.2*0.5)*400*0.85</f>
        <v>262.93</v>
      </c>
      <c r="F109" s="119">
        <f t="shared" si="3"/>
        <v>262.93</v>
      </c>
      <c r="G109" s="124"/>
      <c r="H109" s="10">
        <v>80</v>
      </c>
      <c r="I109" s="10">
        <v>80</v>
      </c>
      <c r="J109" s="124"/>
      <c r="K109" s="118" t="s">
        <v>1024</v>
      </c>
      <c r="L109" s="129" t="s">
        <v>1039</v>
      </c>
      <c r="M109" s="13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101"/>
      <c r="CW109" s="101"/>
      <c r="CX109" s="101"/>
      <c r="CY109" s="101"/>
      <c r="CZ109" s="101"/>
      <c r="DA109" s="101"/>
      <c r="DB109" s="101"/>
      <c r="DC109" s="101"/>
      <c r="DD109" s="101"/>
      <c r="DE109" s="101"/>
      <c r="DF109" s="101"/>
      <c r="DG109" s="101"/>
      <c r="DH109" s="101"/>
      <c r="DI109" s="101"/>
      <c r="DJ109" s="101"/>
      <c r="DK109" s="101"/>
      <c r="DL109" s="101"/>
      <c r="DM109" s="101"/>
      <c r="DN109" s="101"/>
      <c r="DO109" s="101"/>
      <c r="DP109" s="101"/>
      <c r="DQ109" s="101"/>
      <c r="DR109" s="101"/>
      <c r="DS109" s="101"/>
      <c r="DT109" s="101"/>
      <c r="DU109" s="101"/>
      <c r="DV109" s="101"/>
      <c r="DW109" s="101"/>
      <c r="DX109" s="101"/>
      <c r="DY109" s="101"/>
      <c r="DZ109" s="101"/>
      <c r="EA109" s="101"/>
      <c r="EB109" s="101"/>
      <c r="EC109" s="101"/>
      <c r="ED109" s="101"/>
      <c r="EE109" s="101"/>
      <c r="EF109" s="101"/>
      <c r="EG109" s="101"/>
      <c r="EH109" s="101"/>
      <c r="EI109" s="101"/>
      <c r="EJ109" s="101"/>
      <c r="EK109" s="101"/>
      <c r="EL109" s="101"/>
      <c r="EM109" s="101"/>
      <c r="EN109" s="101"/>
      <c r="EO109" s="101"/>
      <c r="EP109" s="101"/>
      <c r="EQ109" s="101"/>
      <c r="ER109" s="101"/>
      <c r="ES109" s="101"/>
      <c r="ET109" s="101"/>
      <c r="EU109" s="101"/>
      <c r="EV109" s="101"/>
      <c r="EW109" s="101"/>
      <c r="EX109" s="101"/>
      <c r="EY109" s="101"/>
      <c r="EZ109" s="101"/>
      <c r="FA109" s="101"/>
      <c r="FB109" s="101"/>
      <c r="FC109" s="101"/>
      <c r="FD109" s="101"/>
      <c r="FE109" s="101"/>
      <c r="FF109" s="101"/>
      <c r="FG109" s="101"/>
      <c r="FH109" s="101"/>
      <c r="FI109" s="101"/>
      <c r="FJ109" s="101"/>
      <c r="FK109" s="101"/>
      <c r="FL109" s="101"/>
      <c r="FM109" s="101"/>
      <c r="FN109" s="101"/>
      <c r="FO109" s="101"/>
      <c r="FP109" s="101"/>
      <c r="FQ109" s="101"/>
      <c r="FR109" s="101"/>
      <c r="FS109" s="101"/>
      <c r="FT109" s="101"/>
      <c r="FU109" s="101"/>
      <c r="FV109" s="101"/>
      <c r="FW109" s="101"/>
      <c r="FX109" s="101"/>
      <c r="FY109" s="101"/>
      <c r="FZ109" s="101"/>
      <c r="GA109" s="101"/>
      <c r="GB109" s="101"/>
      <c r="GC109" s="101"/>
      <c r="GD109" s="101"/>
      <c r="GE109" s="101"/>
      <c r="GF109" s="101"/>
      <c r="GG109" s="101"/>
      <c r="GH109" s="101"/>
      <c r="GI109" s="101"/>
      <c r="GJ109" s="101"/>
      <c r="GK109" s="101"/>
      <c r="GL109" s="101"/>
      <c r="GM109" s="101"/>
      <c r="GN109" s="101"/>
      <c r="GO109" s="101"/>
      <c r="GP109" s="101"/>
      <c r="GQ109" s="101"/>
      <c r="GR109" s="101"/>
      <c r="GS109" s="101"/>
      <c r="GT109" s="101"/>
      <c r="GU109" s="101"/>
      <c r="GV109" s="101"/>
      <c r="GW109" s="101"/>
      <c r="GX109" s="101"/>
      <c r="GY109" s="101"/>
      <c r="GZ109" s="101"/>
      <c r="HA109" s="101"/>
      <c r="HB109" s="101"/>
      <c r="HC109" s="101"/>
      <c r="HD109" s="101"/>
      <c r="HE109" s="101"/>
      <c r="HF109" s="101"/>
      <c r="HG109" s="101"/>
      <c r="HH109" s="101"/>
      <c r="HI109" s="101"/>
      <c r="HJ109" s="101"/>
      <c r="HK109" s="101"/>
      <c r="HL109" s="101"/>
      <c r="HM109" s="101"/>
      <c r="HN109" s="101"/>
      <c r="HO109" s="101"/>
      <c r="HP109" s="101"/>
      <c r="HQ109" s="101"/>
      <c r="HR109" s="101"/>
      <c r="HS109" s="101"/>
      <c r="HT109" s="101"/>
      <c r="HU109" s="101"/>
      <c r="HV109" s="101"/>
      <c r="HW109" s="101"/>
      <c r="HX109" s="101"/>
      <c r="HY109" s="101"/>
      <c r="HZ109" s="101"/>
      <c r="IA109" s="101"/>
      <c r="IB109" s="101"/>
      <c r="IC109" s="101"/>
      <c r="ID109" s="101"/>
      <c r="IE109" s="101"/>
      <c r="IF109" s="101"/>
      <c r="IG109" s="101"/>
      <c r="IH109" s="101"/>
      <c r="II109" s="101"/>
      <c r="IJ109" s="101"/>
      <c r="IK109" s="101"/>
      <c r="IL109" s="101"/>
      <c r="IM109" s="101"/>
      <c r="IN109" s="101"/>
    </row>
    <row r="110" s="104" customFormat="1" ht="45" outlineLevel="1" spans="1:248">
      <c r="A110" s="117">
        <v>62</v>
      </c>
      <c r="B110" s="118" t="s">
        <v>1038</v>
      </c>
      <c r="C110" s="118" t="s">
        <v>909</v>
      </c>
      <c r="D110" s="119">
        <v>1</v>
      </c>
      <c r="E110" s="122">
        <f>400*0+(1*0.2+1*0.3+0.9/1.2*0.5)*400*0.85</f>
        <v>297.5</v>
      </c>
      <c r="F110" s="119">
        <f t="shared" si="3"/>
        <v>297.5</v>
      </c>
      <c r="G110" s="124"/>
      <c r="H110" s="10">
        <v>100</v>
      </c>
      <c r="I110" s="10">
        <v>90</v>
      </c>
      <c r="J110" s="124"/>
      <c r="K110" s="118" t="s">
        <v>1024</v>
      </c>
      <c r="L110" s="129" t="s">
        <v>1039</v>
      </c>
      <c r="M110" s="13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1"/>
      <c r="DD110" s="101"/>
      <c r="DE110" s="101"/>
      <c r="DF110" s="101"/>
      <c r="DG110" s="101"/>
      <c r="DH110" s="101"/>
      <c r="DI110" s="101"/>
      <c r="DJ110" s="101"/>
      <c r="DK110" s="101"/>
      <c r="DL110" s="101"/>
      <c r="DM110" s="101"/>
      <c r="DN110" s="101"/>
      <c r="DO110" s="101"/>
      <c r="DP110" s="101"/>
      <c r="DQ110" s="101"/>
      <c r="DR110" s="101"/>
      <c r="DS110" s="101"/>
      <c r="DT110" s="101"/>
      <c r="DU110" s="101"/>
      <c r="DV110" s="101"/>
      <c r="DW110" s="101"/>
      <c r="DX110" s="101"/>
      <c r="DY110" s="101"/>
      <c r="DZ110" s="101"/>
      <c r="EA110" s="101"/>
      <c r="EB110" s="101"/>
      <c r="EC110" s="101"/>
      <c r="ED110" s="101"/>
      <c r="EE110" s="101"/>
      <c r="EF110" s="101"/>
      <c r="EG110" s="101"/>
      <c r="EH110" s="101"/>
      <c r="EI110" s="101"/>
      <c r="EJ110" s="101"/>
      <c r="EK110" s="101"/>
      <c r="EL110" s="101"/>
      <c r="EM110" s="101"/>
      <c r="EN110" s="101"/>
      <c r="EO110" s="101"/>
      <c r="EP110" s="101"/>
      <c r="EQ110" s="101"/>
      <c r="ER110" s="101"/>
      <c r="ES110" s="101"/>
      <c r="ET110" s="101"/>
      <c r="EU110" s="101"/>
      <c r="EV110" s="101"/>
      <c r="EW110" s="101"/>
      <c r="EX110" s="101"/>
      <c r="EY110" s="101"/>
      <c r="EZ110" s="101"/>
      <c r="FA110" s="101"/>
      <c r="FB110" s="101"/>
      <c r="FC110" s="101"/>
      <c r="FD110" s="101"/>
      <c r="FE110" s="101"/>
      <c r="FF110" s="101"/>
      <c r="FG110" s="101"/>
      <c r="FH110" s="101"/>
      <c r="FI110" s="101"/>
      <c r="FJ110" s="101"/>
      <c r="FK110" s="101"/>
      <c r="FL110" s="101"/>
      <c r="FM110" s="101"/>
      <c r="FN110" s="101"/>
      <c r="FO110" s="101"/>
      <c r="FP110" s="101"/>
      <c r="FQ110" s="101"/>
      <c r="FR110" s="101"/>
      <c r="FS110" s="101"/>
      <c r="FT110" s="101"/>
      <c r="FU110" s="101"/>
      <c r="FV110" s="101"/>
      <c r="FW110" s="101"/>
      <c r="FX110" s="101"/>
      <c r="FY110" s="101"/>
      <c r="FZ110" s="101"/>
      <c r="GA110" s="101"/>
      <c r="GB110" s="101"/>
      <c r="GC110" s="101"/>
      <c r="GD110" s="101"/>
      <c r="GE110" s="101"/>
      <c r="GF110" s="101"/>
      <c r="GG110" s="101"/>
      <c r="GH110" s="101"/>
      <c r="GI110" s="101"/>
      <c r="GJ110" s="101"/>
      <c r="GK110" s="101"/>
      <c r="GL110" s="101"/>
      <c r="GM110" s="101"/>
      <c r="GN110" s="101"/>
      <c r="GO110" s="101"/>
      <c r="GP110" s="101"/>
      <c r="GQ110" s="101"/>
      <c r="GR110" s="101"/>
      <c r="GS110" s="101"/>
      <c r="GT110" s="101"/>
      <c r="GU110" s="101"/>
      <c r="GV110" s="101"/>
      <c r="GW110" s="101"/>
      <c r="GX110" s="101"/>
      <c r="GY110" s="101"/>
      <c r="GZ110" s="101"/>
      <c r="HA110" s="101"/>
      <c r="HB110" s="101"/>
      <c r="HC110" s="101"/>
      <c r="HD110" s="101"/>
      <c r="HE110" s="101"/>
      <c r="HF110" s="101"/>
      <c r="HG110" s="101"/>
      <c r="HH110" s="101"/>
      <c r="HI110" s="101"/>
      <c r="HJ110" s="101"/>
      <c r="HK110" s="101"/>
      <c r="HL110" s="101"/>
      <c r="HM110" s="101"/>
      <c r="HN110" s="101"/>
      <c r="HO110" s="101"/>
      <c r="HP110" s="101"/>
      <c r="HQ110" s="101"/>
      <c r="HR110" s="101"/>
      <c r="HS110" s="101"/>
      <c r="HT110" s="101"/>
      <c r="HU110" s="101"/>
      <c r="HV110" s="101"/>
      <c r="HW110" s="101"/>
      <c r="HX110" s="101"/>
      <c r="HY110" s="101"/>
      <c r="HZ110" s="101"/>
      <c r="IA110" s="101"/>
      <c r="IB110" s="101"/>
      <c r="IC110" s="101"/>
      <c r="ID110" s="101"/>
      <c r="IE110" s="101"/>
      <c r="IF110" s="101"/>
      <c r="IG110" s="101"/>
      <c r="IH110" s="101"/>
      <c r="II110" s="101"/>
      <c r="IJ110" s="101"/>
      <c r="IK110" s="101"/>
      <c r="IL110" s="101"/>
      <c r="IM110" s="101"/>
      <c r="IN110" s="101"/>
    </row>
    <row r="111" s="104" customFormat="1" ht="45" outlineLevel="1" spans="1:248">
      <c r="A111" s="117">
        <v>63</v>
      </c>
      <c r="B111" s="118" t="s">
        <v>1038</v>
      </c>
      <c r="C111" s="118" t="s">
        <v>909</v>
      </c>
      <c r="D111" s="119">
        <v>1</v>
      </c>
      <c r="E111" s="122">
        <f>400*0+(1*0.2+1*0.3+1.1/1.2*0.5)*400*0.85</f>
        <v>325.83</v>
      </c>
      <c r="F111" s="119">
        <f t="shared" si="3"/>
        <v>325.83</v>
      </c>
      <c r="G111" s="124"/>
      <c r="H111" s="10">
        <v>100</v>
      </c>
      <c r="I111" s="10">
        <v>110</v>
      </c>
      <c r="J111" s="124"/>
      <c r="K111" s="118" t="s">
        <v>1024</v>
      </c>
      <c r="L111" s="129" t="s">
        <v>1039</v>
      </c>
      <c r="M111" s="13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1"/>
      <c r="DD111" s="101"/>
      <c r="DE111" s="101"/>
      <c r="DF111" s="101"/>
      <c r="DG111" s="101"/>
      <c r="DH111" s="101"/>
      <c r="DI111" s="101"/>
      <c r="DJ111" s="101"/>
      <c r="DK111" s="101"/>
      <c r="DL111" s="101"/>
      <c r="DM111" s="101"/>
      <c r="DN111" s="101"/>
      <c r="DO111" s="101"/>
      <c r="DP111" s="101"/>
      <c r="DQ111" s="101"/>
      <c r="DR111" s="101"/>
      <c r="DS111" s="101"/>
      <c r="DT111" s="101"/>
      <c r="DU111" s="101"/>
      <c r="DV111" s="101"/>
      <c r="DW111" s="101"/>
      <c r="DX111" s="101"/>
      <c r="DY111" s="101"/>
      <c r="DZ111" s="101"/>
      <c r="EA111" s="101"/>
      <c r="EB111" s="101"/>
      <c r="EC111" s="101"/>
      <c r="ED111" s="101"/>
      <c r="EE111" s="101"/>
      <c r="EF111" s="101"/>
      <c r="EG111" s="101"/>
      <c r="EH111" s="101"/>
      <c r="EI111" s="101"/>
      <c r="EJ111" s="101"/>
      <c r="EK111" s="101"/>
      <c r="EL111" s="101"/>
      <c r="EM111" s="101"/>
      <c r="EN111" s="101"/>
      <c r="EO111" s="101"/>
      <c r="EP111" s="101"/>
      <c r="EQ111" s="101"/>
      <c r="ER111" s="101"/>
      <c r="ES111" s="101"/>
      <c r="ET111" s="101"/>
      <c r="EU111" s="101"/>
      <c r="EV111" s="101"/>
      <c r="EW111" s="101"/>
      <c r="EX111" s="101"/>
      <c r="EY111" s="101"/>
      <c r="EZ111" s="101"/>
      <c r="FA111" s="101"/>
      <c r="FB111" s="101"/>
      <c r="FC111" s="101"/>
      <c r="FD111" s="101"/>
      <c r="FE111" s="101"/>
      <c r="FF111" s="101"/>
      <c r="FG111" s="101"/>
      <c r="FH111" s="101"/>
      <c r="FI111" s="101"/>
      <c r="FJ111" s="101"/>
      <c r="FK111" s="101"/>
      <c r="FL111" s="101"/>
      <c r="FM111" s="101"/>
      <c r="FN111" s="101"/>
      <c r="FO111" s="101"/>
      <c r="FP111" s="101"/>
      <c r="FQ111" s="101"/>
      <c r="FR111" s="101"/>
      <c r="FS111" s="101"/>
      <c r="FT111" s="101"/>
      <c r="FU111" s="101"/>
      <c r="FV111" s="101"/>
      <c r="FW111" s="101"/>
      <c r="FX111" s="101"/>
      <c r="FY111" s="101"/>
      <c r="FZ111" s="101"/>
      <c r="GA111" s="101"/>
      <c r="GB111" s="101"/>
      <c r="GC111" s="101"/>
      <c r="GD111" s="101"/>
      <c r="GE111" s="101"/>
      <c r="GF111" s="101"/>
      <c r="GG111" s="101"/>
      <c r="GH111" s="101"/>
      <c r="GI111" s="101"/>
      <c r="GJ111" s="101"/>
      <c r="GK111" s="101"/>
      <c r="GL111" s="101"/>
      <c r="GM111" s="101"/>
      <c r="GN111" s="101"/>
      <c r="GO111" s="101"/>
      <c r="GP111" s="101"/>
      <c r="GQ111" s="101"/>
      <c r="GR111" s="101"/>
      <c r="GS111" s="101"/>
      <c r="GT111" s="101"/>
      <c r="GU111" s="101"/>
      <c r="GV111" s="101"/>
      <c r="GW111" s="101"/>
      <c r="GX111" s="101"/>
      <c r="GY111" s="101"/>
      <c r="GZ111" s="101"/>
      <c r="HA111" s="101"/>
      <c r="HB111" s="101"/>
      <c r="HC111" s="101"/>
      <c r="HD111" s="101"/>
      <c r="HE111" s="101"/>
      <c r="HF111" s="101"/>
      <c r="HG111" s="101"/>
      <c r="HH111" s="101"/>
      <c r="HI111" s="101"/>
      <c r="HJ111" s="101"/>
      <c r="HK111" s="101"/>
      <c r="HL111" s="101"/>
      <c r="HM111" s="101"/>
      <c r="HN111" s="101"/>
      <c r="HO111" s="101"/>
      <c r="HP111" s="101"/>
      <c r="HQ111" s="101"/>
      <c r="HR111" s="101"/>
      <c r="HS111" s="101"/>
      <c r="HT111" s="101"/>
      <c r="HU111" s="101"/>
      <c r="HV111" s="101"/>
      <c r="HW111" s="101"/>
      <c r="HX111" s="101"/>
      <c r="HY111" s="101"/>
      <c r="HZ111" s="101"/>
      <c r="IA111" s="101"/>
      <c r="IB111" s="101"/>
      <c r="IC111" s="101"/>
      <c r="ID111" s="101"/>
      <c r="IE111" s="101"/>
      <c r="IF111" s="101"/>
      <c r="IG111" s="101"/>
      <c r="IH111" s="101"/>
      <c r="II111" s="101"/>
      <c r="IJ111" s="101"/>
      <c r="IK111" s="101"/>
      <c r="IL111" s="101"/>
      <c r="IM111" s="101"/>
      <c r="IN111" s="101"/>
    </row>
    <row r="112" s="104" customFormat="1" ht="45" outlineLevel="1" spans="1:248">
      <c r="A112" s="117">
        <v>64</v>
      </c>
      <c r="B112" s="118" t="s">
        <v>1038</v>
      </c>
      <c r="C112" s="118" t="s">
        <v>909</v>
      </c>
      <c r="D112" s="119">
        <v>1</v>
      </c>
      <c r="E112" s="122">
        <f>400*0+(1*0.2+1*0.3+1/1.2*0.5)*400*0.85</f>
        <v>311.67</v>
      </c>
      <c r="F112" s="119">
        <f t="shared" si="3"/>
        <v>311.67</v>
      </c>
      <c r="G112" s="124"/>
      <c r="H112" s="10">
        <v>100</v>
      </c>
      <c r="I112" s="10">
        <v>100</v>
      </c>
      <c r="J112" s="124"/>
      <c r="K112" s="118" t="s">
        <v>1024</v>
      </c>
      <c r="L112" s="129" t="s">
        <v>1039</v>
      </c>
      <c r="M112" s="13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1"/>
      <c r="CV112" s="101"/>
      <c r="CW112" s="101"/>
      <c r="CX112" s="101"/>
      <c r="CY112" s="101"/>
      <c r="CZ112" s="101"/>
      <c r="DA112" s="101"/>
      <c r="DB112" s="101"/>
      <c r="DC112" s="101"/>
      <c r="DD112" s="101"/>
      <c r="DE112" s="101"/>
      <c r="DF112" s="101"/>
      <c r="DG112" s="101"/>
      <c r="DH112" s="101"/>
      <c r="DI112" s="101"/>
      <c r="DJ112" s="101"/>
      <c r="DK112" s="101"/>
      <c r="DL112" s="101"/>
      <c r="DM112" s="101"/>
      <c r="DN112" s="101"/>
      <c r="DO112" s="101"/>
      <c r="DP112" s="101"/>
      <c r="DQ112" s="101"/>
      <c r="DR112" s="101"/>
      <c r="DS112" s="101"/>
      <c r="DT112" s="101"/>
      <c r="DU112" s="101"/>
      <c r="DV112" s="101"/>
      <c r="DW112" s="101"/>
      <c r="DX112" s="101"/>
      <c r="DY112" s="101"/>
      <c r="DZ112" s="101"/>
      <c r="EA112" s="101"/>
      <c r="EB112" s="101"/>
      <c r="EC112" s="101"/>
      <c r="ED112" s="101"/>
      <c r="EE112" s="101"/>
      <c r="EF112" s="101"/>
      <c r="EG112" s="101"/>
      <c r="EH112" s="101"/>
      <c r="EI112" s="101"/>
      <c r="EJ112" s="101"/>
      <c r="EK112" s="101"/>
      <c r="EL112" s="101"/>
      <c r="EM112" s="101"/>
      <c r="EN112" s="101"/>
      <c r="EO112" s="101"/>
      <c r="EP112" s="101"/>
      <c r="EQ112" s="101"/>
      <c r="ER112" s="101"/>
      <c r="ES112" s="101"/>
      <c r="ET112" s="101"/>
      <c r="EU112" s="101"/>
      <c r="EV112" s="101"/>
      <c r="EW112" s="101"/>
      <c r="EX112" s="101"/>
      <c r="EY112" s="101"/>
      <c r="EZ112" s="101"/>
      <c r="FA112" s="101"/>
      <c r="FB112" s="101"/>
      <c r="FC112" s="101"/>
      <c r="FD112" s="101"/>
      <c r="FE112" s="101"/>
      <c r="FF112" s="101"/>
      <c r="FG112" s="101"/>
      <c r="FH112" s="101"/>
      <c r="FI112" s="101"/>
      <c r="FJ112" s="101"/>
      <c r="FK112" s="101"/>
      <c r="FL112" s="101"/>
      <c r="FM112" s="101"/>
      <c r="FN112" s="101"/>
      <c r="FO112" s="101"/>
      <c r="FP112" s="101"/>
      <c r="FQ112" s="101"/>
      <c r="FR112" s="101"/>
      <c r="FS112" s="101"/>
      <c r="FT112" s="101"/>
      <c r="FU112" s="101"/>
      <c r="FV112" s="101"/>
      <c r="FW112" s="101"/>
      <c r="FX112" s="101"/>
      <c r="FY112" s="101"/>
      <c r="FZ112" s="101"/>
      <c r="GA112" s="101"/>
      <c r="GB112" s="101"/>
      <c r="GC112" s="101"/>
      <c r="GD112" s="101"/>
      <c r="GE112" s="101"/>
      <c r="GF112" s="101"/>
      <c r="GG112" s="101"/>
      <c r="GH112" s="101"/>
      <c r="GI112" s="101"/>
      <c r="GJ112" s="101"/>
      <c r="GK112" s="101"/>
      <c r="GL112" s="101"/>
      <c r="GM112" s="101"/>
      <c r="GN112" s="101"/>
      <c r="GO112" s="101"/>
      <c r="GP112" s="101"/>
      <c r="GQ112" s="101"/>
      <c r="GR112" s="101"/>
      <c r="GS112" s="101"/>
      <c r="GT112" s="101"/>
      <c r="GU112" s="101"/>
      <c r="GV112" s="101"/>
      <c r="GW112" s="101"/>
      <c r="GX112" s="101"/>
      <c r="GY112" s="101"/>
      <c r="GZ112" s="101"/>
      <c r="HA112" s="101"/>
      <c r="HB112" s="101"/>
      <c r="HC112" s="101"/>
      <c r="HD112" s="101"/>
      <c r="HE112" s="101"/>
      <c r="HF112" s="101"/>
      <c r="HG112" s="101"/>
      <c r="HH112" s="101"/>
      <c r="HI112" s="101"/>
      <c r="HJ112" s="101"/>
      <c r="HK112" s="101"/>
      <c r="HL112" s="101"/>
      <c r="HM112" s="101"/>
      <c r="HN112" s="101"/>
      <c r="HO112" s="101"/>
      <c r="HP112" s="101"/>
      <c r="HQ112" s="101"/>
      <c r="HR112" s="101"/>
      <c r="HS112" s="101"/>
      <c r="HT112" s="101"/>
      <c r="HU112" s="101"/>
      <c r="HV112" s="101"/>
      <c r="HW112" s="101"/>
      <c r="HX112" s="101"/>
      <c r="HY112" s="101"/>
      <c r="HZ112" s="101"/>
      <c r="IA112" s="101"/>
      <c r="IB112" s="101"/>
      <c r="IC112" s="101"/>
      <c r="ID112" s="101"/>
      <c r="IE112" s="101"/>
      <c r="IF112" s="101"/>
      <c r="IG112" s="101"/>
      <c r="IH112" s="101"/>
      <c r="II112" s="101"/>
      <c r="IJ112" s="101"/>
      <c r="IK112" s="101"/>
      <c r="IL112" s="101"/>
      <c r="IM112" s="101"/>
      <c r="IN112" s="101"/>
    </row>
    <row r="113" s="104" customFormat="1" ht="45" outlineLevel="1" spans="1:248">
      <c r="A113" s="117">
        <v>65</v>
      </c>
      <c r="B113" s="118" t="s">
        <v>1038</v>
      </c>
      <c r="C113" s="118" t="s">
        <v>909</v>
      </c>
      <c r="D113" s="119">
        <v>2</v>
      </c>
      <c r="E113" s="122">
        <f>400*0+(1*0.2+1*0.3+0.9/1.2*0.5)*400*0.85</f>
        <v>297.5</v>
      </c>
      <c r="F113" s="119">
        <f t="shared" si="3"/>
        <v>595</v>
      </c>
      <c r="G113" s="124"/>
      <c r="H113" s="10">
        <v>110</v>
      </c>
      <c r="I113" s="10">
        <v>90</v>
      </c>
      <c r="J113" s="124"/>
      <c r="K113" s="118" t="s">
        <v>1024</v>
      </c>
      <c r="L113" s="129" t="s">
        <v>1039</v>
      </c>
      <c r="M113" s="13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  <c r="CV113" s="101"/>
      <c r="CW113" s="101"/>
      <c r="CX113" s="101"/>
      <c r="CY113" s="101"/>
      <c r="CZ113" s="101"/>
      <c r="DA113" s="101"/>
      <c r="DB113" s="101"/>
      <c r="DC113" s="101"/>
      <c r="DD113" s="101"/>
      <c r="DE113" s="101"/>
      <c r="DF113" s="101"/>
      <c r="DG113" s="101"/>
      <c r="DH113" s="101"/>
      <c r="DI113" s="101"/>
      <c r="DJ113" s="101"/>
      <c r="DK113" s="101"/>
      <c r="DL113" s="101"/>
      <c r="DM113" s="101"/>
      <c r="DN113" s="101"/>
      <c r="DO113" s="101"/>
      <c r="DP113" s="101"/>
      <c r="DQ113" s="101"/>
      <c r="DR113" s="101"/>
      <c r="DS113" s="101"/>
      <c r="DT113" s="101"/>
      <c r="DU113" s="101"/>
      <c r="DV113" s="101"/>
      <c r="DW113" s="101"/>
      <c r="DX113" s="101"/>
      <c r="DY113" s="101"/>
      <c r="DZ113" s="101"/>
      <c r="EA113" s="101"/>
      <c r="EB113" s="101"/>
      <c r="EC113" s="101"/>
      <c r="ED113" s="101"/>
      <c r="EE113" s="101"/>
      <c r="EF113" s="101"/>
      <c r="EG113" s="101"/>
      <c r="EH113" s="101"/>
      <c r="EI113" s="101"/>
      <c r="EJ113" s="101"/>
      <c r="EK113" s="101"/>
      <c r="EL113" s="101"/>
      <c r="EM113" s="101"/>
      <c r="EN113" s="101"/>
      <c r="EO113" s="101"/>
      <c r="EP113" s="101"/>
      <c r="EQ113" s="101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  <c r="FW113" s="101"/>
      <c r="FX113" s="101"/>
      <c r="FY113" s="101"/>
      <c r="FZ113" s="101"/>
      <c r="GA113" s="101"/>
      <c r="GB113" s="101"/>
      <c r="GC113" s="101"/>
      <c r="GD113" s="101"/>
      <c r="GE113" s="101"/>
      <c r="GF113" s="101"/>
      <c r="GG113" s="101"/>
      <c r="GH113" s="101"/>
      <c r="GI113" s="101"/>
      <c r="GJ113" s="101"/>
      <c r="GK113" s="101"/>
      <c r="GL113" s="101"/>
      <c r="GM113" s="101"/>
      <c r="GN113" s="101"/>
      <c r="GO113" s="101"/>
      <c r="GP113" s="101"/>
      <c r="GQ113" s="101"/>
      <c r="GR113" s="101"/>
      <c r="GS113" s="101"/>
      <c r="GT113" s="101"/>
      <c r="GU113" s="101"/>
      <c r="GV113" s="101"/>
      <c r="GW113" s="101"/>
      <c r="GX113" s="101"/>
      <c r="GY113" s="101"/>
      <c r="GZ113" s="101"/>
      <c r="HA113" s="101"/>
      <c r="HB113" s="101"/>
      <c r="HC113" s="101"/>
      <c r="HD113" s="101"/>
      <c r="HE113" s="101"/>
      <c r="HF113" s="101"/>
      <c r="HG113" s="101"/>
      <c r="HH113" s="101"/>
      <c r="HI113" s="101"/>
      <c r="HJ113" s="101"/>
      <c r="HK113" s="101"/>
      <c r="HL113" s="101"/>
      <c r="HM113" s="101"/>
      <c r="HN113" s="101"/>
      <c r="HO113" s="101"/>
      <c r="HP113" s="101"/>
      <c r="HQ113" s="101"/>
      <c r="HR113" s="101"/>
      <c r="HS113" s="101"/>
      <c r="HT113" s="101"/>
      <c r="HU113" s="101"/>
      <c r="HV113" s="101"/>
      <c r="HW113" s="101"/>
      <c r="HX113" s="101"/>
      <c r="HY113" s="101"/>
      <c r="HZ113" s="101"/>
      <c r="IA113" s="101"/>
      <c r="IB113" s="101"/>
      <c r="IC113" s="101"/>
      <c r="ID113" s="101"/>
      <c r="IE113" s="101"/>
      <c r="IF113" s="101"/>
      <c r="IG113" s="101"/>
      <c r="IH113" s="101"/>
      <c r="II113" s="101"/>
      <c r="IJ113" s="101"/>
      <c r="IK113" s="101"/>
      <c r="IL113" s="101"/>
      <c r="IM113" s="101"/>
      <c r="IN113" s="101"/>
    </row>
    <row r="114" s="104" customFormat="1" spans="1:248">
      <c r="A114" s="114" t="s">
        <v>1040</v>
      </c>
      <c r="B114" s="124"/>
      <c r="C114" s="124"/>
      <c r="D114" s="125"/>
      <c r="E114" s="120"/>
      <c r="F114" s="116">
        <f>SUM(F115:F130)</f>
        <v>324362.25</v>
      </c>
      <c r="G114" s="124"/>
      <c r="H114" s="124"/>
      <c r="I114" s="124"/>
      <c r="J114" s="124"/>
      <c r="K114" s="124"/>
      <c r="L114" s="129"/>
      <c r="M114" s="108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1"/>
      <c r="BZ114" s="101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  <c r="CV114" s="101"/>
      <c r="CW114" s="101"/>
      <c r="CX114" s="101"/>
      <c r="CY114" s="101"/>
      <c r="CZ114" s="101"/>
      <c r="DA114" s="101"/>
      <c r="DB114" s="101"/>
      <c r="DC114" s="101"/>
      <c r="DD114" s="101"/>
      <c r="DE114" s="101"/>
      <c r="DF114" s="101"/>
      <c r="DG114" s="101"/>
      <c r="DH114" s="101"/>
      <c r="DI114" s="101"/>
      <c r="DJ114" s="101"/>
      <c r="DK114" s="101"/>
      <c r="DL114" s="101"/>
      <c r="DM114" s="101"/>
      <c r="DN114" s="101"/>
      <c r="DO114" s="101"/>
      <c r="DP114" s="101"/>
      <c r="DQ114" s="101"/>
      <c r="DR114" s="101"/>
      <c r="DS114" s="101"/>
      <c r="DT114" s="101"/>
      <c r="DU114" s="101"/>
      <c r="DV114" s="101"/>
      <c r="DW114" s="101"/>
      <c r="DX114" s="101"/>
      <c r="DY114" s="101"/>
      <c r="DZ114" s="101"/>
      <c r="EA114" s="101"/>
      <c r="EB114" s="101"/>
      <c r="EC114" s="101"/>
      <c r="ED114" s="101"/>
      <c r="EE114" s="101"/>
      <c r="EF114" s="101"/>
      <c r="EG114" s="101"/>
      <c r="EH114" s="101"/>
      <c r="EI114" s="101"/>
      <c r="EJ114" s="101"/>
      <c r="EK114" s="101"/>
      <c r="EL114" s="101"/>
      <c r="EM114" s="101"/>
      <c r="EN114" s="101"/>
      <c r="EO114" s="101"/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01"/>
      <c r="FG114" s="101"/>
      <c r="FH114" s="101"/>
      <c r="FI114" s="101"/>
      <c r="FJ114" s="101"/>
      <c r="FK114" s="101"/>
      <c r="FL114" s="101"/>
      <c r="FM114" s="101"/>
      <c r="FN114" s="101"/>
      <c r="FO114" s="101"/>
      <c r="FP114" s="101"/>
      <c r="FQ114" s="101"/>
      <c r="FR114" s="101"/>
      <c r="FS114" s="101"/>
      <c r="FT114" s="101"/>
      <c r="FU114" s="101"/>
      <c r="FV114" s="101"/>
      <c r="FW114" s="101"/>
      <c r="FX114" s="101"/>
      <c r="FY114" s="101"/>
      <c r="FZ114" s="101"/>
      <c r="GA114" s="101"/>
      <c r="GB114" s="101"/>
      <c r="GC114" s="101"/>
      <c r="GD114" s="101"/>
      <c r="GE114" s="101"/>
      <c r="GF114" s="101"/>
      <c r="GG114" s="101"/>
      <c r="GH114" s="101"/>
      <c r="GI114" s="101"/>
      <c r="GJ114" s="101"/>
      <c r="GK114" s="101"/>
      <c r="GL114" s="101"/>
      <c r="GM114" s="101"/>
      <c r="GN114" s="101"/>
      <c r="GO114" s="101"/>
      <c r="GP114" s="101"/>
      <c r="GQ114" s="101"/>
      <c r="GR114" s="101"/>
      <c r="GS114" s="101"/>
      <c r="GT114" s="101"/>
      <c r="GU114" s="101"/>
      <c r="GV114" s="101"/>
      <c r="GW114" s="101"/>
      <c r="GX114" s="101"/>
      <c r="GY114" s="101"/>
      <c r="GZ114" s="101"/>
      <c r="HA114" s="101"/>
      <c r="HB114" s="101"/>
      <c r="HC114" s="101"/>
      <c r="HD114" s="101"/>
      <c r="HE114" s="101"/>
      <c r="HF114" s="101"/>
      <c r="HG114" s="101"/>
      <c r="HH114" s="101"/>
      <c r="HI114" s="101"/>
      <c r="HJ114" s="101"/>
      <c r="HK114" s="101"/>
      <c r="HL114" s="101"/>
      <c r="HM114" s="101"/>
      <c r="HN114" s="101"/>
      <c r="HO114" s="101"/>
      <c r="HP114" s="101"/>
      <c r="HQ114" s="101"/>
      <c r="HR114" s="101"/>
      <c r="HS114" s="101"/>
      <c r="HT114" s="101"/>
      <c r="HU114" s="101"/>
      <c r="HV114" s="101"/>
      <c r="HW114" s="101"/>
      <c r="HX114" s="101"/>
      <c r="HY114" s="101"/>
      <c r="HZ114" s="101"/>
      <c r="IA114" s="101"/>
      <c r="IB114" s="101"/>
      <c r="IC114" s="101"/>
      <c r="ID114" s="101"/>
      <c r="IE114" s="101"/>
      <c r="IF114" s="101"/>
      <c r="IG114" s="101"/>
      <c r="IH114" s="101"/>
      <c r="II114" s="101"/>
      <c r="IJ114" s="101"/>
      <c r="IK114" s="101"/>
      <c r="IL114" s="101"/>
      <c r="IM114" s="101"/>
      <c r="IN114" s="101"/>
    </row>
    <row r="115" s="104" customFormat="1" ht="67.5" outlineLevel="1" spans="1:248">
      <c r="A115" s="117">
        <v>1</v>
      </c>
      <c r="B115" s="118" t="s">
        <v>1041</v>
      </c>
      <c r="C115" s="118" t="s">
        <v>1000</v>
      </c>
      <c r="D115" s="119">
        <v>25.52</v>
      </c>
      <c r="E115" s="120">
        <v>220</v>
      </c>
      <c r="F115" s="119">
        <f>E115*D115</f>
        <v>5614.4</v>
      </c>
      <c r="G115" s="124"/>
      <c r="H115" s="118" t="s">
        <v>1042</v>
      </c>
      <c r="I115" s="118" t="s">
        <v>1042</v>
      </c>
      <c r="J115" s="124"/>
      <c r="K115" s="118" t="s">
        <v>1043</v>
      </c>
      <c r="L115" s="129"/>
      <c r="M115" s="108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1"/>
      <c r="BZ115" s="101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/>
      <c r="CS115" s="101"/>
      <c r="CT115" s="101"/>
      <c r="CU115" s="101"/>
      <c r="CV115" s="101"/>
      <c r="CW115" s="101"/>
      <c r="CX115" s="101"/>
      <c r="CY115" s="101"/>
      <c r="CZ115" s="101"/>
      <c r="DA115" s="101"/>
      <c r="DB115" s="101"/>
      <c r="DC115" s="101"/>
      <c r="DD115" s="101"/>
      <c r="DE115" s="101"/>
      <c r="DF115" s="101"/>
      <c r="DG115" s="101"/>
      <c r="DH115" s="101"/>
      <c r="DI115" s="101"/>
      <c r="DJ115" s="101"/>
      <c r="DK115" s="101"/>
      <c r="DL115" s="101"/>
      <c r="DM115" s="101"/>
      <c r="DN115" s="101"/>
      <c r="DO115" s="101"/>
      <c r="DP115" s="101"/>
      <c r="DQ115" s="101"/>
      <c r="DR115" s="101"/>
      <c r="DS115" s="101"/>
      <c r="DT115" s="101"/>
      <c r="DU115" s="101"/>
      <c r="DV115" s="101"/>
      <c r="DW115" s="101"/>
      <c r="DX115" s="101"/>
      <c r="DY115" s="101"/>
      <c r="DZ115" s="101"/>
      <c r="EA115" s="101"/>
      <c r="EB115" s="101"/>
      <c r="EC115" s="101"/>
      <c r="ED115" s="101"/>
      <c r="EE115" s="101"/>
      <c r="EF115" s="101"/>
      <c r="EG115" s="101"/>
      <c r="EH115" s="101"/>
      <c r="EI115" s="101"/>
      <c r="EJ115" s="101"/>
      <c r="EK115" s="101"/>
      <c r="EL115" s="101"/>
      <c r="EM115" s="101"/>
      <c r="EN115" s="101"/>
      <c r="EO115" s="101"/>
      <c r="EP115" s="101"/>
      <c r="EQ115" s="101"/>
      <c r="ER115" s="101"/>
      <c r="ES115" s="101"/>
      <c r="ET115" s="101"/>
      <c r="EU115" s="101"/>
      <c r="EV115" s="101"/>
      <c r="EW115" s="101"/>
      <c r="EX115" s="101"/>
      <c r="EY115" s="101"/>
      <c r="EZ115" s="101"/>
      <c r="FA115" s="101"/>
      <c r="FB115" s="101"/>
      <c r="FC115" s="101"/>
      <c r="FD115" s="101"/>
      <c r="FE115" s="101"/>
      <c r="FF115" s="101"/>
      <c r="FG115" s="101"/>
      <c r="FH115" s="101"/>
      <c r="FI115" s="101"/>
      <c r="FJ115" s="101"/>
      <c r="FK115" s="101"/>
      <c r="FL115" s="101"/>
      <c r="FM115" s="101"/>
      <c r="FN115" s="101"/>
      <c r="FO115" s="101"/>
      <c r="FP115" s="101"/>
      <c r="FQ115" s="101"/>
      <c r="FR115" s="101"/>
      <c r="FS115" s="101"/>
      <c r="FT115" s="101"/>
      <c r="FU115" s="101"/>
      <c r="FV115" s="101"/>
      <c r="FW115" s="101"/>
      <c r="FX115" s="101"/>
      <c r="FY115" s="101"/>
      <c r="FZ115" s="101"/>
      <c r="GA115" s="101"/>
      <c r="GB115" s="101"/>
      <c r="GC115" s="101"/>
      <c r="GD115" s="101"/>
      <c r="GE115" s="101"/>
      <c r="GF115" s="101"/>
      <c r="GG115" s="101"/>
      <c r="GH115" s="101"/>
      <c r="GI115" s="101"/>
      <c r="GJ115" s="101"/>
      <c r="GK115" s="101"/>
      <c r="GL115" s="101"/>
      <c r="GM115" s="101"/>
      <c r="GN115" s="101"/>
      <c r="GO115" s="101"/>
      <c r="GP115" s="101"/>
      <c r="GQ115" s="101"/>
      <c r="GR115" s="101"/>
      <c r="GS115" s="101"/>
      <c r="GT115" s="101"/>
      <c r="GU115" s="101"/>
      <c r="GV115" s="101"/>
      <c r="GW115" s="101"/>
      <c r="GX115" s="101"/>
      <c r="GY115" s="101"/>
      <c r="GZ115" s="101"/>
      <c r="HA115" s="101"/>
      <c r="HB115" s="101"/>
      <c r="HC115" s="101"/>
      <c r="HD115" s="101"/>
      <c r="HE115" s="101"/>
      <c r="HF115" s="101"/>
      <c r="HG115" s="101"/>
      <c r="HH115" s="101"/>
      <c r="HI115" s="101"/>
      <c r="HJ115" s="101"/>
      <c r="HK115" s="101"/>
      <c r="HL115" s="101"/>
      <c r="HM115" s="101"/>
      <c r="HN115" s="101"/>
      <c r="HO115" s="101"/>
      <c r="HP115" s="101"/>
      <c r="HQ115" s="101"/>
      <c r="HR115" s="101"/>
      <c r="HS115" s="101"/>
      <c r="HT115" s="101"/>
      <c r="HU115" s="101"/>
      <c r="HV115" s="101"/>
      <c r="HW115" s="101"/>
      <c r="HX115" s="101"/>
      <c r="HY115" s="101"/>
      <c r="HZ115" s="101"/>
      <c r="IA115" s="101"/>
      <c r="IB115" s="101"/>
      <c r="IC115" s="101"/>
      <c r="ID115" s="101"/>
      <c r="IE115" s="101"/>
      <c r="IF115" s="101"/>
      <c r="IG115" s="101"/>
      <c r="IH115" s="101"/>
      <c r="II115" s="101"/>
      <c r="IJ115" s="101"/>
      <c r="IK115" s="101"/>
      <c r="IL115" s="101"/>
      <c r="IM115" s="101"/>
      <c r="IN115" s="101"/>
    </row>
    <row r="116" s="104" customFormat="1" ht="78.75" outlineLevel="1" spans="1:248">
      <c r="A116" s="117">
        <v>2</v>
      </c>
      <c r="B116" s="118" t="s">
        <v>1044</v>
      </c>
      <c r="C116" s="118" t="s">
        <v>1000</v>
      </c>
      <c r="D116" s="119">
        <f>7.57+9.98</f>
        <v>17.55</v>
      </c>
      <c r="E116" s="120">
        <v>205</v>
      </c>
      <c r="F116" s="119">
        <f t="shared" ref="F116:F130" si="5">E116*D116</f>
        <v>3597.75</v>
      </c>
      <c r="G116" s="124"/>
      <c r="H116" s="118" t="s">
        <v>1045</v>
      </c>
      <c r="I116" s="118" t="s">
        <v>1042</v>
      </c>
      <c r="J116" s="124"/>
      <c r="K116" s="118" t="s">
        <v>1046</v>
      </c>
      <c r="L116" s="129"/>
      <c r="M116" s="108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/>
      <c r="CW116" s="101"/>
      <c r="CX116" s="101"/>
      <c r="CY116" s="101"/>
      <c r="CZ116" s="101"/>
      <c r="DA116" s="101"/>
      <c r="DB116" s="101"/>
      <c r="DC116" s="101"/>
      <c r="DD116" s="101"/>
      <c r="DE116" s="101"/>
      <c r="DF116" s="101"/>
      <c r="DG116" s="101"/>
      <c r="DH116" s="101"/>
      <c r="DI116" s="101"/>
      <c r="DJ116" s="101"/>
      <c r="DK116" s="101"/>
      <c r="DL116" s="101"/>
      <c r="DM116" s="101"/>
      <c r="DN116" s="101"/>
      <c r="DO116" s="101"/>
      <c r="DP116" s="101"/>
      <c r="DQ116" s="101"/>
      <c r="DR116" s="101"/>
      <c r="DS116" s="101"/>
      <c r="DT116" s="101"/>
      <c r="DU116" s="101"/>
      <c r="DV116" s="101"/>
      <c r="DW116" s="101"/>
      <c r="DX116" s="101"/>
      <c r="DY116" s="101"/>
      <c r="DZ116" s="101"/>
      <c r="EA116" s="101"/>
      <c r="EB116" s="101"/>
      <c r="EC116" s="101"/>
      <c r="ED116" s="101"/>
      <c r="EE116" s="101"/>
      <c r="EF116" s="101"/>
      <c r="EG116" s="101"/>
      <c r="EH116" s="101"/>
      <c r="EI116" s="101"/>
      <c r="EJ116" s="101"/>
      <c r="EK116" s="101"/>
      <c r="EL116" s="101"/>
      <c r="EM116" s="101"/>
      <c r="EN116" s="101"/>
      <c r="EO116" s="101"/>
      <c r="EP116" s="101"/>
      <c r="EQ116" s="101"/>
      <c r="ER116" s="101"/>
      <c r="ES116" s="101"/>
      <c r="ET116" s="101"/>
      <c r="EU116" s="101"/>
      <c r="EV116" s="101"/>
      <c r="EW116" s="101"/>
      <c r="EX116" s="101"/>
      <c r="EY116" s="101"/>
      <c r="EZ116" s="101"/>
      <c r="FA116" s="101"/>
      <c r="FB116" s="101"/>
      <c r="FC116" s="101"/>
      <c r="FD116" s="101"/>
      <c r="FE116" s="101"/>
      <c r="FF116" s="101"/>
      <c r="FG116" s="101"/>
      <c r="FH116" s="101"/>
      <c r="FI116" s="101"/>
      <c r="FJ116" s="101"/>
      <c r="FK116" s="101"/>
      <c r="FL116" s="101"/>
      <c r="FM116" s="101"/>
      <c r="FN116" s="101"/>
      <c r="FO116" s="101"/>
      <c r="FP116" s="101"/>
      <c r="FQ116" s="101"/>
      <c r="FR116" s="101"/>
      <c r="FS116" s="101"/>
      <c r="FT116" s="101"/>
      <c r="FU116" s="101"/>
      <c r="FV116" s="101"/>
      <c r="FW116" s="101"/>
      <c r="FX116" s="101"/>
      <c r="FY116" s="101"/>
      <c r="FZ116" s="101"/>
      <c r="GA116" s="101"/>
      <c r="GB116" s="101"/>
      <c r="GC116" s="101"/>
      <c r="GD116" s="101"/>
      <c r="GE116" s="101"/>
      <c r="GF116" s="101"/>
      <c r="GG116" s="101"/>
      <c r="GH116" s="101"/>
      <c r="GI116" s="101"/>
      <c r="GJ116" s="101"/>
      <c r="GK116" s="101"/>
      <c r="GL116" s="101"/>
      <c r="GM116" s="101"/>
      <c r="GN116" s="101"/>
      <c r="GO116" s="101"/>
      <c r="GP116" s="101"/>
      <c r="GQ116" s="101"/>
      <c r="GR116" s="101"/>
      <c r="GS116" s="101"/>
      <c r="GT116" s="101"/>
      <c r="GU116" s="101"/>
      <c r="GV116" s="101"/>
      <c r="GW116" s="101"/>
      <c r="GX116" s="101"/>
      <c r="GY116" s="101"/>
      <c r="GZ116" s="101"/>
      <c r="HA116" s="101"/>
      <c r="HB116" s="101"/>
      <c r="HC116" s="101"/>
      <c r="HD116" s="101"/>
      <c r="HE116" s="101"/>
      <c r="HF116" s="101"/>
      <c r="HG116" s="101"/>
      <c r="HH116" s="101"/>
      <c r="HI116" s="101"/>
      <c r="HJ116" s="101"/>
      <c r="HK116" s="101"/>
      <c r="HL116" s="101"/>
      <c r="HM116" s="101"/>
      <c r="HN116" s="101"/>
      <c r="HO116" s="101"/>
      <c r="HP116" s="101"/>
      <c r="HQ116" s="101"/>
      <c r="HR116" s="101"/>
      <c r="HS116" s="101"/>
      <c r="HT116" s="101"/>
      <c r="HU116" s="101"/>
      <c r="HV116" s="101"/>
      <c r="HW116" s="101"/>
      <c r="HX116" s="101"/>
      <c r="HY116" s="101"/>
      <c r="HZ116" s="101"/>
      <c r="IA116" s="101"/>
      <c r="IB116" s="101"/>
      <c r="IC116" s="101"/>
      <c r="ID116" s="101"/>
      <c r="IE116" s="101"/>
      <c r="IF116" s="101"/>
      <c r="IG116" s="101"/>
      <c r="IH116" s="101"/>
      <c r="II116" s="101"/>
      <c r="IJ116" s="101"/>
      <c r="IK116" s="101"/>
      <c r="IL116" s="101"/>
      <c r="IM116" s="101"/>
      <c r="IN116" s="101"/>
    </row>
    <row r="117" s="104" customFormat="1" ht="78.75" outlineLevel="1" spans="1:248">
      <c r="A117" s="117">
        <v>3</v>
      </c>
      <c r="B117" s="118" t="s">
        <v>1047</v>
      </c>
      <c r="C117" s="118" t="s">
        <v>1000</v>
      </c>
      <c r="D117" s="119">
        <f>136.87+13.23</f>
        <v>150.1</v>
      </c>
      <c r="E117" s="120">
        <v>180</v>
      </c>
      <c r="F117" s="119">
        <f t="shared" si="5"/>
        <v>27018</v>
      </c>
      <c r="G117" s="124"/>
      <c r="H117" s="118" t="s">
        <v>1045</v>
      </c>
      <c r="I117" s="118" t="s">
        <v>1042</v>
      </c>
      <c r="J117" s="124"/>
      <c r="K117" s="118" t="s">
        <v>1046</v>
      </c>
      <c r="L117" s="129"/>
      <c r="M117" s="108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1"/>
      <c r="BZ117" s="101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1"/>
      <c r="CM117" s="101"/>
      <c r="CN117" s="101"/>
      <c r="CO117" s="101"/>
      <c r="CP117" s="101"/>
      <c r="CQ117" s="101"/>
      <c r="CR117" s="101"/>
      <c r="CS117" s="101"/>
      <c r="CT117" s="101"/>
      <c r="CU117" s="101"/>
      <c r="CV117" s="101"/>
      <c r="CW117" s="101"/>
      <c r="CX117" s="101"/>
      <c r="CY117" s="101"/>
      <c r="CZ117" s="101"/>
      <c r="DA117" s="101"/>
      <c r="DB117" s="101"/>
      <c r="DC117" s="101"/>
      <c r="DD117" s="101"/>
      <c r="DE117" s="101"/>
      <c r="DF117" s="101"/>
      <c r="DG117" s="101"/>
      <c r="DH117" s="101"/>
      <c r="DI117" s="101"/>
      <c r="DJ117" s="101"/>
      <c r="DK117" s="101"/>
      <c r="DL117" s="101"/>
      <c r="DM117" s="101"/>
      <c r="DN117" s="101"/>
      <c r="DO117" s="101"/>
      <c r="DP117" s="101"/>
      <c r="DQ117" s="101"/>
      <c r="DR117" s="101"/>
      <c r="DS117" s="101"/>
      <c r="DT117" s="101"/>
      <c r="DU117" s="101"/>
      <c r="DV117" s="101"/>
      <c r="DW117" s="101"/>
      <c r="DX117" s="101"/>
      <c r="DY117" s="101"/>
      <c r="DZ117" s="101"/>
      <c r="EA117" s="101"/>
      <c r="EB117" s="101"/>
      <c r="EC117" s="101"/>
      <c r="ED117" s="101"/>
      <c r="EE117" s="101"/>
      <c r="EF117" s="101"/>
      <c r="EG117" s="101"/>
      <c r="EH117" s="101"/>
      <c r="EI117" s="101"/>
      <c r="EJ117" s="101"/>
      <c r="EK117" s="101"/>
      <c r="EL117" s="101"/>
      <c r="EM117" s="101"/>
      <c r="EN117" s="101"/>
      <c r="EO117" s="101"/>
      <c r="EP117" s="101"/>
      <c r="EQ117" s="101"/>
      <c r="ER117" s="101"/>
      <c r="ES117" s="101"/>
      <c r="ET117" s="101"/>
      <c r="EU117" s="101"/>
      <c r="EV117" s="101"/>
      <c r="EW117" s="101"/>
      <c r="EX117" s="101"/>
      <c r="EY117" s="101"/>
      <c r="EZ117" s="101"/>
      <c r="FA117" s="101"/>
      <c r="FB117" s="101"/>
      <c r="FC117" s="101"/>
      <c r="FD117" s="101"/>
      <c r="FE117" s="101"/>
      <c r="FF117" s="101"/>
      <c r="FG117" s="101"/>
      <c r="FH117" s="101"/>
      <c r="FI117" s="101"/>
      <c r="FJ117" s="101"/>
      <c r="FK117" s="101"/>
      <c r="FL117" s="101"/>
      <c r="FM117" s="101"/>
      <c r="FN117" s="101"/>
      <c r="FO117" s="101"/>
      <c r="FP117" s="101"/>
      <c r="FQ117" s="101"/>
      <c r="FR117" s="101"/>
      <c r="FS117" s="101"/>
      <c r="FT117" s="101"/>
      <c r="FU117" s="101"/>
      <c r="FV117" s="101"/>
      <c r="FW117" s="101"/>
      <c r="FX117" s="101"/>
      <c r="FY117" s="101"/>
      <c r="FZ117" s="101"/>
      <c r="GA117" s="101"/>
      <c r="GB117" s="101"/>
      <c r="GC117" s="101"/>
      <c r="GD117" s="101"/>
      <c r="GE117" s="101"/>
      <c r="GF117" s="101"/>
      <c r="GG117" s="101"/>
      <c r="GH117" s="101"/>
      <c r="GI117" s="101"/>
      <c r="GJ117" s="101"/>
      <c r="GK117" s="101"/>
      <c r="GL117" s="101"/>
      <c r="GM117" s="101"/>
      <c r="GN117" s="101"/>
      <c r="GO117" s="101"/>
      <c r="GP117" s="101"/>
      <c r="GQ117" s="101"/>
      <c r="GR117" s="101"/>
      <c r="GS117" s="101"/>
      <c r="GT117" s="101"/>
      <c r="GU117" s="101"/>
      <c r="GV117" s="101"/>
      <c r="GW117" s="101"/>
      <c r="GX117" s="101"/>
      <c r="GY117" s="101"/>
      <c r="GZ117" s="101"/>
      <c r="HA117" s="101"/>
      <c r="HB117" s="101"/>
      <c r="HC117" s="101"/>
      <c r="HD117" s="101"/>
      <c r="HE117" s="101"/>
      <c r="HF117" s="101"/>
      <c r="HG117" s="101"/>
      <c r="HH117" s="101"/>
      <c r="HI117" s="101"/>
      <c r="HJ117" s="101"/>
      <c r="HK117" s="101"/>
      <c r="HL117" s="101"/>
      <c r="HM117" s="101"/>
      <c r="HN117" s="101"/>
      <c r="HO117" s="101"/>
      <c r="HP117" s="101"/>
      <c r="HQ117" s="101"/>
      <c r="HR117" s="101"/>
      <c r="HS117" s="101"/>
      <c r="HT117" s="101"/>
      <c r="HU117" s="101"/>
      <c r="HV117" s="101"/>
      <c r="HW117" s="101"/>
      <c r="HX117" s="101"/>
      <c r="HY117" s="101"/>
      <c r="HZ117" s="101"/>
      <c r="IA117" s="101"/>
      <c r="IB117" s="101"/>
      <c r="IC117" s="101"/>
      <c r="ID117" s="101"/>
      <c r="IE117" s="101"/>
      <c r="IF117" s="101"/>
      <c r="IG117" s="101"/>
      <c r="IH117" s="101"/>
      <c r="II117" s="101"/>
      <c r="IJ117" s="101"/>
      <c r="IK117" s="101"/>
      <c r="IL117" s="101"/>
      <c r="IM117" s="101"/>
      <c r="IN117" s="101"/>
    </row>
    <row r="118" s="104" customFormat="1" ht="78.75" outlineLevel="1" spans="1:248">
      <c r="A118" s="117">
        <v>4</v>
      </c>
      <c r="B118" s="118" t="s">
        <v>1048</v>
      </c>
      <c r="C118" s="118" t="s">
        <v>1000</v>
      </c>
      <c r="D118" s="119">
        <v>191.31</v>
      </c>
      <c r="E118" s="120">
        <v>175</v>
      </c>
      <c r="F118" s="119">
        <f t="shared" si="5"/>
        <v>33479.25</v>
      </c>
      <c r="G118" s="124"/>
      <c r="H118" s="118" t="s">
        <v>1049</v>
      </c>
      <c r="I118" s="118" t="s">
        <v>1050</v>
      </c>
      <c r="J118" s="124"/>
      <c r="K118" s="118" t="s">
        <v>1051</v>
      </c>
      <c r="L118" s="129"/>
      <c r="M118" s="108" t="s">
        <v>1052</v>
      </c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1"/>
      <c r="BZ118" s="101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1"/>
      <c r="CQ118" s="101"/>
      <c r="CR118" s="101"/>
      <c r="CS118" s="101"/>
      <c r="CT118" s="101"/>
      <c r="CU118" s="101"/>
      <c r="CV118" s="101"/>
      <c r="CW118" s="101"/>
      <c r="CX118" s="101"/>
      <c r="CY118" s="101"/>
      <c r="CZ118" s="101"/>
      <c r="DA118" s="101"/>
      <c r="DB118" s="101"/>
      <c r="DC118" s="101"/>
      <c r="DD118" s="101"/>
      <c r="DE118" s="101"/>
      <c r="DF118" s="101"/>
      <c r="DG118" s="101"/>
      <c r="DH118" s="101"/>
      <c r="DI118" s="101"/>
      <c r="DJ118" s="101"/>
      <c r="DK118" s="101"/>
      <c r="DL118" s="101"/>
      <c r="DM118" s="101"/>
      <c r="DN118" s="101"/>
      <c r="DO118" s="101"/>
      <c r="DP118" s="101"/>
      <c r="DQ118" s="101"/>
      <c r="DR118" s="101"/>
      <c r="DS118" s="101"/>
      <c r="DT118" s="101"/>
      <c r="DU118" s="101"/>
      <c r="DV118" s="101"/>
      <c r="DW118" s="101"/>
      <c r="DX118" s="101"/>
      <c r="DY118" s="101"/>
      <c r="DZ118" s="101"/>
      <c r="EA118" s="101"/>
      <c r="EB118" s="101"/>
      <c r="EC118" s="101"/>
      <c r="ED118" s="101"/>
      <c r="EE118" s="101"/>
      <c r="EF118" s="101"/>
      <c r="EG118" s="101"/>
      <c r="EH118" s="101"/>
      <c r="EI118" s="101"/>
      <c r="EJ118" s="101"/>
      <c r="EK118" s="101"/>
      <c r="EL118" s="101"/>
      <c r="EM118" s="101"/>
      <c r="EN118" s="101"/>
      <c r="EO118" s="101"/>
      <c r="EP118" s="101"/>
      <c r="EQ118" s="101"/>
      <c r="ER118" s="101"/>
      <c r="ES118" s="101"/>
      <c r="ET118" s="101"/>
      <c r="EU118" s="101"/>
      <c r="EV118" s="101"/>
      <c r="EW118" s="101"/>
      <c r="EX118" s="101"/>
      <c r="EY118" s="101"/>
      <c r="EZ118" s="101"/>
      <c r="FA118" s="101"/>
      <c r="FB118" s="101"/>
      <c r="FC118" s="101"/>
      <c r="FD118" s="101"/>
      <c r="FE118" s="101"/>
      <c r="FF118" s="101"/>
      <c r="FG118" s="101"/>
      <c r="FH118" s="101"/>
      <c r="FI118" s="101"/>
      <c r="FJ118" s="101"/>
      <c r="FK118" s="101"/>
      <c r="FL118" s="101"/>
      <c r="FM118" s="101"/>
      <c r="FN118" s="101"/>
      <c r="FO118" s="101"/>
      <c r="FP118" s="101"/>
      <c r="FQ118" s="101"/>
      <c r="FR118" s="101"/>
      <c r="FS118" s="101"/>
      <c r="FT118" s="101"/>
      <c r="FU118" s="101"/>
      <c r="FV118" s="101"/>
      <c r="FW118" s="101"/>
      <c r="FX118" s="101"/>
      <c r="FY118" s="101"/>
      <c r="FZ118" s="101"/>
      <c r="GA118" s="101"/>
      <c r="GB118" s="101"/>
      <c r="GC118" s="101"/>
      <c r="GD118" s="101"/>
      <c r="GE118" s="101"/>
      <c r="GF118" s="101"/>
      <c r="GG118" s="101"/>
      <c r="GH118" s="101"/>
      <c r="GI118" s="101"/>
      <c r="GJ118" s="101"/>
      <c r="GK118" s="101"/>
      <c r="GL118" s="101"/>
      <c r="GM118" s="101"/>
      <c r="GN118" s="101"/>
      <c r="GO118" s="101"/>
      <c r="GP118" s="101"/>
      <c r="GQ118" s="101"/>
      <c r="GR118" s="101"/>
      <c r="GS118" s="101"/>
      <c r="GT118" s="101"/>
      <c r="GU118" s="101"/>
      <c r="GV118" s="101"/>
      <c r="GW118" s="101"/>
      <c r="GX118" s="101"/>
      <c r="GY118" s="101"/>
      <c r="GZ118" s="101"/>
      <c r="HA118" s="101"/>
      <c r="HB118" s="101"/>
      <c r="HC118" s="101"/>
      <c r="HD118" s="101"/>
      <c r="HE118" s="101"/>
      <c r="HF118" s="101"/>
      <c r="HG118" s="101"/>
      <c r="HH118" s="101"/>
      <c r="HI118" s="101"/>
      <c r="HJ118" s="101"/>
      <c r="HK118" s="101"/>
      <c r="HL118" s="101"/>
      <c r="HM118" s="101"/>
      <c r="HN118" s="101"/>
      <c r="HO118" s="101"/>
      <c r="HP118" s="101"/>
      <c r="HQ118" s="101"/>
      <c r="HR118" s="101"/>
      <c r="HS118" s="101"/>
      <c r="HT118" s="101"/>
      <c r="HU118" s="101"/>
      <c r="HV118" s="101"/>
      <c r="HW118" s="101"/>
      <c r="HX118" s="101"/>
      <c r="HY118" s="101"/>
      <c r="HZ118" s="101"/>
      <c r="IA118" s="101"/>
      <c r="IB118" s="101"/>
      <c r="IC118" s="101"/>
      <c r="ID118" s="101"/>
      <c r="IE118" s="101"/>
      <c r="IF118" s="101"/>
      <c r="IG118" s="101"/>
      <c r="IH118" s="101"/>
      <c r="II118" s="101"/>
      <c r="IJ118" s="101"/>
      <c r="IK118" s="101"/>
      <c r="IL118" s="101"/>
      <c r="IM118" s="101"/>
      <c r="IN118" s="101"/>
    </row>
    <row r="119" s="104" customFormat="1" ht="78.75" outlineLevel="1" spans="1:248">
      <c r="A119" s="117">
        <v>5</v>
      </c>
      <c r="B119" s="118" t="s">
        <v>1053</v>
      </c>
      <c r="C119" s="118" t="s">
        <v>1000</v>
      </c>
      <c r="D119" s="119">
        <f>59.76+14.72</f>
        <v>74.48</v>
      </c>
      <c r="E119" s="120">
        <v>175</v>
      </c>
      <c r="F119" s="119">
        <f t="shared" si="5"/>
        <v>13034</v>
      </c>
      <c r="G119" s="124"/>
      <c r="H119" s="118" t="s">
        <v>1054</v>
      </c>
      <c r="I119" s="118" t="s">
        <v>1049</v>
      </c>
      <c r="J119" s="124"/>
      <c r="K119" s="118" t="s">
        <v>1055</v>
      </c>
      <c r="L119" s="129"/>
      <c r="M119" s="108" t="s">
        <v>1056</v>
      </c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1"/>
      <c r="BZ119" s="101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1"/>
      <c r="CM119" s="101"/>
      <c r="CN119" s="101"/>
      <c r="CO119" s="101"/>
      <c r="CP119" s="101"/>
      <c r="CQ119" s="101"/>
      <c r="CR119" s="101"/>
      <c r="CS119" s="101"/>
      <c r="CT119" s="101"/>
      <c r="CU119" s="101"/>
      <c r="CV119" s="101"/>
      <c r="CW119" s="101"/>
      <c r="CX119" s="101"/>
      <c r="CY119" s="101"/>
      <c r="CZ119" s="101"/>
      <c r="DA119" s="101"/>
      <c r="DB119" s="101"/>
      <c r="DC119" s="101"/>
      <c r="DD119" s="101"/>
      <c r="DE119" s="101"/>
      <c r="DF119" s="101"/>
      <c r="DG119" s="101"/>
      <c r="DH119" s="101"/>
      <c r="DI119" s="101"/>
      <c r="DJ119" s="101"/>
      <c r="DK119" s="101"/>
      <c r="DL119" s="101"/>
      <c r="DM119" s="101"/>
      <c r="DN119" s="101"/>
      <c r="DO119" s="101"/>
      <c r="DP119" s="101"/>
      <c r="DQ119" s="101"/>
      <c r="DR119" s="101"/>
      <c r="DS119" s="101"/>
      <c r="DT119" s="101"/>
      <c r="DU119" s="101"/>
      <c r="DV119" s="101"/>
      <c r="DW119" s="101"/>
      <c r="DX119" s="101"/>
      <c r="DY119" s="101"/>
      <c r="DZ119" s="101"/>
      <c r="EA119" s="101"/>
      <c r="EB119" s="101"/>
      <c r="EC119" s="101"/>
      <c r="ED119" s="101"/>
      <c r="EE119" s="101"/>
      <c r="EF119" s="101"/>
      <c r="EG119" s="101"/>
      <c r="EH119" s="101"/>
      <c r="EI119" s="101"/>
      <c r="EJ119" s="101"/>
      <c r="EK119" s="101"/>
      <c r="EL119" s="101"/>
      <c r="EM119" s="101"/>
      <c r="EN119" s="101"/>
      <c r="EO119" s="101"/>
      <c r="EP119" s="101"/>
      <c r="EQ119" s="101"/>
      <c r="ER119" s="101"/>
      <c r="ES119" s="101"/>
      <c r="ET119" s="101"/>
      <c r="EU119" s="101"/>
      <c r="EV119" s="101"/>
      <c r="EW119" s="101"/>
      <c r="EX119" s="101"/>
      <c r="EY119" s="101"/>
      <c r="EZ119" s="101"/>
      <c r="FA119" s="101"/>
      <c r="FB119" s="101"/>
      <c r="FC119" s="101"/>
      <c r="FD119" s="101"/>
      <c r="FE119" s="101"/>
      <c r="FF119" s="101"/>
      <c r="FG119" s="101"/>
      <c r="FH119" s="101"/>
      <c r="FI119" s="101"/>
      <c r="FJ119" s="101"/>
      <c r="FK119" s="101"/>
      <c r="FL119" s="101"/>
      <c r="FM119" s="101"/>
      <c r="FN119" s="101"/>
      <c r="FO119" s="101"/>
      <c r="FP119" s="101"/>
      <c r="FQ119" s="101"/>
      <c r="FR119" s="101"/>
      <c r="FS119" s="101"/>
      <c r="FT119" s="101"/>
      <c r="FU119" s="101"/>
      <c r="FV119" s="101"/>
      <c r="FW119" s="101"/>
      <c r="FX119" s="101"/>
      <c r="FY119" s="101"/>
      <c r="FZ119" s="101"/>
      <c r="GA119" s="101"/>
      <c r="GB119" s="101"/>
      <c r="GC119" s="101"/>
      <c r="GD119" s="101"/>
      <c r="GE119" s="101"/>
      <c r="GF119" s="101"/>
      <c r="GG119" s="101"/>
      <c r="GH119" s="101"/>
      <c r="GI119" s="101"/>
      <c r="GJ119" s="101"/>
      <c r="GK119" s="101"/>
      <c r="GL119" s="101"/>
      <c r="GM119" s="101"/>
      <c r="GN119" s="101"/>
      <c r="GO119" s="101"/>
      <c r="GP119" s="101"/>
      <c r="GQ119" s="101"/>
      <c r="GR119" s="101"/>
      <c r="GS119" s="101"/>
      <c r="GT119" s="101"/>
      <c r="GU119" s="101"/>
      <c r="GV119" s="101"/>
      <c r="GW119" s="101"/>
      <c r="GX119" s="101"/>
      <c r="GY119" s="101"/>
      <c r="GZ119" s="101"/>
      <c r="HA119" s="101"/>
      <c r="HB119" s="101"/>
      <c r="HC119" s="101"/>
      <c r="HD119" s="101"/>
      <c r="HE119" s="101"/>
      <c r="HF119" s="101"/>
      <c r="HG119" s="101"/>
      <c r="HH119" s="101"/>
      <c r="HI119" s="101"/>
      <c r="HJ119" s="101"/>
      <c r="HK119" s="101"/>
      <c r="HL119" s="101"/>
      <c r="HM119" s="101"/>
      <c r="HN119" s="101"/>
      <c r="HO119" s="101"/>
      <c r="HP119" s="101"/>
      <c r="HQ119" s="101"/>
      <c r="HR119" s="101"/>
      <c r="HS119" s="101"/>
      <c r="HT119" s="101"/>
      <c r="HU119" s="101"/>
      <c r="HV119" s="101"/>
      <c r="HW119" s="101"/>
      <c r="HX119" s="101"/>
      <c r="HY119" s="101"/>
      <c r="HZ119" s="101"/>
      <c r="IA119" s="101"/>
      <c r="IB119" s="101"/>
      <c r="IC119" s="101"/>
      <c r="ID119" s="101"/>
      <c r="IE119" s="101"/>
      <c r="IF119" s="101"/>
      <c r="IG119" s="101"/>
      <c r="IH119" s="101"/>
      <c r="II119" s="101"/>
      <c r="IJ119" s="101"/>
      <c r="IK119" s="101"/>
      <c r="IL119" s="101"/>
      <c r="IM119" s="101"/>
      <c r="IN119" s="101"/>
    </row>
    <row r="120" s="104" customFormat="1" ht="78.75" outlineLevel="1" spans="1:248">
      <c r="A120" s="117">
        <v>6</v>
      </c>
      <c r="B120" s="118" t="s">
        <v>1057</v>
      </c>
      <c r="C120" s="118" t="s">
        <v>1000</v>
      </c>
      <c r="D120" s="119">
        <f>227.64+54.85</f>
        <v>282.49</v>
      </c>
      <c r="E120" s="120">
        <v>175</v>
      </c>
      <c r="F120" s="119">
        <f t="shared" si="5"/>
        <v>49435.75</v>
      </c>
      <c r="G120" s="124"/>
      <c r="H120" s="118" t="s">
        <v>1054</v>
      </c>
      <c r="I120" s="118" t="s">
        <v>1049</v>
      </c>
      <c r="J120" s="124"/>
      <c r="K120" s="118" t="s">
        <v>1055</v>
      </c>
      <c r="L120" s="129"/>
      <c r="M120" s="108" t="s">
        <v>1058</v>
      </c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1"/>
      <c r="BZ120" s="101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1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1"/>
      <c r="CX120" s="101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1"/>
      <c r="DJ120" s="101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1"/>
      <c r="DV120" s="101"/>
      <c r="DW120" s="101"/>
      <c r="DX120" s="101"/>
      <c r="DY120" s="101"/>
      <c r="DZ120" s="101"/>
      <c r="EA120" s="101"/>
      <c r="EB120" s="101"/>
      <c r="EC120" s="101"/>
      <c r="ED120" s="101"/>
      <c r="EE120" s="101"/>
      <c r="EF120" s="101"/>
      <c r="EG120" s="101"/>
      <c r="EH120" s="101"/>
      <c r="EI120" s="101"/>
      <c r="EJ120" s="101"/>
      <c r="EK120" s="101"/>
      <c r="EL120" s="101"/>
      <c r="EM120" s="101"/>
      <c r="EN120" s="101"/>
      <c r="EO120" s="101"/>
      <c r="EP120" s="101"/>
      <c r="EQ120" s="101"/>
      <c r="ER120" s="101"/>
      <c r="ES120" s="101"/>
      <c r="ET120" s="101"/>
      <c r="EU120" s="101"/>
      <c r="EV120" s="101"/>
      <c r="EW120" s="101"/>
      <c r="EX120" s="101"/>
      <c r="EY120" s="101"/>
      <c r="EZ120" s="101"/>
      <c r="FA120" s="101"/>
      <c r="FB120" s="101"/>
      <c r="FC120" s="101"/>
      <c r="FD120" s="101"/>
      <c r="FE120" s="101"/>
      <c r="FF120" s="101"/>
      <c r="FG120" s="101"/>
      <c r="FH120" s="101"/>
      <c r="FI120" s="101"/>
      <c r="FJ120" s="101"/>
      <c r="FK120" s="101"/>
      <c r="FL120" s="101"/>
      <c r="FM120" s="101"/>
      <c r="FN120" s="101"/>
      <c r="FO120" s="101"/>
      <c r="FP120" s="101"/>
      <c r="FQ120" s="101"/>
      <c r="FR120" s="101"/>
      <c r="FS120" s="101"/>
      <c r="FT120" s="101"/>
      <c r="FU120" s="101"/>
      <c r="FV120" s="101"/>
      <c r="FW120" s="101"/>
      <c r="FX120" s="101"/>
      <c r="FY120" s="101"/>
      <c r="FZ120" s="101"/>
      <c r="GA120" s="101"/>
      <c r="GB120" s="101"/>
      <c r="GC120" s="101"/>
      <c r="GD120" s="101"/>
      <c r="GE120" s="101"/>
      <c r="GF120" s="101"/>
      <c r="GG120" s="101"/>
      <c r="GH120" s="101"/>
      <c r="GI120" s="101"/>
      <c r="GJ120" s="101"/>
      <c r="GK120" s="101"/>
      <c r="GL120" s="101"/>
      <c r="GM120" s="101"/>
      <c r="GN120" s="101"/>
      <c r="GO120" s="101"/>
      <c r="GP120" s="101"/>
      <c r="GQ120" s="101"/>
      <c r="GR120" s="101"/>
      <c r="GS120" s="101"/>
      <c r="GT120" s="101"/>
      <c r="GU120" s="101"/>
      <c r="GV120" s="101"/>
      <c r="GW120" s="101"/>
      <c r="GX120" s="101"/>
      <c r="GY120" s="101"/>
      <c r="GZ120" s="101"/>
      <c r="HA120" s="101"/>
      <c r="HB120" s="101"/>
      <c r="HC120" s="101"/>
      <c r="HD120" s="101"/>
      <c r="HE120" s="101"/>
      <c r="HF120" s="101"/>
      <c r="HG120" s="101"/>
      <c r="HH120" s="101"/>
      <c r="HI120" s="101"/>
      <c r="HJ120" s="101"/>
      <c r="HK120" s="101"/>
      <c r="HL120" s="101"/>
      <c r="HM120" s="101"/>
      <c r="HN120" s="101"/>
      <c r="HO120" s="101"/>
      <c r="HP120" s="101"/>
      <c r="HQ120" s="101"/>
      <c r="HR120" s="101"/>
      <c r="HS120" s="101"/>
      <c r="HT120" s="101"/>
      <c r="HU120" s="101"/>
      <c r="HV120" s="101"/>
      <c r="HW120" s="101"/>
      <c r="HX120" s="101"/>
      <c r="HY120" s="101"/>
      <c r="HZ120" s="101"/>
      <c r="IA120" s="101"/>
      <c r="IB120" s="101"/>
      <c r="IC120" s="101"/>
      <c r="ID120" s="101"/>
      <c r="IE120" s="101"/>
      <c r="IF120" s="101"/>
      <c r="IG120" s="101"/>
      <c r="IH120" s="101"/>
      <c r="II120" s="101"/>
      <c r="IJ120" s="101"/>
      <c r="IK120" s="101"/>
      <c r="IL120" s="101"/>
      <c r="IM120" s="101"/>
      <c r="IN120" s="101"/>
    </row>
    <row r="121" s="104" customFormat="1" ht="78.75" outlineLevel="1" spans="1:248">
      <c r="A121" s="117">
        <v>7</v>
      </c>
      <c r="B121" s="118" t="s">
        <v>1059</v>
      </c>
      <c r="C121" s="118" t="s">
        <v>1000</v>
      </c>
      <c r="D121" s="119">
        <f>16.13+48.29</f>
        <v>64.42</v>
      </c>
      <c r="E121" s="120">
        <v>205</v>
      </c>
      <c r="F121" s="119">
        <f t="shared" si="5"/>
        <v>13206.1</v>
      </c>
      <c r="G121" s="124"/>
      <c r="H121" s="118" t="s">
        <v>1060</v>
      </c>
      <c r="I121" s="118" t="s">
        <v>1049</v>
      </c>
      <c r="J121" s="124"/>
      <c r="K121" s="118" t="s">
        <v>1055</v>
      </c>
      <c r="L121" s="129"/>
      <c r="M121" s="108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1"/>
      <c r="BZ121" s="101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/>
      <c r="CS121" s="101"/>
      <c r="CT121" s="101"/>
      <c r="CU121" s="101"/>
      <c r="CV121" s="101"/>
      <c r="CW121" s="101"/>
      <c r="CX121" s="101"/>
      <c r="CY121" s="101"/>
      <c r="CZ121" s="101"/>
      <c r="DA121" s="101"/>
      <c r="DB121" s="101"/>
      <c r="DC121" s="101"/>
      <c r="DD121" s="101"/>
      <c r="DE121" s="101"/>
      <c r="DF121" s="101"/>
      <c r="DG121" s="101"/>
      <c r="DH121" s="101"/>
      <c r="DI121" s="101"/>
      <c r="DJ121" s="101"/>
      <c r="DK121" s="101"/>
      <c r="DL121" s="101"/>
      <c r="DM121" s="101"/>
      <c r="DN121" s="101"/>
      <c r="DO121" s="101"/>
      <c r="DP121" s="101"/>
      <c r="DQ121" s="101"/>
      <c r="DR121" s="101"/>
      <c r="DS121" s="101"/>
      <c r="DT121" s="101"/>
      <c r="DU121" s="101"/>
      <c r="DV121" s="101"/>
      <c r="DW121" s="101"/>
      <c r="DX121" s="101"/>
      <c r="DY121" s="101"/>
      <c r="DZ121" s="101"/>
      <c r="EA121" s="101"/>
      <c r="EB121" s="101"/>
      <c r="EC121" s="101"/>
      <c r="ED121" s="101"/>
      <c r="EE121" s="101"/>
      <c r="EF121" s="101"/>
      <c r="EG121" s="101"/>
      <c r="EH121" s="101"/>
      <c r="EI121" s="101"/>
      <c r="EJ121" s="101"/>
      <c r="EK121" s="101"/>
      <c r="EL121" s="101"/>
      <c r="EM121" s="101"/>
      <c r="EN121" s="101"/>
      <c r="EO121" s="101"/>
      <c r="EP121" s="101"/>
      <c r="EQ121" s="101"/>
      <c r="ER121" s="101"/>
      <c r="ES121" s="101"/>
      <c r="ET121" s="101"/>
      <c r="EU121" s="101"/>
      <c r="EV121" s="101"/>
      <c r="EW121" s="101"/>
      <c r="EX121" s="101"/>
      <c r="EY121" s="101"/>
      <c r="EZ121" s="101"/>
      <c r="FA121" s="101"/>
      <c r="FB121" s="101"/>
      <c r="FC121" s="101"/>
      <c r="FD121" s="101"/>
      <c r="FE121" s="101"/>
      <c r="FF121" s="101"/>
      <c r="FG121" s="101"/>
      <c r="FH121" s="101"/>
      <c r="FI121" s="101"/>
      <c r="FJ121" s="101"/>
      <c r="FK121" s="101"/>
      <c r="FL121" s="101"/>
      <c r="FM121" s="101"/>
      <c r="FN121" s="101"/>
      <c r="FO121" s="101"/>
      <c r="FP121" s="101"/>
      <c r="FQ121" s="101"/>
      <c r="FR121" s="101"/>
      <c r="FS121" s="101"/>
      <c r="FT121" s="101"/>
      <c r="FU121" s="101"/>
      <c r="FV121" s="101"/>
      <c r="FW121" s="101"/>
      <c r="FX121" s="101"/>
      <c r="FY121" s="101"/>
      <c r="FZ121" s="101"/>
      <c r="GA121" s="101"/>
      <c r="GB121" s="101"/>
      <c r="GC121" s="101"/>
      <c r="GD121" s="101"/>
      <c r="GE121" s="101"/>
      <c r="GF121" s="101"/>
      <c r="GG121" s="101"/>
      <c r="GH121" s="101"/>
      <c r="GI121" s="101"/>
      <c r="GJ121" s="101"/>
      <c r="GK121" s="101"/>
      <c r="GL121" s="101"/>
      <c r="GM121" s="101"/>
      <c r="GN121" s="101"/>
      <c r="GO121" s="101"/>
      <c r="GP121" s="101"/>
      <c r="GQ121" s="101"/>
      <c r="GR121" s="101"/>
      <c r="GS121" s="101"/>
      <c r="GT121" s="101"/>
      <c r="GU121" s="101"/>
      <c r="GV121" s="101"/>
      <c r="GW121" s="101"/>
      <c r="GX121" s="101"/>
      <c r="GY121" s="101"/>
      <c r="GZ121" s="101"/>
      <c r="HA121" s="101"/>
      <c r="HB121" s="101"/>
      <c r="HC121" s="101"/>
      <c r="HD121" s="101"/>
      <c r="HE121" s="101"/>
      <c r="HF121" s="101"/>
      <c r="HG121" s="101"/>
      <c r="HH121" s="101"/>
      <c r="HI121" s="101"/>
      <c r="HJ121" s="101"/>
      <c r="HK121" s="101"/>
      <c r="HL121" s="101"/>
      <c r="HM121" s="101"/>
      <c r="HN121" s="101"/>
      <c r="HO121" s="101"/>
      <c r="HP121" s="101"/>
      <c r="HQ121" s="101"/>
      <c r="HR121" s="101"/>
      <c r="HS121" s="101"/>
      <c r="HT121" s="101"/>
      <c r="HU121" s="101"/>
      <c r="HV121" s="101"/>
      <c r="HW121" s="101"/>
      <c r="HX121" s="101"/>
      <c r="HY121" s="101"/>
      <c r="HZ121" s="101"/>
      <c r="IA121" s="101"/>
      <c r="IB121" s="101"/>
      <c r="IC121" s="101"/>
      <c r="ID121" s="101"/>
      <c r="IE121" s="101"/>
      <c r="IF121" s="101"/>
      <c r="IG121" s="101"/>
      <c r="IH121" s="101"/>
      <c r="II121" s="101"/>
      <c r="IJ121" s="101"/>
      <c r="IK121" s="101"/>
      <c r="IL121" s="101"/>
      <c r="IM121" s="101"/>
      <c r="IN121" s="101"/>
    </row>
    <row r="122" s="104" customFormat="1" ht="45" outlineLevel="1" spans="1:248">
      <c r="A122" s="117">
        <v>8</v>
      </c>
      <c r="B122" s="118" t="s">
        <v>1061</v>
      </c>
      <c r="C122" s="118" t="s">
        <v>525</v>
      </c>
      <c r="D122" s="119">
        <v>48.73</v>
      </c>
      <c r="E122" s="120">
        <v>350</v>
      </c>
      <c r="F122" s="119">
        <f t="shared" si="5"/>
        <v>17055.5</v>
      </c>
      <c r="G122" s="124"/>
      <c r="H122" s="118" t="s">
        <v>1054</v>
      </c>
      <c r="I122" s="118" t="s">
        <v>1050</v>
      </c>
      <c r="J122" s="124"/>
      <c r="K122" s="118" t="s">
        <v>1062</v>
      </c>
      <c r="L122" s="129" t="s">
        <v>686</v>
      </c>
      <c r="M122" s="108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1"/>
      <c r="BZ122" s="101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1"/>
      <c r="CM122" s="101"/>
      <c r="CN122" s="101"/>
      <c r="CO122" s="101"/>
      <c r="CP122" s="101"/>
      <c r="CQ122" s="101"/>
      <c r="CR122" s="101"/>
      <c r="CS122" s="101"/>
      <c r="CT122" s="101"/>
      <c r="CU122" s="101"/>
      <c r="CV122" s="101"/>
      <c r="CW122" s="101"/>
      <c r="CX122" s="101"/>
      <c r="CY122" s="101"/>
      <c r="CZ122" s="101"/>
      <c r="DA122" s="101"/>
      <c r="DB122" s="101"/>
      <c r="DC122" s="101"/>
      <c r="DD122" s="101"/>
      <c r="DE122" s="101"/>
      <c r="DF122" s="101"/>
      <c r="DG122" s="101"/>
      <c r="DH122" s="101"/>
      <c r="DI122" s="101"/>
      <c r="DJ122" s="101"/>
      <c r="DK122" s="101"/>
      <c r="DL122" s="101"/>
      <c r="DM122" s="101"/>
      <c r="DN122" s="101"/>
      <c r="DO122" s="101"/>
      <c r="DP122" s="101"/>
      <c r="DQ122" s="101"/>
      <c r="DR122" s="101"/>
      <c r="DS122" s="101"/>
      <c r="DT122" s="101"/>
      <c r="DU122" s="101"/>
      <c r="DV122" s="101"/>
      <c r="DW122" s="101"/>
      <c r="DX122" s="101"/>
      <c r="DY122" s="101"/>
      <c r="DZ122" s="101"/>
      <c r="EA122" s="101"/>
      <c r="EB122" s="101"/>
      <c r="EC122" s="101"/>
      <c r="ED122" s="101"/>
      <c r="EE122" s="101"/>
      <c r="EF122" s="101"/>
      <c r="EG122" s="101"/>
      <c r="EH122" s="101"/>
      <c r="EI122" s="101"/>
      <c r="EJ122" s="101"/>
      <c r="EK122" s="101"/>
      <c r="EL122" s="101"/>
      <c r="EM122" s="101"/>
      <c r="EN122" s="101"/>
      <c r="EO122" s="101"/>
      <c r="EP122" s="101"/>
      <c r="EQ122" s="101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  <c r="FW122" s="101"/>
      <c r="FX122" s="101"/>
      <c r="FY122" s="101"/>
      <c r="FZ122" s="101"/>
      <c r="GA122" s="101"/>
      <c r="GB122" s="101"/>
      <c r="GC122" s="101"/>
      <c r="GD122" s="101"/>
      <c r="GE122" s="101"/>
      <c r="GF122" s="101"/>
      <c r="GG122" s="101"/>
      <c r="GH122" s="101"/>
      <c r="GI122" s="101"/>
      <c r="GJ122" s="101"/>
      <c r="GK122" s="101"/>
      <c r="GL122" s="101"/>
      <c r="GM122" s="101"/>
      <c r="GN122" s="101"/>
      <c r="GO122" s="101"/>
      <c r="GP122" s="101"/>
      <c r="GQ122" s="101"/>
      <c r="GR122" s="101"/>
      <c r="GS122" s="101"/>
      <c r="GT122" s="101"/>
      <c r="GU122" s="101"/>
      <c r="GV122" s="101"/>
      <c r="GW122" s="101"/>
      <c r="GX122" s="101"/>
      <c r="GY122" s="101"/>
      <c r="GZ122" s="101"/>
      <c r="HA122" s="101"/>
      <c r="HB122" s="101"/>
      <c r="HC122" s="101"/>
      <c r="HD122" s="101"/>
      <c r="HE122" s="101"/>
      <c r="HF122" s="101"/>
      <c r="HG122" s="101"/>
      <c r="HH122" s="101"/>
      <c r="HI122" s="101"/>
      <c r="HJ122" s="101"/>
      <c r="HK122" s="101"/>
      <c r="HL122" s="101"/>
      <c r="HM122" s="101"/>
      <c r="HN122" s="101"/>
      <c r="HO122" s="101"/>
      <c r="HP122" s="101"/>
      <c r="HQ122" s="101"/>
      <c r="HR122" s="101"/>
      <c r="HS122" s="101"/>
      <c r="HT122" s="101"/>
      <c r="HU122" s="101"/>
      <c r="HV122" s="101"/>
      <c r="HW122" s="101"/>
      <c r="HX122" s="101"/>
      <c r="HY122" s="101"/>
      <c r="HZ122" s="101"/>
      <c r="IA122" s="101"/>
      <c r="IB122" s="101"/>
      <c r="IC122" s="101"/>
      <c r="ID122" s="101"/>
      <c r="IE122" s="101"/>
      <c r="IF122" s="101"/>
      <c r="IG122" s="101"/>
      <c r="IH122" s="101"/>
      <c r="II122" s="101"/>
      <c r="IJ122" s="101"/>
      <c r="IK122" s="101"/>
      <c r="IL122" s="101"/>
      <c r="IM122" s="101"/>
      <c r="IN122" s="101"/>
    </row>
    <row r="123" s="104" customFormat="1" ht="33.75" outlineLevel="1" spans="1:248">
      <c r="A123" s="117">
        <v>9</v>
      </c>
      <c r="B123" s="118" t="s">
        <v>1063</v>
      </c>
      <c r="C123" s="118" t="s">
        <v>525</v>
      </c>
      <c r="D123" s="119">
        <v>17.52</v>
      </c>
      <c r="E123" s="122">
        <v>175</v>
      </c>
      <c r="F123" s="119">
        <f t="shared" si="5"/>
        <v>3066</v>
      </c>
      <c r="G123" s="124"/>
      <c r="H123" s="118" t="s">
        <v>1054</v>
      </c>
      <c r="I123" s="118" t="s">
        <v>1050</v>
      </c>
      <c r="J123" s="124"/>
      <c r="K123" s="118" t="s">
        <v>1064</v>
      </c>
      <c r="L123" s="129" t="s">
        <v>1065</v>
      </c>
      <c r="M123" s="108" t="s">
        <v>1066</v>
      </c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1"/>
      <c r="BZ123" s="101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1"/>
      <c r="CM123" s="101"/>
      <c r="CN123" s="101"/>
      <c r="CO123" s="101"/>
      <c r="CP123" s="101"/>
      <c r="CQ123" s="101"/>
      <c r="CR123" s="101"/>
      <c r="CS123" s="101"/>
      <c r="CT123" s="101"/>
      <c r="CU123" s="101"/>
      <c r="CV123" s="101"/>
      <c r="CW123" s="101"/>
      <c r="CX123" s="101"/>
      <c r="CY123" s="101"/>
      <c r="CZ123" s="101"/>
      <c r="DA123" s="101"/>
      <c r="DB123" s="101"/>
      <c r="DC123" s="101"/>
      <c r="DD123" s="101"/>
      <c r="DE123" s="101"/>
      <c r="DF123" s="101"/>
      <c r="DG123" s="101"/>
      <c r="DH123" s="101"/>
      <c r="DI123" s="101"/>
      <c r="DJ123" s="101"/>
      <c r="DK123" s="101"/>
      <c r="DL123" s="101"/>
      <c r="DM123" s="101"/>
      <c r="DN123" s="101"/>
      <c r="DO123" s="101"/>
      <c r="DP123" s="101"/>
      <c r="DQ123" s="101"/>
      <c r="DR123" s="101"/>
      <c r="DS123" s="101"/>
      <c r="DT123" s="101"/>
      <c r="DU123" s="101"/>
      <c r="DV123" s="101"/>
      <c r="DW123" s="101"/>
      <c r="DX123" s="101"/>
      <c r="DY123" s="101"/>
      <c r="DZ123" s="101"/>
      <c r="EA123" s="101"/>
      <c r="EB123" s="101"/>
      <c r="EC123" s="101"/>
      <c r="ED123" s="101"/>
      <c r="EE123" s="101"/>
      <c r="EF123" s="101"/>
      <c r="EG123" s="101"/>
      <c r="EH123" s="101"/>
      <c r="EI123" s="101"/>
      <c r="EJ123" s="101"/>
      <c r="EK123" s="101"/>
      <c r="EL123" s="101"/>
      <c r="EM123" s="101"/>
      <c r="EN123" s="101"/>
      <c r="EO123" s="101"/>
      <c r="EP123" s="101"/>
      <c r="EQ123" s="101"/>
      <c r="ER123" s="101"/>
      <c r="ES123" s="101"/>
      <c r="ET123" s="101"/>
      <c r="EU123" s="101"/>
      <c r="EV123" s="101"/>
      <c r="EW123" s="101"/>
      <c r="EX123" s="101"/>
      <c r="EY123" s="101"/>
      <c r="EZ123" s="101"/>
      <c r="FA123" s="101"/>
      <c r="FB123" s="101"/>
      <c r="FC123" s="101"/>
      <c r="FD123" s="101"/>
      <c r="FE123" s="101"/>
      <c r="FF123" s="101"/>
      <c r="FG123" s="101"/>
      <c r="FH123" s="101"/>
      <c r="FI123" s="101"/>
      <c r="FJ123" s="101"/>
      <c r="FK123" s="101"/>
      <c r="FL123" s="101"/>
      <c r="FM123" s="101"/>
      <c r="FN123" s="101"/>
      <c r="FO123" s="101"/>
      <c r="FP123" s="101"/>
      <c r="FQ123" s="101"/>
      <c r="FR123" s="101"/>
      <c r="FS123" s="101"/>
      <c r="FT123" s="101"/>
      <c r="FU123" s="101"/>
      <c r="FV123" s="101"/>
      <c r="FW123" s="101"/>
      <c r="FX123" s="101"/>
      <c r="FY123" s="101"/>
      <c r="FZ123" s="101"/>
      <c r="GA123" s="101"/>
      <c r="GB123" s="101"/>
      <c r="GC123" s="101"/>
      <c r="GD123" s="101"/>
      <c r="GE123" s="101"/>
      <c r="GF123" s="101"/>
      <c r="GG123" s="101"/>
      <c r="GH123" s="101"/>
      <c r="GI123" s="101"/>
      <c r="GJ123" s="101"/>
      <c r="GK123" s="101"/>
      <c r="GL123" s="101"/>
      <c r="GM123" s="101"/>
      <c r="GN123" s="101"/>
      <c r="GO123" s="101"/>
      <c r="GP123" s="101"/>
      <c r="GQ123" s="101"/>
      <c r="GR123" s="101"/>
      <c r="GS123" s="101"/>
      <c r="GT123" s="101"/>
      <c r="GU123" s="101"/>
      <c r="GV123" s="101"/>
      <c r="GW123" s="101"/>
      <c r="GX123" s="101"/>
      <c r="GY123" s="101"/>
      <c r="GZ123" s="101"/>
      <c r="HA123" s="101"/>
      <c r="HB123" s="101"/>
      <c r="HC123" s="101"/>
      <c r="HD123" s="101"/>
      <c r="HE123" s="101"/>
      <c r="HF123" s="101"/>
      <c r="HG123" s="101"/>
      <c r="HH123" s="101"/>
      <c r="HI123" s="101"/>
      <c r="HJ123" s="101"/>
      <c r="HK123" s="101"/>
      <c r="HL123" s="101"/>
      <c r="HM123" s="101"/>
      <c r="HN123" s="101"/>
      <c r="HO123" s="101"/>
      <c r="HP123" s="101"/>
      <c r="HQ123" s="101"/>
      <c r="HR123" s="101"/>
      <c r="HS123" s="101"/>
      <c r="HT123" s="101"/>
      <c r="HU123" s="101"/>
      <c r="HV123" s="101"/>
      <c r="HW123" s="101"/>
      <c r="HX123" s="101"/>
      <c r="HY123" s="101"/>
      <c r="HZ123" s="101"/>
      <c r="IA123" s="101"/>
      <c r="IB123" s="101"/>
      <c r="IC123" s="101"/>
      <c r="ID123" s="101"/>
      <c r="IE123" s="101"/>
      <c r="IF123" s="101"/>
      <c r="IG123" s="101"/>
      <c r="IH123" s="101"/>
      <c r="II123" s="101"/>
      <c r="IJ123" s="101"/>
      <c r="IK123" s="101"/>
      <c r="IL123" s="101"/>
      <c r="IM123" s="101"/>
      <c r="IN123" s="101"/>
    </row>
    <row r="124" s="104" customFormat="1" ht="33.75" outlineLevel="1" spans="1:248">
      <c r="A124" s="117">
        <v>10</v>
      </c>
      <c r="B124" s="118" t="s">
        <v>1067</v>
      </c>
      <c r="C124" s="118" t="s">
        <v>525</v>
      </c>
      <c r="D124" s="119">
        <v>2.16</v>
      </c>
      <c r="E124" s="122">
        <v>175</v>
      </c>
      <c r="F124" s="119">
        <f t="shared" si="5"/>
        <v>378</v>
      </c>
      <c r="G124" s="124"/>
      <c r="H124" s="118" t="s">
        <v>1054</v>
      </c>
      <c r="I124" s="118" t="s">
        <v>1050</v>
      </c>
      <c r="J124" s="124"/>
      <c r="K124" s="118" t="s">
        <v>1064</v>
      </c>
      <c r="L124" s="129" t="s">
        <v>1065</v>
      </c>
      <c r="M124" s="108" t="s">
        <v>1066</v>
      </c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1"/>
      <c r="BN124" s="101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1"/>
      <c r="BZ124" s="101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1"/>
      <c r="CM124" s="101"/>
      <c r="CN124" s="101"/>
      <c r="CO124" s="101"/>
      <c r="CP124" s="101"/>
      <c r="CQ124" s="101"/>
      <c r="CR124" s="101"/>
      <c r="CS124" s="101"/>
      <c r="CT124" s="101"/>
      <c r="CU124" s="101"/>
      <c r="CV124" s="101"/>
      <c r="CW124" s="101"/>
      <c r="CX124" s="101"/>
      <c r="CY124" s="101"/>
      <c r="CZ124" s="101"/>
      <c r="DA124" s="101"/>
      <c r="DB124" s="101"/>
      <c r="DC124" s="101"/>
      <c r="DD124" s="101"/>
      <c r="DE124" s="101"/>
      <c r="DF124" s="101"/>
      <c r="DG124" s="101"/>
      <c r="DH124" s="101"/>
      <c r="DI124" s="101"/>
      <c r="DJ124" s="101"/>
      <c r="DK124" s="101"/>
      <c r="DL124" s="101"/>
      <c r="DM124" s="101"/>
      <c r="DN124" s="101"/>
      <c r="DO124" s="101"/>
      <c r="DP124" s="101"/>
      <c r="DQ124" s="101"/>
      <c r="DR124" s="101"/>
      <c r="DS124" s="101"/>
      <c r="DT124" s="101"/>
      <c r="DU124" s="101"/>
      <c r="DV124" s="101"/>
      <c r="DW124" s="101"/>
      <c r="DX124" s="101"/>
      <c r="DY124" s="101"/>
      <c r="DZ124" s="101"/>
      <c r="EA124" s="101"/>
      <c r="EB124" s="101"/>
      <c r="EC124" s="101"/>
      <c r="ED124" s="101"/>
      <c r="EE124" s="101"/>
      <c r="EF124" s="101"/>
      <c r="EG124" s="101"/>
      <c r="EH124" s="101"/>
      <c r="EI124" s="101"/>
      <c r="EJ124" s="101"/>
      <c r="EK124" s="101"/>
      <c r="EL124" s="101"/>
      <c r="EM124" s="101"/>
      <c r="EN124" s="101"/>
      <c r="EO124" s="101"/>
      <c r="EP124" s="101"/>
      <c r="EQ124" s="101"/>
      <c r="ER124" s="101"/>
      <c r="ES124" s="101"/>
      <c r="ET124" s="101"/>
      <c r="EU124" s="101"/>
      <c r="EV124" s="101"/>
      <c r="EW124" s="101"/>
      <c r="EX124" s="101"/>
      <c r="EY124" s="101"/>
      <c r="EZ124" s="101"/>
      <c r="FA124" s="101"/>
      <c r="FB124" s="101"/>
      <c r="FC124" s="101"/>
      <c r="FD124" s="101"/>
      <c r="FE124" s="101"/>
      <c r="FF124" s="101"/>
      <c r="FG124" s="101"/>
      <c r="FH124" s="101"/>
      <c r="FI124" s="101"/>
      <c r="FJ124" s="101"/>
      <c r="FK124" s="101"/>
      <c r="FL124" s="101"/>
      <c r="FM124" s="101"/>
      <c r="FN124" s="101"/>
      <c r="FO124" s="101"/>
      <c r="FP124" s="101"/>
      <c r="FQ124" s="101"/>
      <c r="FR124" s="101"/>
      <c r="FS124" s="101"/>
      <c r="FT124" s="101"/>
      <c r="FU124" s="101"/>
      <c r="FV124" s="101"/>
      <c r="FW124" s="101"/>
      <c r="FX124" s="101"/>
      <c r="FY124" s="101"/>
      <c r="FZ124" s="101"/>
      <c r="GA124" s="101"/>
      <c r="GB124" s="101"/>
      <c r="GC124" s="101"/>
      <c r="GD124" s="101"/>
      <c r="GE124" s="101"/>
      <c r="GF124" s="101"/>
      <c r="GG124" s="101"/>
      <c r="GH124" s="101"/>
      <c r="GI124" s="101"/>
      <c r="GJ124" s="101"/>
      <c r="GK124" s="101"/>
      <c r="GL124" s="101"/>
      <c r="GM124" s="101"/>
      <c r="GN124" s="101"/>
      <c r="GO124" s="101"/>
      <c r="GP124" s="101"/>
      <c r="GQ124" s="101"/>
      <c r="GR124" s="101"/>
      <c r="GS124" s="101"/>
      <c r="GT124" s="101"/>
      <c r="GU124" s="101"/>
      <c r="GV124" s="101"/>
      <c r="GW124" s="101"/>
      <c r="GX124" s="101"/>
      <c r="GY124" s="101"/>
      <c r="GZ124" s="101"/>
      <c r="HA124" s="101"/>
      <c r="HB124" s="101"/>
      <c r="HC124" s="101"/>
      <c r="HD124" s="101"/>
      <c r="HE124" s="101"/>
      <c r="HF124" s="101"/>
      <c r="HG124" s="101"/>
      <c r="HH124" s="101"/>
      <c r="HI124" s="101"/>
      <c r="HJ124" s="101"/>
      <c r="HK124" s="101"/>
      <c r="HL124" s="101"/>
      <c r="HM124" s="101"/>
      <c r="HN124" s="101"/>
      <c r="HO124" s="101"/>
      <c r="HP124" s="101"/>
      <c r="HQ124" s="101"/>
      <c r="HR124" s="101"/>
      <c r="HS124" s="101"/>
      <c r="HT124" s="101"/>
      <c r="HU124" s="101"/>
      <c r="HV124" s="101"/>
      <c r="HW124" s="101"/>
      <c r="HX124" s="101"/>
      <c r="HY124" s="101"/>
      <c r="HZ124" s="101"/>
      <c r="IA124" s="101"/>
      <c r="IB124" s="101"/>
      <c r="IC124" s="101"/>
      <c r="ID124" s="101"/>
      <c r="IE124" s="101"/>
      <c r="IF124" s="101"/>
      <c r="IG124" s="101"/>
      <c r="IH124" s="101"/>
      <c r="II124" s="101"/>
      <c r="IJ124" s="101"/>
      <c r="IK124" s="101"/>
      <c r="IL124" s="101"/>
      <c r="IM124" s="101"/>
      <c r="IN124" s="101"/>
    </row>
    <row r="125" s="104" customFormat="1" ht="56.25" outlineLevel="1" spans="1:248">
      <c r="A125" s="117">
        <v>11</v>
      </c>
      <c r="B125" s="118" t="s">
        <v>1068</v>
      </c>
      <c r="C125" s="118" t="s">
        <v>1000</v>
      </c>
      <c r="D125" s="119">
        <f>20.9+25.6</f>
        <v>46.5</v>
      </c>
      <c r="E125" s="120">
        <v>205</v>
      </c>
      <c r="F125" s="119">
        <f t="shared" si="5"/>
        <v>9532.5</v>
      </c>
      <c r="G125" s="124"/>
      <c r="H125" s="118" t="s">
        <v>1069</v>
      </c>
      <c r="I125" s="118" t="s">
        <v>1070</v>
      </c>
      <c r="J125" s="124"/>
      <c r="K125" s="118" t="s">
        <v>1071</v>
      </c>
      <c r="L125" s="129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1"/>
      <c r="BN125" s="101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1"/>
      <c r="BZ125" s="101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1"/>
      <c r="CM125" s="101"/>
      <c r="CN125" s="101"/>
      <c r="CO125" s="101"/>
      <c r="CP125" s="101"/>
      <c r="CQ125" s="101"/>
      <c r="CR125" s="101"/>
      <c r="CS125" s="101"/>
      <c r="CT125" s="101"/>
      <c r="CU125" s="101"/>
      <c r="CV125" s="101"/>
      <c r="CW125" s="101"/>
      <c r="CX125" s="101"/>
      <c r="CY125" s="101"/>
      <c r="CZ125" s="101"/>
      <c r="DA125" s="101"/>
      <c r="DB125" s="101"/>
      <c r="DC125" s="101"/>
      <c r="DD125" s="101"/>
      <c r="DE125" s="101"/>
      <c r="DF125" s="101"/>
      <c r="DG125" s="101"/>
      <c r="DH125" s="101"/>
      <c r="DI125" s="101"/>
      <c r="DJ125" s="101"/>
      <c r="DK125" s="101"/>
      <c r="DL125" s="101"/>
      <c r="DM125" s="101"/>
      <c r="DN125" s="101"/>
      <c r="DO125" s="101"/>
      <c r="DP125" s="101"/>
      <c r="DQ125" s="101"/>
      <c r="DR125" s="101"/>
      <c r="DS125" s="101"/>
      <c r="DT125" s="101"/>
      <c r="DU125" s="101"/>
      <c r="DV125" s="101"/>
      <c r="DW125" s="101"/>
      <c r="DX125" s="101"/>
      <c r="DY125" s="101"/>
      <c r="DZ125" s="101"/>
      <c r="EA125" s="101"/>
      <c r="EB125" s="101"/>
      <c r="EC125" s="101"/>
      <c r="ED125" s="101"/>
      <c r="EE125" s="101"/>
      <c r="EF125" s="101"/>
      <c r="EG125" s="101"/>
      <c r="EH125" s="101"/>
      <c r="EI125" s="101"/>
      <c r="EJ125" s="101"/>
      <c r="EK125" s="101"/>
      <c r="EL125" s="101"/>
      <c r="EM125" s="101"/>
      <c r="EN125" s="101"/>
      <c r="EO125" s="101"/>
      <c r="EP125" s="101"/>
      <c r="EQ125" s="101"/>
      <c r="ER125" s="101"/>
      <c r="ES125" s="101"/>
      <c r="ET125" s="101"/>
      <c r="EU125" s="101"/>
      <c r="EV125" s="101"/>
      <c r="EW125" s="101"/>
      <c r="EX125" s="101"/>
      <c r="EY125" s="101"/>
      <c r="EZ125" s="101"/>
      <c r="FA125" s="101"/>
      <c r="FB125" s="101"/>
      <c r="FC125" s="101"/>
      <c r="FD125" s="101"/>
      <c r="FE125" s="101"/>
      <c r="FF125" s="101"/>
      <c r="FG125" s="101"/>
      <c r="FH125" s="101"/>
      <c r="FI125" s="101"/>
      <c r="FJ125" s="101"/>
      <c r="FK125" s="101"/>
      <c r="FL125" s="101"/>
      <c r="FM125" s="101"/>
      <c r="FN125" s="101"/>
      <c r="FO125" s="101"/>
      <c r="FP125" s="101"/>
      <c r="FQ125" s="101"/>
      <c r="FR125" s="101"/>
      <c r="FS125" s="101"/>
      <c r="FT125" s="101"/>
      <c r="FU125" s="101"/>
      <c r="FV125" s="101"/>
      <c r="FW125" s="101"/>
      <c r="FX125" s="101"/>
      <c r="FY125" s="101"/>
      <c r="FZ125" s="101"/>
      <c r="GA125" s="101"/>
      <c r="GB125" s="101"/>
      <c r="GC125" s="101"/>
      <c r="GD125" s="101"/>
      <c r="GE125" s="101"/>
      <c r="GF125" s="101"/>
      <c r="GG125" s="101"/>
      <c r="GH125" s="101"/>
      <c r="GI125" s="101"/>
      <c r="GJ125" s="101"/>
      <c r="GK125" s="101"/>
      <c r="GL125" s="101"/>
      <c r="GM125" s="101"/>
      <c r="GN125" s="101"/>
      <c r="GO125" s="101"/>
      <c r="GP125" s="101"/>
      <c r="GQ125" s="101"/>
      <c r="GR125" s="101"/>
      <c r="GS125" s="101"/>
      <c r="GT125" s="101"/>
      <c r="GU125" s="101"/>
      <c r="GV125" s="101"/>
      <c r="GW125" s="101"/>
      <c r="GX125" s="101"/>
      <c r="GY125" s="101"/>
      <c r="GZ125" s="101"/>
      <c r="HA125" s="101"/>
      <c r="HB125" s="101"/>
      <c r="HC125" s="101"/>
      <c r="HD125" s="101"/>
      <c r="HE125" s="101"/>
      <c r="HF125" s="101"/>
      <c r="HG125" s="101"/>
      <c r="HH125" s="101"/>
      <c r="HI125" s="101"/>
      <c r="HJ125" s="101"/>
      <c r="HK125" s="101"/>
      <c r="HL125" s="101"/>
      <c r="HM125" s="101"/>
      <c r="HN125" s="101"/>
      <c r="HO125" s="101"/>
      <c r="HP125" s="101"/>
      <c r="HQ125" s="101"/>
      <c r="HR125" s="101"/>
      <c r="HS125" s="101"/>
      <c r="HT125" s="101"/>
      <c r="HU125" s="101"/>
      <c r="HV125" s="101"/>
      <c r="HW125" s="101"/>
      <c r="HX125" s="101"/>
      <c r="HY125" s="101"/>
      <c r="HZ125" s="101"/>
      <c r="IA125" s="101"/>
      <c r="IB125" s="101"/>
      <c r="IC125" s="101"/>
      <c r="ID125" s="101"/>
      <c r="IE125" s="101"/>
      <c r="IF125" s="101"/>
      <c r="IG125" s="101"/>
      <c r="IH125" s="101"/>
      <c r="II125" s="101"/>
      <c r="IJ125" s="101"/>
      <c r="IK125" s="101"/>
      <c r="IL125" s="101"/>
      <c r="IM125" s="101"/>
      <c r="IN125" s="101"/>
    </row>
    <row r="126" s="104" customFormat="1" ht="33.75" outlineLevel="1" spans="1:248">
      <c r="A126" s="117">
        <v>12</v>
      </c>
      <c r="B126" s="118" t="s">
        <v>1072</v>
      </c>
      <c r="C126" s="118" t="s">
        <v>1000</v>
      </c>
      <c r="D126" s="119">
        <v>1.32</v>
      </c>
      <c r="E126" s="120">
        <v>150</v>
      </c>
      <c r="F126" s="119">
        <f t="shared" si="5"/>
        <v>198</v>
      </c>
      <c r="G126" s="124"/>
      <c r="H126" s="118" t="s">
        <v>1069</v>
      </c>
      <c r="I126" s="118" t="s">
        <v>1049</v>
      </c>
      <c r="J126" s="124"/>
      <c r="K126" s="118" t="s">
        <v>1064</v>
      </c>
      <c r="L126" s="129"/>
      <c r="M126" s="108" t="s">
        <v>1073</v>
      </c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1"/>
      <c r="BN126" s="101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1"/>
      <c r="BZ126" s="101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1"/>
      <c r="CM126" s="101"/>
      <c r="CN126" s="101"/>
      <c r="CO126" s="101"/>
      <c r="CP126" s="101"/>
      <c r="CQ126" s="101"/>
      <c r="CR126" s="101"/>
      <c r="CS126" s="101"/>
      <c r="CT126" s="101"/>
      <c r="CU126" s="101"/>
      <c r="CV126" s="101"/>
      <c r="CW126" s="101"/>
      <c r="CX126" s="101"/>
      <c r="CY126" s="101"/>
      <c r="CZ126" s="101"/>
      <c r="DA126" s="101"/>
      <c r="DB126" s="101"/>
      <c r="DC126" s="101"/>
      <c r="DD126" s="101"/>
      <c r="DE126" s="101"/>
      <c r="DF126" s="101"/>
      <c r="DG126" s="101"/>
      <c r="DH126" s="101"/>
      <c r="DI126" s="101"/>
      <c r="DJ126" s="101"/>
      <c r="DK126" s="101"/>
      <c r="DL126" s="101"/>
      <c r="DM126" s="101"/>
      <c r="DN126" s="101"/>
      <c r="DO126" s="101"/>
      <c r="DP126" s="101"/>
      <c r="DQ126" s="101"/>
      <c r="DR126" s="101"/>
      <c r="DS126" s="101"/>
      <c r="DT126" s="101"/>
      <c r="DU126" s="101"/>
      <c r="DV126" s="101"/>
      <c r="DW126" s="101"/>
      <c r="DX126" s="101"/>
      <c r="DY126" s="101"/>
      <c r="DZ126" s="101"/>
      <c r="EA126" s="101"/>
      <c r="EB126" s="101"/>
      <c r="EC126" s="101"/>
      <c r="ED126" s="101"/>
      <c r="EE126" s="101"/>
      <c r="EF126" s="101"/>
      <c r="EG126" s="101"/>
      <c r="EH126" s="101"/>
      <c r="EI126" s="101"/>
      <c r="EJ126" s="101"/>
      <c r="EK126" s="101"/>
      <c r="EL126" s="101"/>
      <c r="EM126" s="101"/>
      <c r="EN126" s="101"/>
      <c r="EO126" s="101"/>
      <c r="EP126" s="101"/>
      <c r="EQ126" s="101"/>
      <c r="ER126" s="101"/>
      <c r="ES126" s="101"/>
      <c r="ET126" s="101"/>
      <c r="EU126" s="101"/>
      <c r="EV126" s="101"/>
      <c r="EW126" s="101"/>
      <c r="EX126" s="101"/>
      <c r="EY126" s="101"/>
      <c r="EZ126" s="101"/>
      <c r="FA126" s="101"/>
      <c r="FB126" s="101"/>
      <c r="FC126" s="101"/>
      <c r="FD126" s="101"/>
      <c r="FE126" s="101"/>
      <c r="FF126" s="101"/>
      <c r="FG126" s="101"/>
      <c r="FH126" s="101"/>
      <c r="FI126" s="101"/>
      <c r="FJ126" s="101"/>
      <c r="FK126" s="101"/>
      <c r="FL126" s="101"/>
      <c r="FM126" s="101"/>
      <c r="FN126" s="101"/>
      <c r="FO126" s="101"/>
      <c r="FP126" s="101"/>
      <c r="FQ126" s="101"/>
      <c r="FR126" s="101"/>
      <c r="FS126" s="101"/>
      <c r="FT126" s="101"/>
      <c r="FU126" s="101"/>
      <c r="FV126" s="101"/>
      <c r="FW126" s="101"/>
      <c r="FX126" s="101"/>
      <c r="FY126" s="101"/>
      <c r="FZ126" s="101"/>
      <c r="GA126" s="101"/>
      <c r="GB126" s="101"/>
      <c r="GC126" s="101"/>
      <c r="GD126" s="101"/>
      <c r="GE126" s="101"/>
      <c r="GF126" s="101"/>
      <c r="GG126" s="101"/>
      <c r="GH126" s="101"/>
      <c r="GI126" s="101"/>
      <c r="GJ126" s="101"/>
      <c r="GK126" s="101"/>
      <c r="GL126" s="101"/>
      <c r="GM126" s="101"/>
      <c r="GN126" s="101"/>
      <c r="GO126" s="101"/>
      <c r="GP126" s="101"/>
      <c r="GQ126" s="101"/>
      <c r="GR126" s="101"/>
      <c r="GS126" s="101"/>
      <c r="GT126" s="101"/>
      <c r="GU126" s="101"/>
      <c r="GV126" s="101"/>
      <c r="GW126" s="101"/>
      <c r="GX126" s="101"/>
      <c r="GY126" s="101"/>
      <c r="GZ126" s="101"/>
      <c r="HA126" s="101"/>
      <c r="HB126" s="101"/>
      <c r="HC126" s="101"/>
      <c r="HD126" s="101"/>
      <c r="HE126" s="101"/>
      <c r="HF126" s="101"/>
      <c r="HG126" s="101"/>
      <c r="HH126" s="101"/>
      <c r="HI126" s="101"/>
      <c r="HJ126" s="101"/>
      <c r="HK126" s="101"/>
      <c r="HL126" s="101"/>
      <c r="HM126" s="101"/>
      <c r="HN126" s="101"/>
      <c r="HO126" s="101"/>
      <c r="HP126" s="101"/>
      <c r="HQ126" s="101"/>
      <c r="HR126" s="101"/>
      <c r="HS126" s="101"/>
      <c r="HT126" s="101"/>
      <c r="HU126" s="101"/>
      <c r="HV126" s="101"/>
      <c r="HW126" s="101"/>
      <c r="HX126" s="101"/>
      <c r="HY126" s="101"/>
      <c r="HZ126" s="101"/>
      <c r="IA126" s="101"/>
      <c r="IB126" s="101"/>
      <c r="IC126" s="101"/>
      <c r="ID126" s="101"/>
      <c r="IE126" s="101"/>
      <c r="IF126" s="101"/>
      <c r="IG126" s="101"/>
      <c r="IH126" s="101"/>
      <c r="II126" s="101"/>
      <c r="IJ126" s="101"/>
      <c r="IK126" s="101"/>
      <c r="IL126" s="101"/>
      <c r="IM126" s="101"/>
      <c r="IN126" s="101"/>
    </row>
    <row r="127" s="104" customFormat="1" ht="33.75" outlineLevel="1" spans="1:248">
      <c r="A127" s="117">
        <v>13</v>
      </c>
      <c r="B127" s="118" t="s">
        <v>1074</v>
      </c>
      <c r="C127" s="118" t="s">
        <v>1000</v>
      </c>
      <c r="D127" s="119">
        <v>23.6</v>
      </c>
      <c r="E127" s="120">
        <v>150</v>
      </c>
      <c r="F127" s="119">
        <f t="shared" si="5"/>
        <v>3540</v>
      </c>
      <c r="G127" s="124"/>
      <c r="H127" s="121" t="s">
        <v>1075</v>
      </c>
      <c r="I127" s="121" t="s">
        <v>1075</v>
      </c>
      <c r="J127" s="124"/>
      <c r="K127" s="118" t="s">
        <v>1076</v>
      </c>
      <c r="L127" s="129"/>
      <c r="M127" s="108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1"/>
      <c r="BN127" s="101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1"/>
      <c r="BZ127" s="101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1"/>
      <c r="CM127" s="101"/>
      <c r="CN127" s="101"/>
      <c r="CO127" s="101"/>
      <c r="CP127" s="101"/>
      <c r="CQ127" s="101"/>
      <c r="CR127" s="101"/>
      <c r="CS127" s="101"/>
      <c r="CT127" s="101"/>
      <c r="CU127" s="101"/>
      <c r="CV127" s="101"/>
      <c r="CW127" s="101"/>
      <c r="CX127" s="101"/>
      <c r="CY127" s="101"/>
      <c r="CZ127" s="101"/>
      <c r="DA127" s="101"/>
      <c r="DB127" s="101"/>
      <c r="DC127" s="101"/>
      <c r="DD127" s="101"/>
      <c r="DE127" s="101"/>
      <c r="DF127" s="101"/>
      <c r="DG127" s="101"/>
      <c r="DH127" s="101"/>
      <c r="DI127" s="101"/>
      <c r="DJ127" s="101"/>
      <c r="DK127" s="101"/>
      <c r="DL127" s="101"/>
      <c r="DM127" s="101"/>
      <c r="DN127" s="101"/>
      <c r="DO127" s="101"/>
      <c r="DP127" s="101"/>
      <c r="DQ127" s="101"/>
      <c r="DR127" s="101"/>
      <c r="DS127" s="101"/>
      <c r="DT127" s="101"/>
      <c r="DU127" s="101"/>
      <c r="DV127" s="101"/>
      <c r="DW127" s="101"/>
      <c r="DX127" s="101"/>
      <c r="DY127" s="101"/>
      <c r="DZ127" s="101"/>
      <c r="EA127" s="101"/>
      <c r="EB127" s="101"/>
      <c r="EC127" s="101"/>
      <c r="ED127" s="101"/>
      <c r="EE127" s="101"/>
      <c r="EF127" s="101"/>
      <c r="EG127" s="101"/>
      <c r="EH127" s="101"/>
      <c r="EI127" s="101"/>
      <c r="EJ127" s="101"/>
      <c r="EK127" s="101"/>
      <c r="EL127" s="101"/>
      <c r="EM127" s="101"/>
      <c r="EN127" s="101"/>
      <c r="EO127" s="101"/>
      <c r="EP127" s="101"/>
      <c r="EQ127" s="101"/>
      <c r="ER127" s="101"/>
      <c r="ES127" s="101"/>
      <c r="ET127" s="101"/>
      <c r="EU127" s="101"/>
      <c r="EV127" s="101"/>
      <c r="EW127" s="101"/>
      <c r="EX127" s="101"/>
      <c r="EY127" s="101"/>
      <c r="EZ127" s="101"/>
      <c r="FA127" s="101"/>
      <c r="FB127" s="101"/>
      <c r="FC127" s="101"/>
      <c r="FD127" s="101"/>
      <c r="FE127" s="101"/>
      <c r="FF127" s="101"/>
      <c r="FG127" s="101"/>
      <c r="FH127" s="101"/>
      <c r="FI127" s="101"/>
      <c r="FJ127" s="101"/>
      <c r="FK127" s="101"/>
      <c r="FL127" s="101"/>
      <c r="FM127" s="101"/>
      <c r="FN127" s="101"/>
      <c r="FO127" s="101"/>
      <c r="FP127" s="101"/>
      <c r="FQ127" s="101"/>
      <c r="FR127" s="101"/>
      <c r="FS127" s="101"/>
      <c r="FT127" s="101"/>
      <c r="FU127" s="101"/>
      <c r="FV127" s="101"/>
      <c r="FW127" s="101"/>
      <c r="FX127" s="101"/>
      <c r="FY127" s="101"/>
      <c r="FZ127" s="101"/>
      <c r="GA127" s="101"/>
      <c r="GB127" s="101"/>
      <c r="GC127" s="101"/>
      <c r="GD127" s="101"/>
      <c r="GE127" s="101"/>
      <c r="GF127" s="101"/>
      <c r="GG127" s="101"/>
      <c r="GH127" s="101"/>
      <c r="GI127" s="101"/>
      <c r="GJ127" s="101"/>
      <c r="GK127" s="101"/>
      <c r="GL127" s="101"/>
      <c r="GM127" s="101"/>
      <c r="GN127" s="101"/>
      <c r="GO127" s="101"/>
      <c r="GP127" s="101"/>
      <c r="GQ127" s="101"/>
      <c r="GR127" s="101"/>
      <c r="GS127" s="101"/>
      <c r="GT127" s="101"/>
      <c r="GU127" s="101"/>
      <c r="GV127" s="101"/>
      <c r="GW127" s="101"/>
      <c r="GX127" s="101"/>
      <c r="GY127" s="101"/>
      <c r="GZ127" s="101"/>
      <c r="HA127" s="101"/>
      <c r="HB127" s="101"/>
      <c r="HC127" s="101"/>
      <c r="HD127" s="101"/>
      <c r="HE127" s="101"/>
      <c r="HF127" s="101"/>
      <c r="HG127" s="101"/>
      <c r="HH127" s="101"/>
      <c r="HI127" s="101"/>
      <c r="HJ127" s="101"/>
      <c r="HK127" s="101"/>
      <c r="HL127" s="101"/>
      <c r="HM127" s="101"/>
      <c r="HN127" s="101"/>
      <c r="HO127" s="101"/>
      <c r="HP127" s="101"/>
      <c r="HQ127" s="101"/>
      <c r="HR127" s="101"/>
      <c r="HS127" s="101"/>
      <c r="HT127" s="101"/>
      <c r="HU127" s="101"/>
      <c r="HV127" s="101"/>
      <c r="HW127" s="101"/>
      <c r="HX127" s="101"/>
      <c r="HY127" s="101"/>
      <c r="HZ127" s="101"/>
      <c r="IA127" s="101"/>
      <c r="IB127" s="101"/>
      <c r="IC127" s="101"/>
      <c r="ID127" s="101"/>
      <c r="IE127" s="101"/>
      <c r="IF127" s="101"/>
      <c r="IG127" s="101"/>
      <c r="IH127" s="101"/>
      <c r="II127" s="101"/>
      <c r="IJ127" s="101"/>
      <c r="IK127" s="101"/>
      <c r="IL127" s="101"/>
      <c r="IM127" s="101"/>
      <c r="IN127" s="101"/>
    </row>
    <row r="128" s="104" customFormat="1" ht="33.75" outlineLevel="1" spans="1:248">
      <c r="A128" s="117">
        <v>14</v>
      </c>
      <c r="B128" s="118" t="s">
        <v>1077</v>
      </c>
      <c r="C128" s="118" t="s">
        <v>1000</v>
      </c>
      <c r="D128" s="119">
        <v>24.96</v>
      </c>
      <c r="E128" s="122">
        <v>150</v>
      </c>
      <c r="F128" s="119">
        <f t="shared" si="5"/>
        <v>3744</v>
      </c>
      <c r="G128" s="124"/>
      <c r="H128" s="121" t="s">
        <v>1075</v>
      </c>
      <c r="I128" s="121" t="s">
        <v>1075</v>
      </c>
      <c r="J128" s="124"/>
      <c r="K128" s="118" t="s">
        <v>1064</v>
      </c>
      <c r="L128" s="129" t="s">
        <v>1078</v>
      </c>
      <c r="M128" s="108" t="s">
        <v>1066</v>
      </c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1"/>
      <c r="BZ128" s="101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1"/>
      <c r="CM128" s="101"/>
      <c r="CN128" s="101"/>
      <c r="CO128" s="101"/>
      <c r="CP128" s="101"/>
      <c r="CQ128" s="101"/>
      <c r="CR128" s="101"/>
      <c r="CS128" s="101"/>
      <c r="CT128" s="101"/>
      <c r="CU128" s="101"/>
      <c r="CV128" s="101"/>
      <c r="CW128" s="101"/>
      <c r="CX128" s="101"/>
      <c r="CY128" s="101"/>
      <c r="CZ128" s="101"/>
      <c r="DA128" s="101"/>
      <c r="DB128" s="101"/>
      <c r="DC128" s="101"/>
      <c r="DD128" s="101"/>
      <c r="DE128" s="101"/>
      <c r="DF128" s="101"/>
      <c r="DG128" s="101"/>
      <c r="DH128" s="101"/>
      <c r="DI128" s="101"/>
      <c r="DJ128" s="101"/>
      <c r="DK128" s="101"/>
      <c r="DL128" s="101"/>
      <c r="DM128" s="101"/>
      <c r="DN128" s="101"/>
      <c r="DO128" s="101"/>
      <c r="DP128" s="101"/>
      <c r="DQ128" s="101"/>
      <c r="DR128" s="101"/>
      <c r="DS128" s="101"/>
      <c r="DT128" s="101"/>
      <c r="DU128" s="101"/>
      <c r="DV128" s="101"/>
      <c r="DW128" s="101"/>
      <c r="DX128" s="101"/>
      <c r="DY128" s="101"/>
      <c r="DZ128" s="101"/>
      <c r="EA128" s="101"/>
      <c r="EB128" s="101"/>
      <c r="EC128" s="101"/>
      <c r="ED128" s="101"/>
      <c r="EE128" s="101"/>
      <c r="EF128" s="101"/>
      <c r="EG128" s="101"/>
      <c r="EH128" s="101"/>
      <c r="EI128" s="101"/>
      <c r="EJ128" s="101"/>
      <c r="EK128" s="101"/>
      <c r="EL128" s="101"/>
      <c r="EM128" s="101"/>
      <c r="EN128" s="101"/>
      <c r="EO128" s="101"/>
      <c r="EP128" s="101"/>
      <c r="EQ128" s="101"/>
      <c r="ER128" s="101"/>
      <c r="ES128" s="101"/>
      <c r="ET128" s="101"/>
      <c r="EU128" s="101"/>
      <c r="EV128" s="101"/>
      <c r="EW128" s="101"/>
      <c r="EX128" s="101"/>
      <c r="EY128" s="101"/>
      <c r="EZ128" s="101"/>
      <c r="FA128" s="101"/>
      <c r="FB128" s="101"/>
      <c r="FC128" s="101"/>
      <c r="FD128" s="101"/>
      <c r="FE128" s="101"/>
      <c r="FF128" s="101"/>
      <c r="FG128" s="101"/>
      <c r="FH128" s="101"/>
      <c r="FI128" s="101"/>
      <c r="FJ128" s="101"/>
      <c r="FK128" s="101"/>
      <c r="FL128" s="101"/>
      <c r="FM128" s="101"/>
      <c r="FN128" s="101"/>
      <c r="FO128" s="101"/>
      <c r="FP128" s="101"/>
      <c r="FQ128" s="101"/>
      <c r="FR128" s="101"/>
      <c r="FS128" s="101"/>
      <c r="FT128" s="101"/>
      <c r="FU128" s="101"/>
      <c r="FV128" s="101"/>
      <c r="FW128" s="101"/>
      <c r="FX128" s="101"/>
      <c r="FY128" s="101"/>
      <c r="FZ128" s="101"/>
      <c r="GA128" s="101"/>
      <c r="GB128" s="101"/>
      <c r="GC128" s="101"/>
      <c r="GD128" s="101"/>
      <c r="GE128" s="101"/>
      <c r="GF128" s="101"/>
      <c r="GG128" s="101"/>
      <c r="GH128" s="101"/>
      <c r="GI128" s="101"/>
      <c r="GJ128" s="101"/>
      <c r="GK128" s="101"/>
      <c r="GL128" s="101"/>
      <c r="GM128" s="101"/>
      <c r="GN128" s="101"/>
      <c r="GO128" s="101"/>
      <c r="GP128" s="101"/>
      <c r="GQ128" s="101"/>
      <c r="GR128" s="101"/>
      <c r="GS128" s="101"/>
      <c r="GT128" s="101"/>
      <c r="GU128" s="101"/>
      <c r="GV128" s="101"/>
      <c r="GW128" s="101"/>
      <c r="GX128" s="101"/>
      <c r="GY128" s="101"/>
      <c r="GZ128" s="101"/>
      <c r="HA128" s="101"/>
      <c r="HB128" s="101"/>
      <c r="HC128" s="101"/>
      <c r="HD128" s="101"/>
      <c r="HE128" s="101"/>
      <c r="HF128" s="101"/>
      <c r="HG128" s="101"/>
      <c r="HH128" s="101"/>
      <c r="HI128" s="101"/>
      <c r="HJ128" s="101"/>
      <c r="HK128" s="101"/>
      <c r="HL128" s="101"/>
      <c r="HM128" s="101"/>
      <c r="HN128" s="101"/>
      <c r="HO128" s="101"/>
      <c r="HP128" s="101"/>
      <c r="HQ128" s="101"/>
      <c r="HR128" s="101"/>
      <c r="HS128" s="101"/>
      <c r="HT128" s="101"/>
      <c r="HU128" s="101"/>
      <c r="HV128" s="101"/>
      <c r="HW128" s="101"/>
      <c r="HX128" s="101"/>
      <c r="HY128" s="101"/>
      <c r="HZ128" s="101"/>
      <c r="IA128" s="101"/>
      <c r="IB128" s="101"/>
      <c r="IC128" s="101"/>
      <c r="ID128" s="101"/>
      <c r="IE128" s="101"/>
      <c r="IF128" s="101"/>
      <c r="IG128" s="101"/>
      <c r="IH128" s="101"/>
      <c r="II128" s="101"/>
      <c r="IJ128" s="101"/>
      <c r="IK128" s="101"/>
      <c r="IL128" s="101"/>
      <c r="IM128" s="101"/>
      <c r="IN128" s="101"/>
    </row>
    <row r="129" s="104" customFormat="1" ht="101.25" outlineLevel="1" spans="1:248">
      <c r="A129" s="117">
        <v>15</v>
      </c>
      <c r="B129" s="118" t="s">
        <v>1079</v>
      </c>
      <c r="C129" s="118" t="s">
        <v>1000</v>
      </c>
      <c r="D129" s="119">
        <f>217.65-25.52+91.15</f>
        <v>283.28</v>
      </c>
      <c r="E129" s="120">
        <v>470</v>
      </c>
      <c r="F129" s="119">
        <f t="shared" si="5"/>
        <v>133141.6</v>
      </c>
      <c r="G129" s="124"/>
      <c r="H129" s="118" t="s">
        <v>1042</v>
      </c>
      <c r="I129" s="118" t="s">
        <v>1042</v>
      </c>
      <c r="J129" s="124"/>
      <c r="K129" s="118" t="s">
        <v>1080</v>
      </c>
      <c r="L129" s="129"/>
      <c r="M129" s="108" t="s">
        <v>1081</v>
      </c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1"/>
      <c r="BZ129" s="10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</row>
    <row r="130" s="104" customFormat="1" ht="56.25" outlineLevel="1" spans="1:248">
      <c r="A130" s="117">
        <v>16</v>
      </c>
      <c r="B130" s="118" t="s">
        <v>1082</v>
      </c>
      <c r="C130" s="118" t="s">
        <v>1000</v>
      </c>
      <c r="D130" s="119">
        <v>308.2</v>
      </c>
      <c r="E130" s="120">
        <v>27</v>
      </c>
      <c r="F130" s="119">
        <f t="shared" si="5"/>
        <v>8321.4</v>
      </c>
      <c r="G130" s="124"/>
      <c r="H130" s="118" t="s">
        <v>1083</v>
      </c>
      <c r="I130" s="118" t="s">
        <v>1083</v>
      </c>
      <c r="J130" s="124"/>
      <c r="K130" s="118" t="s">
        <v>1084</v>
      </c>
      <c r="L130" s="129"/>
      <c r="M130" s="108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1"/>
      <c r="BN130" s="101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1"/>
      <c r="BZ130" s="10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</row>
    <row r="131" s="102" customFormat="1" ht="33.75" spans="1:13">
      <c r="A131" s="137" t="s">
        <v>1085</v>
      </c>
      <c r="B131" s="138"/>
      <c r="C131" s="115"/>
      <c r="D131" s="116"/>
      <c r="E131" s="116"/>
      <c r="F131" s="116">
        <f>F132</f>
        <v>18745.68</v>
      </c>
      <c r="G131" s="115"/>
      <c r="H131" s="115"/>
      <c r="I131" s="115"/>
      <c r="J131" s="115"/>
      <c r="K131" s="115"/>
      <c r="L131" s="128"/>
      <c r="M131" s="127"/>
    </row>
    <row r="132" s="102" customFormat="1" ht="78.75" spans="1:13">
      <c r="A132" s="114"/>
      <c r="B132" s="118" t="s">
        <v>1086</v>
      </c>
      <c r="C132" s="118" t="s">
        <v>525</v>
      </c>
      <c r="D132" s="119">
        <f>D115+D116+D117+D118+D119+D120+D121+D122+D123+D124+D125+D126+D127+D128+D129+D130</f>
        <v>1562.14</v>
      </c>
      <c r="E132" s="119">
        <v>12</v>
      </c>
      <c r="F132" s="119">
        <f>E132*D132</f>
        <v>18745.68</v>
      </c>
      <c r="G132" s="118"/>
      <c r="H132" s="118"/>
      <c r="I132" s="118"/>
      <c r="J132" s="118"/>
      <c r="K132" s="118" t="s">
        <v>1087</v>
      </c>
      <c r="L132" s="128"/>
      <c r="M132" s="127"/>
    </row>
    <row r="133" s="104" customFormat="1" spans="1:248">
      <c r="A133" s="117"/>
      <c r="B133" s="115" t="s">
        <v>556</v>
      </c>
      <c r="C133" s="118"/>
      <c r="D133" s="119"/>
      <c r="E133" s="119"/>
      <c r="F133" s="119">
        <f>F4+F49+F114+F131</f>
        <v>986200.05</v>
      </c>
      <c r="G133" s="118"/>
      <c r="H133" s="118"/>
      <c r="I133" s="118"/>
      <c r="J133" s="118"/>
      <c r="K133" s="118"/>
      <c r="L133" s="129"/>
      <c r="M133" s="108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1"/>
      <c r="BZ133" s="101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1"/>
      <c r="CM133" s="101"/>
      <c r="CN133" s="101"/>
      <c r="CO133" s="101"/>
      <c r="CP133" s="101"/>
      <c r="CQ133" s="101"/>
      <c r="CR133" s="101"/>
      <c r="CS133" s="101"/>
      <c r="CT133" s="101"/>
      <c r="CU133" s="101"/>
      <c r="CV133" s="101"/>
      <c r="CW133" s="101"/>
      <c r="CX133" s="101"/>
      <c r="CY133" s="101"/>
      <c r="CZ133" s="101"/>
      <c r="DA133" s="101"/>
      <c r="DB133" s="101"/>
      <c r="DC133" s="101"/>
      <c r="DD133" s="101"/>
      <c r="DE133" s="101"/>
      <c r="DF133" s="101"/>
      <c r="DG133" s="101"/>
      <c r="DH133" s="101"/>
      <c r="DI133" s="101"/>
      <c r="DJ133" s="101"/>
      <c r="DK133" s="101"/>
      <c r="DL133" s="101"/>
      <c r="DM133" s="101"/>
      <c r="DN133" s="101"/>
      <c r="DO133" s="101"/>
      <c r="DP133" s="101"/>
      <c r="DQ133" s="101"/>
      <c r="DR133" s="101"/>
      <c r="DS133" s="101"/>
      <c r="DT133" s="101"/>
      <c r="DU133" s="101"/>
      <c r="DV133" s="101"/>
      <c r="DW133" s="101"/>
      <c r="DX133" s="101"/>
      <c r="DY133" s="101"/>
      <c r="DZ133" s="101"/>
      <c r="EA133" s="101"/>
      <c r="EB133" s="101"/>
      <c r="EC133" s="101"/>
      <c r="ED133" s="101"/>
      <c r="EE133" s="101"/>
      <c r="EF133" s="101"/>
      <c r="EG133" s="101"/>
      <c r="EH133" s="101"/>
      <c r="EI133" s="101"/>
      <c r="EJ133" s="101"/>
      <c r="EK133" s="101"/>
      <c r="EL133" s="101"/>
      <c r="EM133" s="101"/>
      <c r="EN133" s="101"/>
      <c r="EO133" s="101"/>
      <c r="EP133" s="101"/>
      <c r="EQ133" s="101"/>
      <c r="ER133" s="101"/>
      <c r="ES133" s="101"/>
      <c r="ET133" s="101"/>
      <c r="EU133" s="101"/>
      <c r="EV133" s="101"/>
      <c r="EW133" s="101"/>
      <c r="EX133" s="101"/>
      <c r="EY133" s="101"/>
      <c r="EZ133" s="101"/>
      <c r="FA133" s="101"/>
      <c r="FB133" s="101"/>
      <c r="FC133" s="101"/>
      <c r="FD133" s="101"/>
      <c r="FE133" s="101"/>
      <c r="FF133" s="101"/>
      <c r="FG133" s="101"/>
      <c r="FH133" s="101"/>
      <c r="FI133" s="101"/>
      <c r="FJ133" s="101"/>
      <c r="FK133" s="101"/>
      <c r="FL133" s="101"/>
      <c r="FM133" s="101"/>
      <c r="FN133" s="101"/>
      <c r="FO133" s="101"/>
      <c r="FP133" s="101"/>
      <c r="FQ133" s="101"/>
      <c r="FR133" s="101"/>
      <c r="FS133" s="101"/>
      <c r="FT133" s="101"/>
      <c r="FU133" s="101"/>
      <c r="FV133" s="101"/>
      <c r="FW133" s="101"/>
      <c r="FX133" s="101"/>
      <c r="FY133" s="101"/>
      <c r="FZ133" s="101"/>
      <c r="GA133" s="101"/>
      <c r="GB133" s="101"/>
      <c r="GC133" s="101"/>
      <c r="GD133" s="101"/>
      <c r="GE133" s="101"/>
      <c r="GF133" s="101"/>
      <c r="GG133" s="101"/>
      <c r="GH133" s="101"/>
      <c r="GI133" s="101"/>
      <c r="GJ133" s="101"/>
      <c r="GK133" s="101"/>
      <c r="GL133" s="101"/>
      <c r="GM133" s="101"/>
      <c r="GN133" s="101"/>
      <c r="GO133" s="101"/>
      <c r="GP133" s="101"/>
      <c r="GQ133" s="101"/>
      <c r="GR133" s="101"/>
      <c r="GS133" s="101"/>
      <c r="GT133" s="101"/>
      <c r="GU133" s="101"/>
      <c r="GV133" s="101"/>
      <c r="GW133" s="101"/>
      <c r="GX133" s="101"/>
      <c r="GY133" s="101"/>
      <c r="GZ133" s="101"/>
      <c r="HA133" s="101"/>
      <c r="HB133" s="101"/>
      <c r="HC133" s="101"/>
      <c r="HD133" s="101"/>
      <c r="HE133" s="101"/>
      <c r="HF133" s="101"/>
      <c r="HG133" s="101"/>
      <c r="HH133" s="101"/>
      <c r="HI133" s="101"/>
      <c r="HJ133" s="101"/>
      <c r="HK133" s="101"/>
      <c r="HL133" s="101"/>
      <c r="HM133" s="101"/>
      <c r="HN133" s="101"/>
      <c r="HO133" s="101"/>
      <c r="HP133" s="101"/>
      <c r="HQ133" s="101"/>
      <c r="HR133" s="101"/>
      <c r="HS133" s="101"/>
      <c r="HT133" s="101"/>
      <c r="HU133" s="101"/>
      <c r="HV133" s="101"/>
      <c r="HW133" s="101"/>
      <c r="HX133" s="101"/>
      <c r="HY133" s="101"/>
      <c r="HZ133" s="101"/>
      <c r="IA133" s="101"/>
      <c r="IB133" s="101"/>
      <c r="IC133" s="101"/>
      <c r="ID133" s="101"/>
      <c r="IE133" s="101"/>
      <c r="IF133" s="101"/>
      <c r="IG133" s="101"/>
      <c r="IH133" s="101"/>
      <c r="II133" s="101"/>
      <c r="IJ133" s="101"/>
      <c r="IK133" s="101"/>
      <c r="IL133" s="101"/>
      <c r="IM133" s="101"/>
      <c r="IN133" s="101"/>
    </row>
    <row r="134" s="105" customFormat="1" ht="34.5" spans="1:248">
      <c r="A134" s="139"/>
      <c r="B134" s="140" t="s">
        <v>1088</v>
      </c>
      <c r="C134" s="141"/>
      <c r="D134" s="142"/>
      <c r="E134" s="143"/>
      <c r="F134" s="143">
        <f>F133*(1-0.31%)</f>
        <v>983142.83</v>
      </c>
      <c r="G134" s="141"/>
      <c r="H134" s="141"/>
      <c r="I134" s="141"/>
      <c r="J134" s="141"/>
      <c r="K134" s="141"/>
      <c r="L134" s="144"/>
      <c r="M134" s="127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102"/>
      <c r="BI134" s="102"/>
      <c r="BJ134" s="102"/>
      <c r="BK134" s="102"/>
      <c r="BL134" s="102"/>
      <c r="BM134" s="102"/>
      <c r="BN134" s="102"/>
      <c r="BO134" s="102"/>
      <c r="BP134" s="102"/>
      <c r="BQ134" s="102"/>
      <c r="BR134" s="102"/>
      <c r="BS134" s="102"/>
      <c r="BT134" s="102"/>
      <c r="BU134" s="102"/>
      <c r="BV134" s="102"/>
      <c r="BW134" s="102"/>
      <c r="BX134" s="102"/>
      <c r="BY134" s="102"/>
      <c r="BZ134" s="102"/>
      <c r="CA134" s="102"/>
      <c r="CB134" s="102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  <c r="HY134" s="102"/>
      <c r="HZ134" s="102"/>
      <c r="IA134" s="102"/>
      <c r="IB134" s="102"/>
      <c r="IC134" s="102"/>
      <c r="ID134" s="102"/>
      <c r="IE134" s="102"/>
      <c r="IF134" s="102"/>
      <c r="IG134" s="102"/>
      <c r="IH134" s="102"/>
      <c r="II134" s="102"/>
      <c r="IJ134" s="102"/>
      <c r="IK134" s="102"/>
      <c r="IL134" s="102"/>
      <c r="IM134" s="102"/>
      <c r="IN134" s="102"/>
    </row>
  </sheetData>
  <mergeCells count="16">
    <mergeCell ref="A1:L1"/>
    <mergeCell ref="G2:J2"/>
    <mergeCell ref="A2:A3"/>
    <mergeCell ref="B2:B3"/>
    <mergeCell ref="C2:C3"/>
    <mergeCell ref="D2:D3"/>
    <mergeCell ref="E2:E3"/>
    <mergeCell ref="F2:F3"/>
    <mergeCell ref="K2:K3"/>
    <mergeCell ref="L2:L3"/>
    <mergeCell ref="M16:M17"/>
    <mergeCell ref="M24:M27"/>
    <mergeCell ref="M45:M48"/>
    <mergeCell ref="M93:M106"/>
    <mergeCell ref="M108:M113"/>
    <mergeCell ref="N16:N17"/>
  </mergeCells>
  <printOptions horizontalCentered="1"/>
  <pageMargins left="0.118055555555556" right="0.118055555555556" top="0.0784722222222222" bottom="0.432638888888889" header="0.5" footer="0.0388888888888889"/>
  <pageSetup paperSize="9" orientation="portrait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zoomScaleSheetLayoutView="60" workbookViewId="0">
      <selection activeCell="N8" sqref="N8"/>
    </sheetView>
  </sheetViews>
  <sheetFormatPr defaultColWidth="8.75" defaultRowHeight="13.5" outlineLevelRow="6"/>
  <cols>
    <col min="1" max="1" width="5.625" style="68" customWidth="1"/>
    <col min="2" max="2" width="14.375" style="68" customWidth="1"/>
    <col min="3" max="3" width="12" style="68" customWidth="1"/>
    <col min="4" max="4" width="5.75" style="68" customWidth="1"/>
    <col min="5" max="5" width="8" style="68" customWidth="1"/>
    <col min="6" max="6" width="9.375" style="68" customWidth="1"/>
    <col min="7" max="7" width="8.75" style="68" customWidth="1"/>
    <col min="8" max="8" width="10.5" style="69" customWidth="1"/>
    <col min="9" max="9" width="8.25" style="68" customWidth="1"/>
    <col min="10" max="10" width="10.375" style="68" customWidth="1"/>
    <col min="11" max="11" width="21.4416666666667" style="68"/>
    <col min="12" max="14" width="8.75" style="68"/>
    <col min="15" max="15" width="15.125" style="68" customWidth="1"/>
    <col min="16" max="16384" width="8.75" style="68"/>
  </cols>
  <sheetData>
    <row r="1" ht="53.25" customHeight="1" spans="1:10">
      <c r="A1" s="70" t="s">
        <v>1089</v>
      </c>
      <c r="B1" s="70"/>
      <c r="C1" s="70"/>
      <c r="D1" s="70"/>
      <c r="E1" s="70"/>
      <c r="F1" s="70"/>
      <c r="G1" s="70"/>
      <c r="H1" s="70"/>
      <c r="I1" s="70"/>
      <c r="J1" s="70"/>
    </row>
    <row r="2" ht="30" customHeight="1" spans="1:10">
      <c r="A2" s="71" t="s">
        <v>1</v>
      </c>
      <c r="B2" s="72" t="s">
        <v>343</v>
      </c>
      <c r="C2" s="72" t="s">
        <v>516</v>
      </c>
      <c r="D2" s="73" t="s">
        <v>517</v>
      </c>
      <c r="E2" s="74" t="s">
        <v>518</v>
      </c>
      <c r="F2" s="74" t="s">
        <v>519</v>
      </c>
      <c r="G2" s="74"/>
      <c r="H2" s="73" t="s">
        <v>520</v>
      </c>
      <c r="I2" s="72" t="s">
        <v>374</v>
      </c>
      <c r="J2" s="95" t="s">
        <v>902</v>
      </c>
    </row>
    <row r="3" ht="30" customHeight="1" spans="1:10">
      <c r="A3" s="75"/>
      <c r="B3" s="76"/>
      <c r="C3" s="76"/>
      <c r="D3" s="77"/>
      <c r="E3" s="78"/>
      <c r="F3" s="78"/>
      <c r="G3" s="78" t="s">
        <v>521</v>
      </c>
      <c r="H3" s="77"/>
      <c r="I3" s="76"/>
      <c r="J3" s="96"/>
    </row>
    <row r="4" s="67" customFormat="1" ht="57" customHeight="1" spans="1:10">
      <c r="A4" s="79" t="s">
        <v>441</v>
      </c>
      <c r="B4" s="80" t="s">
        <v>444</v>
      </c>
      <c r="C4" s="80"/>
      <c r="D4" s="80"/>
      <c r="E4" s="80"/>
      <c r="F4" s="80"/>
      <c r="G4" s="80"/>
      <c r="H4" s="81"/>
      <c r="I4" s="80"/>
      <c r="J4" s="97"/>
    </row>
    <row r="5" ht="57" customHeight="1" spans="1:10">
      <c r="A5" s="82">
        <v>1</v>
      </c>
      <c r="B5" s="83" t="s">
        <v>1090</v>
      </c>
      <c r="C5" s="83" t="s">
        <v>1091</v>
      </c>
      <c r="D5" s="84" t="s">
        <v>561</v>
      </c>
      <c r="E5" s="85">
        <v>1</v>
      </c>
      <c r="F5" s="86">
        <v>1200</v>
      </c>
      <c r="G5" s="87"/>
      <c r="H5" s="88">
        <f>E5*F5</f>
        <v>1200</v>
      </c>
      <c r="I5" s="98" t="s">
        <v>1092</v>
      </c>
      <c r="J5" s="99" t="s">
        <v>1093</v>
      </c>
    </row>
    <row r="6" s="67" customFormat="1" ht="57" customHeight="1" spans="1:10">
      <c r="A6" s="79" t="s">
        <v>447</v>
      </c>
      <c r="B6" s="89" t="s">
        <v>573</v>
      </c>
      <c r="C6" s="80"/>
      <c r="D6" s="80" t="s">
        <v>574</v>
      </c>
      <c r="E6" s="80"/>
      <c r="F6" s="80"/>
      <c r="G6" s="80"/>
      <c r="H6" s="81">
        <f>SUM(H5:H5)</f>
        <v>1200</v>
      </c>
      <c r="I6" s="80"/>
      <c r="J6" s="97"/>
    </row>
    <row r="7" ht="44" customHeight="1" spans="1:10">
      <c r="A7" s="90" t="s">
        <v>451</v>
      </c>
      <c r="B7" s="91" t="s">
        <v>1088</v>
      </c>
      <c r="C7" s="92"/>
      <c r="D7" s="93" t="s">
        <v>574</v>
      </c>
      <c r="E7" s="92"/>
      <c r="F7" s="92"/>
      <c r="G7" s="92"/>
      <c r="H7" s="94">
        <f>H6*(1-0.71%)</f>
        <v>1191.48</v>
      </c>
      <c r="I7" s="92"/>
      <c r="J7" s="100"/>
    </row>
  </sheetData>
  <mergeCells count="10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</mergeCells>
  <printOptions horizontalCentered="1"/>
  <pageMargins left="0.118055555555556" right="0.118055555555556" top="0.0388888888888889" bottom="0.751388888888889" header="0.118055555555556" footer="0.298611111111111"/>
  <pageSetup paperSize="9" orientation="portrait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S67"/>
  <sheetViews>
    <sheetView view="pageBreakPreview" zoomScaleNormal="100" workbookViewId="0">
      <pane ySplit="4" topLeftCell="A29" activePane="bottomLeft" state="frozen"/>
      <selection/>
      <selection pane="bottomLeft" activeCell="D3" sqref="D$1:D$1048576"/>
    </sheetView>
  </sheetViews>
  <sheetFormatPr defaultColWidth="8.75" defaultRowHeight="14.25"/>
  <cols>
    <col min="1" max="1" width="5" style="45" customWidth="1"/>
    <col min="2" max="2" width="7.5" style="45" customWidth="1"/>
    <col min="3" max="3" width="23.125" style="45" customWidth="1"/>
    <col min="4" max="4" width="4.375" style="2" customWidth="1"/>
    <col min="5" max="5" width="7.625" style="3" customWidth="1"/>
    <col min="6" max="6" width="9.375" style="3" customWidth="1"/>
    <col min="7" max="7" width="6.625" style="3" customWidth="1"/>
    <col min="8" max="8" width="11.75" style="3" customWidth="1"/>
    <col min="9" max="9" width="10.625" style="45" customWidth="1"/>
    <col min="10" max="16384" width="8.75" style="45"/>
  </cols>
  <sheetData>
    <row r="1" s="43" customFormat="1" spans="1:9">
      <c r="A1" s="4" t="s">
        <v>1094</v>
      </c>
      <c r="B1" s="4"/>
      <c r="C1" s="4"/>
      <c r="D1" s="4"/>
      <c r="E1" s="5"/>
      <c r="F1" s="5"/>
      <c r="G1" s="5"/>
      <c r="H1" s="5"/>
      <c r="I1" s="4"/>
    </row>
    <row r="2" s="43" customFormat="1" ht="24" customHeight="1" spans="1:9">
      <c r="A2" s="6"/>
      <c r="B2" s="6"/>
      <c r="C2" s="6"/>
      <c r="D2" s="6"/>
      <c r="E2" s="7"/>
      <c r="F2" s="7"/>
      <c r="G2" s="7"/>
      <c r="H2" s="7"/>
      <c r="I2" s="6"/>
    </row>
    <row r="3" s="43" customFormat="1" ht="15" spans="1:9">
      <c r="A3" s="46" t="s">
        <v>1</v>
      </c>
      <c r="B3" s="46" t="s">
        <v>343</v>
      </c>
      <c r="C3" s="46" t="s">
        <v>516</v>
      </c>
      <c r="D3" s="28" t="s">
        <v>517</v>
      </c>
      <c r="E3" s="29" t="s">
        <v>518</v>
      </c>
      <c r="F3" s="29" t="s">
        <v>576</v>
      </c>
      <c r="G3" s="29"/>
      <c r="H3" s="29" t="s">
        <v>520</v>
      </c>
      <c r="I3" s="46" t="s">
        <v>374</v>
      </c>
    </row>
    <row r="4" s="43" customFormat="1" ht="23.25" spans="1:9">
      <c r="A4" s="47"/>
      <c r="B4" s="47"/>
      <c r="C4" s="47"/>
      <c r="D4" s="31"/>
      <c r="E4" s="32"/>
      <c r="F4" s="32"/>
      <c r="G4" s="32" t="s">
        <v>521</v>
      </c>
      <c r="H4" s="32"/>
      <c r="I4" s="47"/>
    </row>
    <row r="5" s="43" customFormat="1" ht="15" spans="1:253">
      <c r="A5" s="47" t="s">
        <v>441</v>
      </c>
      <c r="B5" s="48" t="s">
        <v>577</v>
      </c>
      <c r="C5" s="47"/>
      <c r="D5" s="31"/>
      <c r="E5" s="32"/>
      <c r="F5" s="32"/>
      <c r="G5" s="32"/>
      <c r="H5" s="34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</row>
    <row r="6" s="43" customFormat="1" ht="68.25" outlineLevel="1" spans="1:253">
      <c r="A6" s="49">
        <v>24</v>
      </c>
      <c r="B6" s="49" t="s">
        <v>1095</v>
      </c>
      <c r="C6" s="49" t="s">
        <v>1096</v>
      </c>
      <c r="D6" s="35" t="s">
        <v>613</v>
      </c>
      <c r="E6" s="36">
        <f>-(245+45.7)+20*2+1.5*2</f>
        <v>-247.7</v>
      </c>
      <c r="F6" s="36">
        <v>24.1</v>
      </c>
      <c r="G6" s="36">
        <v>17.1</v>
      </c>
      <c r="H6" s="36">
        <f t="shared" ref="H6:H64" si="0">E6*F6</f>
        <v>-5969.57</v>
      </c>
      <c r="I6" s="49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</row>
    <row r="7" s="43" customFormat="1" ht="23.25" spans="1:253">
      <c r="A7" s="49"/>
      <c r="B7" s="49" t="s">
        <v>590</v>
      </c>
      <c r="C7" s="49"/>
      <c r="D7" s="35"/>
      <c r="E7" s="36"/>
      <c r="F7" s="36"/>
      <c r="G7" s="36"/>
      <c r="H7" s="36">
        <f t="shared" si="0"/>
        <v>0</v>
      </c>
      <c r="I7" s="49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</row>
    <row r="8" s="43" customFormat="1" ht="23.25" spans="1:9">
      <c r="A8" s="47" t="s">
        <v>447</v>
      </c>
      <c r="B8" s="47" t="s">
        <v>591</v>
      </c>
      <c r="C8" s="47"/>
      <c r="D8" s="31"/>
      <c r="E8" s="50"/>
      <c r="F8" s="50"/>
      <c r="G8" s="50"/>
      <c r="H8" s="36">
        <f t="shared" si="0"/>
        <v>0</v>
      </c>
      <c r="I8" s="47"/>
    </row>
    <row r="9" s="43" customFormat="1" ht="23.25" outlineLevel="1" spans="1:253">
      <c r="A9" s="51" t="s">
        <v>1097</v>
      </c>
      <c r="B9" s="52" t="s">
        <v>1098</v>
      </c>
      <c r="C9" s="53"/>
      <c r="D9" s="54"/>
      <c r="E9" s="40"/>
      <c r="F9" s="40"/>
      <c r="G9" s="40"/>
      <c r="H9" s="36">
        <f t="shared" si="0"/>
        <v>0</v>
      </c>
      <c r="I9" s="49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</row>
    <row r="10" s="43" customFormat="1" ht="102" outlineLevel="2" spans="1:253">
      <c r="A10" s="49">
        <v>1</v>
      </c>
      <c r="B10" s="49" t="s">
        <v>1099</v>
      </c>
      <c r="C10" s="49" t="s">
        <v>1100</v>
      </c>
      <c r="D10" s="35" t="s">
        <v>613</v>
      </c>
      <c r="E10" s="40">
        <v>-1.5</v>
      </c>
      <c r="F10" s="40">
        <v>29.26</v>
      </c>
      <c r="G10" s="40">
        <v>19.97</v>
      </c>
      <c r="H10" s="36">
        <f t="shared" si="0"/>
        <v>-43.89</v>
      </c>
      <c r="I10" s="49" t="s">
        <v>1101</v>
      </c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</row>
    <row r="11" s="43" customFormat="1" ht="90.75" outlineLevel="2" spans="1:253">
      <c r="A11" s="49">
        <v>2</v>
      </c>
      <c r="B11" s="49" t="s">
        <v>1102</v>
      </c>
      <c r="C11" s="49" t="s">
        <v>1103</v>
      </c>
      <c r="D11" s="35" t="s">
        <v>613</v>
      </c>
      <c r="E11" s="40">
        <v>-24.66</v>
      </c>
      <c r="F11" s="40">
        <v>34.79</v>
      </c>
      <c r="G11" s="40">
        <v>23.52</v>
      </c>
      <c r="H11" s="36">
        <f t="shared" si="0"/>
        <v>-857.92</v>
      </c>
      <c r="I11" s="49" t="s">
        <v>1104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</row>
    <row r="12" s="43" customFormat="1" ht="90.75" outlineLevel="2" spans="1:9">
      <c r="A12" s="49">
        <v>3</v>
      </c>
      <c r="B12" s="49" t="s">
        <v>1102</v>
      </c>
      <c r="C12" s="49" t="s">
        <v>1105</v>
      </c>
      <c r="D12" s="35" t="s">
        <v>613</v>
      </c>
      <c r="E12" s="40">
        <v>-0.8</v>
      </c>
      <c r="F12" s="40">
        <v>22.38</v>
      </c>
      <c r="G12" s="40">
        <v>13.12</v>
      </c>
      <c r="H12" s="36">
        <f t="shared" si="0"/>
        <v>-17.9</v>
      </c>
      <c r="I12" s="49" t="s">
        <v>1104</v>
      </c>
    </row>
    <row r="13" s="43" customFormat="1" ht="79.5" outlineLevel="2" spans="1:9">
      <c r="A13" s="49">
        <v>4</v>
      </c>
      <c r="B13" s="49" t="s">
        <v>1106</v>
      </c>
      <c r="C13" s="49" t="s">
        <v>1107</v>
      </c>
      <c r="D13" s="35" t="s">
        <v>1108</v>
      </c>
      <c r="E13" s="40">
        <v>-2</v>
      </c>
      <c r="F13" s="40">
        <v>6300</v>
      </c>
      <c r="G13" s="40">
        <v>3835</v>
      </c>
      <c r="H13" s="36">
        <f t="shared" si="0"/>
        <v>-12600</v>
      </c>
      <c r="I13" s="49" t="s">
        <v>1109</v>
      </c>
    </row>
    <row r="14" s="43" customFormat="1" ht="68.25" outlineLevel="2" spans="1:253">
      <c r="A14" s="49">
        <v>5</v>
      </c>
      <c r="B14" s="53" t="s">
        <v>1110</v>
      </c>
      <c r="C14" s="49" t="s">
        <v>1111</v>
      </c>
      <c r="D14" s="54" t="s">
        <v>565</v>
      </c>
      <c r="E14" s="40">
        <v>-8</v>
      </c>
      <c r="F14" s="40">
        <v>57.92</v>
      </c>
      <c r="G14" s="40">
        <v>38.63</v>
      </c>
      <c r="H14" s="36">
        <f t="shared" si="0"/>
        <v>-463.36</v>
      </c>
      <c r="I14" s="49" t="s">
        <v>1112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</row>
    <row r="15" s="43" customFormat="1" ht="68.25" outlineLevel="2" spans="1:253">
      <c r="A15" s="49">
        <v>6</v>
      </c>
      <c r="B15" s="53" t="s">
        <v>1113</v>
      </c>
      <c r="C15" s="49" t="s">
        <v>1114</v>
      </c>
      <c r="D15" s="54" t="s">
        <v>565</v>
      </c>
      <c r="E15" s="40">
        <v>-2</v>
      </c>
      <c r="F15" s="40">
        <v>108.37</v>
      </c>
      <c r="G15" s="40">
        <v>55.8</v>
      </c>
      <c r="H15" s="36">
        <f t="shared" si="0"/>
        <v>-216.74</v>
      </c>
      <c r="I15" s="49" t="s">
        <v>1115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</row>
    <row r="16" s="44" customFormat="1" ht="68.25" outlineLevel="2" spans="1:9">
      <c r="A16" s="55">
        <v>7</v>
      </c>
      <c r="B16" s="56" t="s">
        <v>1116</v>
      </c>
      <c r="C16" s="55" t="s">
        <v>1117</v>
      </c>
      <c r="D16" s="57" t="s">
        <v>565</v>
      </c>
      <c r="E16" s="58">
        <v>-2</v>
      </c>
      <c r="F16" s="58">
        <v>108.37</v>
      </c>
      <c r="G16" s="58">
        <v>55.8</v>
      </c>
      <c r="H16" s="36">
        <f t="shared" si="0"/>
        <v>-216.74</v>
      </c>
      <c r="I16" s="55" t="s">
        <v>1118</v>
      </c>
    </row>
    <row r="17" s="43" customFormat="1" ht="68.25" outlineLevel="2" spans="1:9">
      <c r="A17" s="49">
        <v>8</v>
      </c>
      <c r="B17" s="53" t="s">
        <v>1119</v>
      </c>
      <c r="C17" s="53" t="s">
        <v>1120</v>
      </c>
      <c r="D17" s="54" t="s">
        <v>565</v>
      </c>
      <c r="E17" s="40">
        <v>-8</v>
      </c>
      <c r="F17" s="40">
        <f>124.47+73.89</f>
        <v>198.36</v>
      </c>
      <c r="G17" s="40">
        <v>78.12</v>
      </c>
      <c r="H17" s="36">
        <f t="shared" si="0"/>
        <v>-1586.88</v>
      </c>
      <c r="I17" s="49" t="s">
        <v>1121</v>
      </c>
    </row>
    <row r="18" s="43" customFormat="1" ht="102" outlineLevel="2" spans="1:253">
      <c r="A18" s="49">
        <v>9</v>
      </c>
      <c r="B18" s="49" t="s">
        <v>1122</v>
      </c>
      <c r="C18" s="49" t="s">
        <v>644</v>
      </c>
      <c r="D18" s="35" t="s">
        <v>613</v>
      </c>
      <c r="E18" s="40">
        <v>-10.2</v>
      </c>
      <c r="F18" s="40">
        <v>28.3</v>
      </c>
      <c r="G18" s="40">
        <v>17.9</v>
      </c>
      <c r="H18" s="36">
        <f t="shared" si="0"/>
        <v>-288.66</v>
      </c>
      <c r="I18" s="49" t="s">
        <v>1123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</row>
    <row r="19" s="43" customFormat="1" ht="259.5" outlineLevel="2" spans="1:253">
      <c r="A19" s="49">
        <v>10</v>
      </c>
      <c r="B19" s="53" t="s">
        <v>1124</v>
      </c>
      <c r="C19" s="49" t="s">
        <v>1125</v>
      </c>
      <c r="D19" s="54" t="s">
        <v>596</v>
      </c>
      <c r="E19" s="40">
        <v>-2</v>
      </c>
      <c r="F19" s="40">
        <v>1899</v>
      </c>
      <c r="G19" s="40"/>
      <c r="H19" s="36">
        <f t="shared" si="0"/>
        <v>-3798</v>
      </c>
      <c r="I19" s="49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</row>
    <row r="20" s="43" customFormat="1" ht="68.25" outlineLevel="2" spans="1:253">
      <c r="A20" s="49">
        <v>11</v>
      </c>
      <c r="B20" s="53" t="s">
        <v>1126</v>
      </c>
      <c r="C20" s="49" t="s">
        <v>1127</v>
      </c>
      <c r="D20" s="54" t="s">
        <v>565</v>
      </c>
      <c r="E20" s="40">
        <v>-2</v>
      </c>
      <c r="F20" s="40">
        <v>398</v>
      </c>
      <c r="G20" s="40">
        <v>297.5</v>
      </c>
      <c r="H20" s="36">
        <f t="shared" si="0"/>
        <v>-796</v>
      </c>
      <c r="I20" s="49" t="s">
        <v>1128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</row>
    <row r="21" s="43" customFormat="1" ht="57" outlineLevel="2" spans="1:9">
      <c r="A21" s="49">
        <v>12</v>
      </c>
      <c r="B21" s="53" t="s">
        <v>1129</v>
      </c>
      <c r="C21" s="53" t="s">
        <v>1130</v>
      </c>
      <c r="D21" s="54" t="s">
        <v>565</v>
      </c>
      <c r="E21" s="40">
        <v>-2</v>
      </c>
      <c r="F21" s="40">
        <v>72.25</v>
      </c>
      <c r="G21" s="40"/>
      <c r="H21" s="36">
        <f t="shared" si="0"/>
        <v>-144.5</v>
      </c>
      <c r="I21" s="49" t="s">
        <v>1131</v>
      </c>
    </row>
    <row r="22" s="43" customFormat="1" ht="15" outlineLevel="1" spans="1:9">
      <c r="A22" s="49"/>
      <c r="B22" s="49" t="s">
        <v>604</v>
      </c>
      <c r="C22" s="53"/>
      <c r="D22" s="54"/>
      <c r="E22" s="40"/>
      <c r="F22" s="40"/>
      <c r="G22" s="40"/>
      <c r="H22" s="36">
        <f t="shared" si="0"/>
        <v>0</v>
      </c>
      <c r="I22" s="49"/>
    </row>
    <row r="23" s="43" customFormat="1" ht="23.25" outlineLevel="1" spans="1:253">
      <c r="A23" s="51" t="s">
        <v>1132</v>
      </c>
      <c r="B23" s="52" t="s">
        <v>1133</v>
      </c>
      <c r="C23" s="53"/>
      <c r="D23" s="54"/>
      <c r="E23" s="40"/>
      <c r="F23" s="40"/>
      <c r="G23" s="40"/>
      <c r="H23" s="36">
        <f t="shared" si="0"/>
        <v>0</v>
      </c>
      <c r="I23" s="49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</row>
    <row r="24" s="43" customFormat="1" ht="102" outlineLevel="2" spans="1:9">
      <c r="A24" s="49">
        <v>1</v>
      </c>
      <c r="B24" s="49" t="s">
        <v>1099</v>
      </c>
      <c r="C24" s="49" t="s">
        <v>1100</v>
      </c>
      <c r="D24" s="35" t="s">
        <v>613</v>
      </c>
      <c r="E24" s="40">
        <v>-0.1</v>
      </c>
      <c r="F24" s="40">
        <v>29.24</v>
      </c>
      <c r="G24" s="40">
        <v>19.97</v>
      </c>
      <c r="H24" s="36">
        <f t="shared" si="0"/>
        <v>-2.92</v>
      </c>
      <c r="I24" s="49" t="s">
        <v>1101</v>
      </c>
    </row>
    <row r="25" s="43" customFormat="1" ht="90.75" outlineLevel="2" spans="1:9">
      <c r="A25" s="49">
        <v>2</v>
      </c>
      <c r="B25" s="49" t="s">
        <v>1102</v>
      </c>
      <c r="C25" s="49" t="s">
        <v>1105</v>
      </c>
      <c r="D25" s="35" t="s">
        <v>613</v>
      </c>
      <c r="E25" s="40">
        <v>-1.2</v>
      </c>
      <c r="F25" s="40">
        <v>22.37</v>
      </c>
      <c r="G25" s="40">
        <v>13.12</v>
      </c>
      <c r="H25" s="36">
        <f t="shared" si="0"/>
        <v>-26.84</v>
      </c>
      <c r="I25" s="49" t="s">
        <v>1104</v>
      </c>
    </row>
    <row r="26" s="43" customFormat="1" ht="57" outlineLevel="2" spans="1:253">
      <c r="A26" s="49">
        <v>3</v>
      </c>
      <c r="B26" s="53" t="s">
        <v>1134</v>
      </c>
      <c r="C26" s="49" t="s">
        <v>1135</v>
      </c>
      <c r="D26" s="54" t="s">
        <v>565</v>
      </c>
      <c r="E26" s="40">
        <v>-1</v>
      </c>
      <c r="F26" s="40">
        <v>181.34</v>
      </c>
      <c r="G26" s="40">
        <v>128.77</v>
      </c>
      <c r="H26" s="36">
        <f t="shared" si="0"/>
        <v>-181.34</v>
      </c>
      <c r="I26" s="49" t="s">
        <v>1136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</row>
    <row r="27" s="43" customFormat="1" ht="68.25" outlineLevel="2" spans="1:253">
      <c r="A27" s="49">
        <v>4</v>
      </c>
      <c r="B27" s="53" t="s">
        <v>1110</v>
      </c>
      <c r="C27" s="49" t="s">
        <v>1111</v>
      </c>
      <c r="D27" s="54" t="s">
        <v>565</v>
      </c>
      <c r="E27" s="40">
        <v>-1</v>
      </c>
      <c r="F27" s="40">
        <v>49.34</v>
      </c>
      <c r="G27" s="40">
        <v>30.05</v>
      </c>
      <c r="H27" s="36">
        <f t="shared" si="0"/>
        <v>-49.34</v>
      </c>
      <c r="I27" s="49" t="s">
        <v>1112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</row>
    <row r="28" s="44" customFormat="1" ht="68.25" outlineLevel="2" spans="1:253">
      <c r="A28" s="55">
        <v>5</v>
      </c>
      <c r="B28" s="56" t="s">
        <v>1116</v>
      </c>
      <c r="C28" s="55" t="s">
        <v>1137</v>
      </c>
      <c r="D28" s="57" t="s">
        <v>565</v>
      </c>
      <c r="E28" s="58">
        <v>-1</v>
      </c>
      <c r="F28" s="58">
        <v>40.75</v>
      </c>
      <c r="G28" s="58">
        <v>21.46</v>
      </c>
      <c r="H28" s="36">
        <f t="shared" si="0"/>
        <v>-40.75</v>
      </c>
      <c r="I28" s="55" t="s">
        <v>1118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</row>
    <row r="29" s="43" customFormat="1" ht="68.25" outlineLevel="2" spans="1:253">
      <c r="A29" s="49">
        <v>6</v>
      </c>
      <c r="B29" s="53" t="s">
        <v>1119</v>
      </c>
      <c r="C29" s="53" t="s">
        <v>1120</v>
      </c>
      <c r="D29" s="54" t="s">
        <v>565</v>
      </c>
      <c r="E29" s="40">
        <v>-1</v>
      </c>
      <c r="F29" s="40">
        <v>124.74</v>
      </c>
      <c r="G29" s="40">
        <v>78.12</v>
      </c>
      <c r="H29" s="36">
        <f t="shared" si="0"/>
        <v>-124.74</v>
      </c>
      <c r="I29" s="49" t="s">
        <v>1121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</row>
    <row r="30" s="43" customFormat="1" ht="68.25" outlineLevel="2" spans="1:9">
      <c r="A30" s="49">
        <v>7</v>
      </c>
      <c r="B30" s="53" t="s">
        <v>1138</v>
      </c>
      <c r="C30" s="53" t="s">
        <v>1139</v>
      </c>
      <c r="D30" s="54" t="s">
        <v>1108</v>
      </c>
      <c r="E30" s="40">
        <v>-1</v>
      </c>
      <c r="F30" s="40">
        <v>4300</v>
      </c>
      <c r="G30" s="40">
        <v>3825</v>
      </c>
      <c r="H30" s="36">
        <f t="shared" si="0"/>
        <v>-4300</v>
      </c>
      <c r="I30" s="49" t="s">
        <v>1140</v>
      </c>
    </row>
    <row r="31" s="43" customFormat="1" ht="102" outlineLevel="2" spans="1:9">
      <c r="A31" s="49">
        <v>8</v>
      </c>
      <c r="B31" s="49" t="s">
        <v>1122</v>
      </c>
      <c r="C31" s="49" t="s">
        <v>1141</v>
      </c>
      <c r="D31" s="35" t="s">
        <v>613</v>
      </c>
      <c r="E31" s="40">
        <v>-1.43</v>
      </c>
      <c r="F31" s="40">
        <v>19</v>
      </c>
      <c r="G31" s="40">
        <v>10.13</v>
      </c>
      <c r="H31" s="36">
        <f t="shared" si="0"/>
        <v>-27.17</v>
      </c>
      <c r="I31" s="49" t="s">
        <v>1123</v>
      </c>
    </row>
    <row r="32" s="43" customFormat="1" ht="259.5" outlineLevel="2" spans="1:253">
      <c r="A32" s="49">
        <v>9</v>
      </c>
      <c r="B32" s="53" t="s">
        <v>1124</v>
      </c>
      <c r="C32" s="49" t="s">
        <v>1142</v>
      </c>
      <c r="D32" s="54" t="s">
        <v>596</v>
      </c>
      <c r="E32" s="40">
        <v>-1</v>
      </c>
      <c r="F32" s="40">
        <v>1500</v>
      </c>
      <c r="G32" s="40"/>
      <c r="H32" s="36">
        <f t="shared" si="0"/>
        <v>-1500</v>
      </c>
      <c r="I32" s="49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</row>
    <row r="33" s="43" customFormat="1" ht="68.25" outlineLevel="2" spans="1:253">
      <c r="A33" s="49">
        <v>10</v>
      </c>
      <c r="B33" s="53" t="s">
        <v>1126</v>
      </c>
      <c r="C33" s="49" t="s">
        <v>1127</v>
      </c>
      <c r="D33" s="54" t="s">
        <v>565</v>
      </c>
      <c r="E33" s="40">
        <v>-1</v>
      </c>
      <c r="F33" s="40">
        <v>338</v>
      </c>
      <c r="G33" s="40"/>
      <c r="H33" s="36">
        <f t="shared" si="0"/>
        <v>-338</v>
      </c>
      <c r="I33" s="49" t="s">
        <v>1128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</row>
    <row r="34" s="43" customFormat="1" ht="15" outlineLevel="1" spans="1:9">
      <c r="A34" s="49"/>
      <c r="B34" s="49" t="s">
        <v>604</v>
      </c>
      <c r="C34" s="53"/>
      <c r="D34" s="54"/>
      <c r="E34" s="40"/>
      <c r="F34" s="40"/>
      <c r="G34" s="40"/>
      <c r="H34" s="36">
        <f t="shared" si="0"/>
        <v>0</v>
      </c>
      <c r="I34" s="49"/>
    </row>
    <row r="35" s="43" customFormat="1" ht="23.25" outlineLevel="1" spans="1:9">
      <c r="A35" s="51" t="s">
        <v>1143</v>
      </c>
      <c r="B35" s="52" t="s">
        <v>1144</v>
      </c>
      <c r="C35" s="53"/>
      <c r="D35" s="54"/>
      <c r="E35" s="40"/>
      <c r="F35" s="40"/>
      <c r="G35" s="40"/>
      <c r="H35" s="36">
        <f t="shared" si="0"/>
        <v>0</v>
      </c>
      <c r="I35" s="49"/>
    </row>
    <row r="36" s="43" customFormat="1" ht="102" outlineLevel="2" spans="1:253">
      <c r="A36" s="49">
        <v>1</v>
      </c>
      <c r="B36" s="49" t="s">
        <v>1099</v>
      </c>
      <c r="C36" s="49" t="s">
        <v>1100</v>
      </c>
      <c r="D36" s="35" t="s">
        <v>613</v>
      </c>
      <c r="E36" s="40">
        <v>-2.78</v>
      </c>
      <c r="F36" s="40">
        <v>29.27</v>
      </c>
      <c r="G36" s="40">
        <v>19.97</v>
      </c>
      <c r="H36" s="36">
        <f t="shared" si="0"/>
        <v>-81.37</v>
      </c>
      <c r="I36" s="49" t="s">
        <v>1101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</row>
    <row r="37" s="43" customFormat="1" ht="102" outlineLevel="2" spans="1:253">
      <c r="A37" s="49">
        <v>2</v>
      </c>
      <c r="B37" s="49" t="s">
        <v>1102</v>
      </c>
      <c r="C37" s="49" t="s">
        <v>1145</v>
      </c>
      <c r="D37" s="35" t="s">
        <v>613</v>
      </c>
      <c r="E37" s="40">
        <v>-2.55</v>
      </c>
      <c r="F37" s="40">
        <v>72.92</v>
      </c>
      <c r="G37" s="40">
        <v>46.05</v>
      </c>
      <c r="H37" s="36">
        <f t="shared" si="0"/>
        <v>-185.95</v>
      </c>
      <c r="I37" s="49" t="s">
        <v>1104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</row>
    <row r="38" s="43" customFormat="1" ht="113.25" outlineLevel="2" spans="1:253">
      <c r="A38" s="49">
        <v>3</v>
      </c>
      <c r="B38" s="49" t="s">
        <v>1102</v>
      </c>
      <c r="C38" s="49" t="s">
        <v>1146</v>
      </c>
      <c r="D38" s="35" t="s">
        <v>613</v>
      </c>
      <c r="E38" s="40">
        <v>-14.1</v>
      </c>
      <c r="F38" s="40">
        <v>72.92</v>
      </c>
      <c r="G38" s="40">
        <v>46.05</v>
      </c>
      <c r="H38" s="36">
        <f t="shared" si="0"/>
        <v>-1028.17</v>
      </c>
      <c r="I38" s="49" t="s">
        <v>1104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</row>
    <row r="39" s="43" customFormat="1" ht="90.75" outlineLevel="2" spans="1:253">
      <c r="A39" s="59">
        <v>4</v>
      </c>
      <c r="B39" s="55" t="s">
        <v>1102</v>
      </c>
      <c r="C39" s="49" t="s">
        <v>1103</v>
      </c>
      <c r="D39" s="60" t="s">
        <v>613</v>
      </c>
      <c r="E39" s="58">
        <v>-0.18</v>
      </c>
      <c r="F39" s="40">
        <v>34.8</v>
      </c>
      <c r="G39" s="40">
        <v>23.51</v>
      </c>
      <c r="H39" s="36">
        <f t="shared" si="0"/>
        <v>-6.26</v>
      </c>
      <c r="I39" s="49" t="s">
        <v>1104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</row>
    <row r="40" s="43" customFormat="1" ht="68.25" outlineLevel="2" spans="1:9">
      <c r="A40" s="49">
        <v>5</v>
      </c>
      <c r="B40" s="53" t="s">
        <v>1113</v>
      </c>
      <c r="C40" s="49" t="s">
        <v>1147</v>
      </c>
      <c r="D40" s="54" t="s">
        <v>565</v>
      </c>
      <c r="E40" s="40">
        <v>-1</v>
      </c>
      <c r="F40" s="40">
        <v>108.37</v>
      </c>
      <c r="G40" s="40">
        <v>55.8</v>
      </c>
      <c r="H40" s="36">
        <f t="shared" si="0"/>
        <v>-108.37</v>
      </c>
      <c r="I40" s="49" t="s">
        <v>1115</v>
      </c>
    </row>
    <row r="41" s="43" customFormat="1" ht="68.25" outlineLevel="2" spans="1:9">
      <c r="A41" s="49">
        <v>6</v>
      </c>
      <c r="B41" s="53" t="s">
        <v>1116</v>
      </c>
      <c r="C41" s="49" t="s">
        <v>1148</v>
      </c>
      <c r="D41" s="54" t="s">
        <v>565</v>
      </c>
      <c r="E41" s="40">
        <v>-1</v>
      </c>
      <c r="F41" s="40">
        <v>40.75</v>
      </c>
      <c r="G41" s="40">
        <v>21.46</v>
      </c>
      <c r="H41" s="36">
        <f t="shared" si="0"/>
        <v>-40.75</v>
      </c>
      <c r="I41" s="49" t="s">
        <v>1149</v>
      </c>
    </row>
    <row r="42" s="43" customFormat="1" ht="68.25" outlineLevel="2" spans="1:253">
      <c r="A42" s="49">
        <v>7</v>
      </c>
      <c r="B42" s="53" t="s">
        <v>1116</v>
      </c>
      <c r="C42" s="49" t="s">
        <v>1150</v>
      </c>
      <c r="D42" s="54" t="s">
        <v>565</v>
      </c>
      <c r="E42" s="40">
        <v>-1</v>
      </c>
      <c r="F42" s="40">
        <v>171.38</v>
      </c>
      <c r="G42" s="40">
        <v>68</v>
      </c>
      <c r="H42" s="36">
        <f t="shared" si="0"/>
        <v>-171.38</v>
      </c>
      <c r="I42" s="49" t="s">
        <v>1118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</row>
    <row r="43" s="43" customFormat="1" ht="90.75" outlineLevel="2" spans="1:253">
      <c r="A43" s="49">
        <v>8</v>
      </c>
      <c r="B43" s="53" t="s">
        <v>1106</v>
      </c>
      <c r="C43" s="53" t="s">
        <v>1151</v>
      </c>
      <c r="D43" s="54" t="s">
        <v>1108</v>
      </c>
      <c r="E43" s="40">
        <v>-1</v>
      </c>
      <c r="F43" s="40">
        <f>6300</f>
        <v>6300</v>
      </c>
      <c r="G43" s="40">
        <v>3825</v>
      </c>
      <c r="H43" s="36">
        <f t="shared" si="0"/>
        <v>-6300</v>
      </c>
      <c r="I43" s="49" t="s">
        <v>1109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  <c r="IR43" s="62"/>
      <c r="IS43" s="62"/>
    </row>
    <row r="44" s="43" customFormat="1" ht="102" outlineLevel="2" spans="1:253">
      <c r="A44" s="49">
        <v>9</v>
      </c>
      <c r="B44" s="49" t="s">
        <v>1122</v>
      </c>
      <c r="C44" s="49" t="s">
        <v>644</v>
      </c>
      <c r="D44" s="35" t="s">
        <v>613</v>
      </c>
      <c r="E44" s="40">
        <v>-3.24</v>
      </c>
      <c r="F44" s="40">
        <v>28.3</v>
      </c>
      <c r="G44" s="40">
        <v>17.9</v>
      </c>
      <c r="H44" s="36">
        <f t="shared" si="0"/>
        <v>-91.69</v>
      </c>
      <c r="I44" s="49" t="s">
        <v>1123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</row>
    <row r="45" s="43" customFormat="1" ht="102" outlineLevel="2" spans="1:253">
      <c r="A45" s="49">
        <v>10</v>
      </c>
      <c r="B45" s="49" t="s">
        <v>1122</v>
      </c>
      <c r="C45" s="49" t="s">
        <v>1152</v>
      </c>
      <c r="D45" s="35" t="s">
        <v>613</v>
      </c>
      <c r="E45" s="40">
        <v>-0.53</v>
      </c>
      <c r="F45" s="40">
        <v>28.3</v>
      </c>
      <c r="G45" s="40">
        <v>17.9</v>
      </c>
      <c r="H45" s="36">
        <f t="shared" si="0"/>
        <v>-15</v>
      </c>
      <c r="I45" s="49" t="s">
        <v>1123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  <c r="IR45" s="62"/>
      <c r="IS45" s="62"/>
    </row>
    <row r="46" s="43" customFormat="1" ht="102" outlineLevel="2" spans="1:13">
      <c r="A46" s="49">
        <v>11</v>
      </c>
      <c r="B46" s="49" t="s">
        <v>1122</v>
      </c>
      <c r="C46" s="49" t="s">
        <v>1141</v>
      </c>
      <c r="D46" s="35" t="s">
        <v>613</v>
      </c>
      <c r="E46" s="40">
        <v>-1.16</v>
      </c>
      <c r="F46" s="40">
        <v>19.01</v>
      </c>
      <c r="G46" s="40">
        <v>10.13</v>
      </c>
      <c r="H46" s="36">
        <f t="shared" si="0"/>
        <v>-22.05</v>
      </c>
      <c r="I46" s="49" t="s">
        <v>1123</v>
      </c>
      <c r="L46" s="64"/>
      <c r="M46" s="64"/>
    </row>
    <row r="47" s="43" customFormat="1" ht="68.25" outlineLevel="2" spans="1:13">
      <c r="A47" s="49">
        <v>12</v>
      </c>
      <c r="B47" s="53" t="s">
        <v>1153</v>
      </c>
      <c r="C47" s="49" t="s">
        <v>1154</v>
      </c>
      <c r="D47" s="54" t="s">
        <v>565</v>
      </c>
      <c r="E47" s="40">
        <v>-1</v>
      </c>
      <c r="F47" s="40">
        <v>125.54</v>
      </c>
      <c r="G47" s="40">
        <v>72.97</v>
      </c>
      <c r="H47" s="36">
        <f t="shared" si="0"/>
        <v>-125.54</v>
      </c>
      <c r="I47" s="49" t="s">
        <v>1155</v>
      </c>
      <c r="L47" s="64"/>
      <c r="M47" s="64"/>
    </row>
    <row r="48" s="44" customFormat="1" ht="68.25" outlineLevel="2" spans="1:13">
      <c r="A48" s="55">
        <v>13</v>
      </c>
      <c r="B48" s="56" t="s">
        <v>1156</v>
      </c>
      <c r="C48" s="55" t="s">
        <v>1157</v>
      </c>
      <c r="D48" s="57" t="s">
        <v>565</v>
      </c>
      <c r="E48" s="58">
        <v>-1</v>
      </c>
      <c r="F48" s="58">
        <v>158.63</v>
      </c>
      <c r="G48" s="58">
        <v>55.25</v>
      </c>
      <c r="H48" s="36">
        <f t="shared" si="0"/>
        <v>-158.63</v>
      </c>
      <c r="I48" s="55" t="s">
        <v>1158</v>
      </c>
      <c r="L48" s="65" t="s">
        <v>1159</v>
      </c>
      <c r="M48" s="65"/>
    </row>
    <row r="49" ht="15" outlineLevel="1" spans="1:9">
      <c r="A49" s="49"/>
      <c r="B49" s="49" t="s">
        <v>604</v>
      </c>
      <c r="C49" s="53"/>
      <c r="D49" s="54"/>
      <c r="E49" s="40"/>
      <c r="F49" s="40"/>
      <c r="G49" s="40"/>
      <c r="H49" s="36">
        <f t="shared" si="0"/>
        <v>0</v>
      </c>
      <c r="I49" s="49"/>
    </row>
    <row r="50" ht="23.25" outlineLevel="1" spans="1:9">
      <c r="A50" s="51" t="s">
        <v>1160</v>
      </c>
      <c r="B50" s="52" t="s">
        <v>1161</v>
      </c>
      <c r="C50" s="53"/>
      <c r="D50" s="54"/>
      <c r="E50" s="40"/>
      <c r="F50" s="40"/>
      <c r="G50" s="40"/>
      <c r="H50" s="36">
        <f t="shared" si="0"/>
        <v>0</v>
      </c>
      <c r="I50" s="49"/>
    </row>
    <row r="51" ht="102" outlineLevel="2" spans="1:9">
      <c r="A51" s="49">
        <v>1</v>
      </c>
      <c r="B51" s="49" t="s">
        <v>1099</v>
      </c>
      <c r="C51" s="49" t="s">
        <v>1100</v>
      </c>
      <c r="D51" s="35" t="s">
        <v>613</v>
      </c>
      <c r="E51" s="40">
        <v>-2.78</v>
      </c>
      <c r="F51" s="40">
        <v>29.27</v>
      </c>
      <c r="G51" s="40">
        <v>19.97</v>
      </c>
      <c r="H51" s="36">
        <f t="shared" si="0"/>
        <v>-81.37</v>
      </c>
      <c r="I51" s="49" t="s">
        <v>1101</v>
      </c>
    </row>
    <row r="52" ht="113.25" outlineLevel="2" spans="1:9">
      <c r="A52" s="49">
        <v>2</v>
      </c>
      <c r="B52" s="49" t="s">
        <v>1102</v>
      </c>
      <c r="C52" s="49" t="s">
        <v>1146</v>
      </c>
      <c r="D52" s="35" t="s">
        <v>613</v>
      </c>
      <c r="E52" s="40">
        <v>-2.55</v>
      </c>
      <c r="F52" s="40">
        <v>72.92</v>
      </c>
      <c r="G52" s="40">
        <v>46.05</v>
      </c>
      <c r="H52" s="36">
        <f t="shared" si="0"/>
        <v>-185.95</v>
      </c>
      <c r="I52" s="49" t="s">
        <v>1104</v>
      </c>
    </row>
    <row r="53" ht="102" outlineLevel="2" spans="1:9">
      <c r="A53" s="49">
        <v>3</v>
      </c>
      <c r="B53" s="49" t="s">
        <v>1102</v>
      </c>
      <c r="C53" s="49" t="s">
        <v>1145</v>
      </c>
      <c r="D53" s="35" t="s">
        <v>613</v>
      </c>
      <c r="E53" s="40">
        <v>-11.64</v>
      </c>
      <c r="F53" s="40">
        <v>72.92</v>
      </c>
      <c r="G53" s="40">
        <v>46.05</v>
      </c>
      <c r="H53" s="36">
        <f t="shared" si="0"/>
        <v>-848.79</v>
      </c>
      <c r="I53" s="49" t="s">
        <v>1104</v>
      </c>
    </row>
    <row r="54" ht="90.75" outlineLevel="2" spans="1:9">
      <c r="A54" s="49">
        <v>4</v>
      </c>
      <c r="B54" s="49" t="s">
        <v>1102</v>
      </c>
      <c r="C54" s="49" t="s">
        <v>1103</v>
      </c>
      <c r="D54" s="35" t="s">
        <v>613</v>
      </c>
      <c r="E54" s="40">
        <v>-0.18</v>
      </c>
      <c r="F54" s="40">
        <v>34.8</v>
      </c>
      <c r="G54" s="40">
        <v>23.51</v>
      </c>
      <c r="H54" s="36">
        <f t="shared" si="0"/>
        <v>-6.26</v>
      </c>
      <c r="I54" s="49" t="s">
        <v>1104</v>
      </c>
    </row>
    <row r="55" ht="57" outlineLevel="2" spans="1:9">
      <c r="A55" s="49">
        <v>5</v>
      </c>
      <c r="B55" s="53" t="s">
        <v>1134</v>
      </c>
      <c r="C55" s="49" t="s">
        <v>1135</v>
      </c>
      <c r="D55" s="54" t="s">
        <v>565</v>
      </c>
      <c r="E55" s="40">
        <v>-1</v>
      </c>
      <c r="F55" s="40">
        <v>181.34</v>
      </c>
      <c r="G55" s="40">
        <v>128.77</v>
      </c>
      <c r="H55" s="36">
        <f t="shared" si="0"/>
        <v>-181.34</v>
      </c>
      <c r="I55" s="49" t="s">
        <v>1136</v>
      </c>
    </row>
    <row r="56" ht="68.25" outlineLevel="2" spans="1:9">
      <c r="A56" s="49">
        <v>6</v>
      </c>
      <c r="B56" s="53" t="s">
        <v>1113</v>
      </c>
      <c r="C56" s="49" t="s">
        <v>1147</v>
      </c>
      <c r="D56" s="54" t="s">
        <v>565</v>
      </c>
      <c r="E56" s="40">
        <v>-1</v>
      </c>
      <c r="F56" s="40">
        <v>181.34</v>
      </c>
      <c r="G56" s="40">
        <v>128.77</v>
      </c>
      <c r="H56" s="36">
        <f t="shared" si="0"/>
        <v>-181.34</v>
      </c>
      <c r="I56" s="49" t="s">
        <v>1115</v>
      </c>
    </row>
    <row r="57" ht="68.25" outlineLevel="2" spans="1:9">
      <c r="A57" s="49">
        <v>7</v>
      </c>
      <c r="B57" s="53" t="s">
        <v>1116</v>
      </c>
      <c r="C57" s="49" t="s">
        <v>1148</v>
      </c>
      <c r="D57" s="54" t="s">
        <v>565</v>
      </c>
      <c r="E57" s="40">
        <v>-1</v>
      </c>
      <c r="F57" s="40">
        <v>40.75</v>
      </c>
      <c r="G57" s="40">
        <v>21.46</v>
      </c>
      <c r="H57" s="36">
        <f t="shared" si="0"/>
        <v>-40.75</v>
      </c>
      <c r="I57" s="49" t="s">
        <v>1149</v>
      </c>
    </row>
    <row r="58" ht="68.25" outlineLevel="2" spans="1:9">
      <c r="A58" s="49">
        <v>8</v>
      </c>
      <c r="B58" s="53" t="s">
        <v>1116</v>
      </c>
      <c r="C58" s="49" t="s">
        <v>1150</v>
      </c>
      <c r="D58" s="54" t="s">
        <v>565</v>
      </c>
      <c r="E58" s="40">
        <v>-1</v>
      </c>
      <c r="F58" s="40">
        <v>171.38</v>
      </c>
      <c r="G58" s="40">
        <v>68</v>
      </c>
      <c r="H58" s="36">
        <f t="shared" si="0"/>
        <v>-171.38</v>
      </c>
      <c r="I58" s="49" t="s">
        <v>1118</v>
      </c>
    </row>
    <row r="59" ht="90.75" outlineLevel="2" spans="1:9">
      <c r="A59" s="55">
        <v>9</v>
      </c>
      <c r="B59" s="56" t="s">
        <v>1106</v>
      </c>
      <c r="C59" s="56" t="s">
        <v>1151</v>
      </c>
      <c r="D59" s="57" t="s">
        <v>1108</v>
      </c>
      <c r="E59" s="58">
        <v>-1</v>
      </c>
      <c r="F59" s="40">
        <v>4300</v>
      </c>
      <c r="G59" s="40">
        <v>3825</v>
      </c>
      <c r="H59" s="36">
        <f t="shared" si="0"/>
        <v>-4300</v>
      </c>
      <c r="I59" s="49" t="s">
        <v>1109</v>
      </c>
    </row>
    <row r="60" ht="102" outlineLevel="2" spans="1:9">
      <c r="A60" s="49">
        <v>10</v>
      </c>
      <c r="B60" s="49" t="s">
        <v>1122</v>
      </c>
      <c r="C60" s="49" t="s">
        <v>644</v>
      </c>
      <c r="D60" s="35" t="s">
        <v>613</v>
      </c>
      <c r="E60" s="40">
        <v>-3.23</v>
      </c>
      <c r="F60" s="40">
        <v>28.29</v>
      </c>
      <c r="G60" s="40">
        <v>17.9</v>
      </c>
      <c r="H60" s="36">
        <f t="shared" si="0"/>
        <v>-91.38</v>
      </c>
      <c r="I60" s="49" t="s">
        <v>1123</v>
      </c>
    </row>
    <row r="61" ht="102" outlineLevel="2" spans="1:9">
      <c r="A61" s="49">
        <v>11</v>
      </c>
      <c r="B61" s="49" t="s">
        <v>1122</v>
      </c>
      <c r="C61" s="49" t="s">
        <v>1152</v>
      </c>
      <c r="D61" s="35" t="s">
        <v>613</v>
      </c>
      <c r="E61" s="40">
        <v>-0.52</v>
      </c>
      <c r="F61" s="40">
        <v>28.29</v>
      </c>
      <c r="G61" s="40">
        <v>17.9</v>
      </c>
      <c r="H61" s="36">
        <f t="shared" si="0"/>
        <v>-14.71</v>
      </c>
      <c r="I61" s="49" t="s">
        <v>1123</v>
      </c>
    </row>
    <row r="62" ht="102" outlineLevel="2" spans="1:9">
      <c r="A62" s="49">
        <v>12</v>
      </c>
      <c r="B62" s="49" t="s">
        <v>1122</v>
      </c>
      <c r="C62" s="49" t="s">
        <v>1141</v>
      </c>
      <c r="D62" s="35" t="s">
        <v>613</v>
      </c>
      <c r="E62" s="40">
        <v>-1.56</v>
      </c>
      <c r="F62" s="40">
        <v>19.01</v>
      </c>
      <c r="G62" s="40">
        <v>10.13</v>
      </c>
      <c r="H62" s="36">
        <f t="shared" si="0"/>
        <v>-29.66</v>
      </c>
      <c r="I62" s="49" t="s">
        <v>1123</v>
      </c>
    </row>
    <row r="63" ht="68.25" outlineLevel="2" spans="1:9">
      <c r="A63" s="49">
        <v>13</v>
      </c>
      <c r="B63" s="53" t="s">
        <v>1153</v>
      </c>
      <c r="C63" s="49" t="s">
        <v>1154</v>
      </c>
      <c r="D63" s="54" t="s">
        <v>565</v>
      </c>
      <c r="E63" s="40">
        <v>-1</v>
      </c>
      <c r="F63" s="40">
        <v>125.54</v>
      </c>
      <c r="G63" s="40">
        <v>72.97</v>
      </c>
      <c r="H63" s="36">
        <f t="shared" si="0"/>
        <v>-125.54</v>
      </c>
      <c r="I63" s="49" t="s">
        <v>1155</v>
      </c>
    </row>
    <row r="64" s="44" customFormat="1" ht="68.25" outlineLevel="2" spans="1:9">
      <c r="A64" s="55">
        <v>14</v>
      </c>
      <c r="B64" s="56" t="s">
        <v>1156</v>
      </c>
      <c r="C64" s="55" t="s">
        <v>1157</v>
      </c>
      <c r="D64" s="57" t="s">
        <v>565</v>
      </c>
      <c r="E64" s="58">
        <v>-1</v>
      </c>
      <c r="F64" s="58">
        <v>158.63</v>
      </c>
      <c r="G64" s="58">
        <v>55.25</v>
      </c>
      <c r="H64" s="36">
        <f t="shared" si="0"/>
        <v>-158.63</v>
      </c>
      <c r="I64" s="55" t="s">
        <v>1158</v>
      </c>
    </row>
    <row r="65" ht="15" outlineLevel="1" spans="1:9">
      <c r="A65" s="49"/>
      <c r="B65" s="49" t="s">
        <v>604</v>
      </c>
      <c r="C65" s="53"/>
      <c r="D65" s="54"/>
      <c r="E65" s="40"/>
      <c r="F65" s="40"/>
      <c r="G65" s="40"/>
      <c r="H65" s="40"/>
      <c r="I65" s="49"/>
    </row>
    <row r="66" ht="15" spans="1:9">
      <c r="A66" s="52" t="s">
        <v>440</v>
      </c>
      <c r="B66" s="52"/>
      <c r="C66" s="66"/>
      <c r="D66" s="37"/>
      <c r="E66" s="36"/>
      <c r="F66" s="36"/>
      <c r="G66" s="36"/>
      <c r="H66" s="36">
        <v>-48343.53</v>
      </c>
      <c r="I66" s="49"/>
    </row>
    <row r="67" ht="15" spans="1:9">
      <c r="A67" s="52" t="s">
        <v>649</v>
      </c>
      <c r="B67" s="52"/>
      <c r="C67" s="66" t="s">
        <v>650</v>
      </c>
      <c r="D67" s="37"/>
      <c r="E67" s="36"/>
      <c r="F67" s="36"/>
      <c r="G67" s="36"/>
      <c r="H67" s="36">
        <f>H66*0.9967</f>
        <v>-48184</v>
      </c>
      <c r="I67" s="49"/>
    </row>
  </sheetData>
  <mergeCells count="11">
    <mergeCell ref="F3:G3"/>
    <mergeCell ref="A66:B66"/>
    <mergeCell ref="A67:B67"/>
    <mergeCell ref="A3:A4"/>
    <mergeCell ref="B3:B4"/>
    <mergeCell ref="C3:C4"/>
    <mergeCell ref="D3:D4"/>
    <mergeCell ref="E3:E4"/>
    <mergeCell ref="H3:H4"/>
    <mergeCell ref="I3:I4"/>
    <mergeCell ref="A1:I2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>
    <oddFooter>&amp;C第 &amp;P 页，共 &amp;N 页</oddFooter>
  </headerFooter>
  <colBreaks count="1" manualBreakCount="1">
    <brk id="9" max="6553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S15"/>
  <sheetViews>
    <sheetView view="pageBreakPreview" zoomScaleNormal="130" workbookViewId="0">
      <pane ySplit="4" topLeftCell="A5" activePane="bottomLeft" state="frozen"/>
      <selection/>
      <selection pane="bottomLeft" activeCell="H8" sqref="H12:H13 H6:H8"/>
    </sheetView>
  </sheetViews>
  <sheetFormatPr defaultColWidth="8.75" defaultRowHeight="14.25"/>
  <cols>
    <col min="1" max="1" width="5" style="2" customWidth="1"/>
    <col min="2" max="2" width="10.75" style="2" customWidth="1"/>
    <col min="3" max="3" width="22.2083333333333" style="2" customWidth="1"/>
    <col min="4" max="4" width="5.875" style="2" customWidth="1"/>
    <col min="5" max="5" width="8.5" style="3" customWidth="1"/>
    <col min="6" max="7" width="8.75" style="3"/>
    <col min="8" max="8" width="11.625" style="3"/>
    <col min="9" max="9" width="9.625" style="2" customWidth="1"/>
    <col min="10" max="16384" width="8.75" style="2"/>
  </cols>
  <sheetData>
    <row r="1" s="1" customFormat="1" spans="1:9">
      <c r="A1" s="4" t="s">
        <v>1162</v>
      </c>
      <c r="B1" s="4"/>
      <c r="C1" s="4"/>
      <c r="D1" s="4"/>
      <c r="E1" s="5"/>
      <c r="F1" s="5"/>
      <c r="G1" s="5"/>
      <c r="H1" s="5"/>
      <c r="I1" s="4"/>
    </row>
    <row r="2" s="1" customFormat="1" spans="1:9">
      <c r="A2" s="6"/>
      <c r="B2" s="6"/>
      <c r="C2" s="6"/>
      <c r="D2" s="6"/>
      <c r="E2" s="7"/>
      <c r="F2" s="7"/>
      <c r="G2" s="7"/>
      <c r="H2" s="7"/>
      <c r="I2" s="6"/>
    </row>
    <row r="3" s="1" customFormat="1" ht="15" spans="1:9">
      <c r="A3" s="28" t="s">
        <v>1</v>
      </c>
      <c r="B3" s="28" t="s">
        <v>343</v>
      </c>
      <c r="C3" s="28" t="s">
        <v>516</v>
      </c>
      <c r="D3" s="28" t="s">
        <v>517</v>
      </c>
      <c r="E3" s="29" t="s">
        <v>518</v>
      </c>
      <c r="F3" s="30" t="s">
        <v>1163</v>
      </c>
      <c r="G3" s="30" t="s">
        <v>1164</v>
      </c>
      <c r="H3" s="29" t="s">
        <v>1165</v>
      </c>
      <c r="I3" s="28" t="s">
        <v>374</v>
      </c>
    </row>
    <row r="4" s="1" customFormat="1" ht="52" customHeight="1" spans="1:9">
      <c r="A4" s="31"/>
      <c r="B4" s="31"/>
      <c r="C4" s="31"/>
      <c r="D4" s="31"/>
      <c r="E4" s="32"/>
      <c r="F4" s="29"/>
      <c r="G4" s="29"/>
      <c r="H4" s="32"/>
      <c r="I4" s="31"/>
    </row>
    <row r="5" s="1" customFormat="1" ht="15" spans="1:253">
      <c r="A5" s="31" t="s">
        <v>441</v>
      </c>
      <c r="B5" s="33" t="s">
        <v>577</v>
      </c>
      <c r="C5" s="31"/>
      <c r="D5" s="31"/>
      <c r="E5" s="32"/>
      <c r="F5" s="32"/>
      <c r="G5" s="32"/>
      <c r="H5" s="34"/>
      <c r="I5" s="42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</row>
    <row r="6" s="1" customFormat="1" ht="57" outlineLevel="1" spans="1:253">
      <c r="A6" s="35">
        <v>1</v>
      </c>
      <c r="B6" s="35" t="s">
        <v>1166</v>
      </c>
      <c r="C6" s="35" t="s">
        <v>1167</v>
      </c>
      <c r="D6" s="35" t="s">
        <v>613</v>
      </c>
      <c r="E6" s="36">
        <f>1771.1+6.67</f>
        <v>1777.77</v>
      </c>
      <c r="F6" s="37">
        <v>2.7</v>
      </c>
      <c r="G6" s="37">
        <v>2.2</v>
      </c>
      <c r="H6" s="36">
        <f t="shared" ref="H6:H8" si="0">(G6-F6)*E6</f>
        <v>-888.89</v>
      </c>
      <c r="I6" s="35" t="s">
        <v>1168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</row>
    <row r="7" s="1" customFormat="1" ht="57" outlineLevel="1" spans="1:253">
      <c r="A7" s="35">
        <v>2</v>
      </c>
      <c r="B7" s="35" t="s">
        <v>1169</v>
      </c>
      <c r="C7" s="35" t="s">
        <v>1170</v>
      </c>
      <c r="D7" s="35" t="s">
        <v>613</v>
      </c>
      <c r="E7" s="36">
        <f>106.27+46.48+5.94+12.94</f>
        <v>171.63</v>
      </c>
      <c r="F7" s="37">
        <v>3.6</v>
      </c>
      <c r="G7" s="37">
        <v>3.5</v>
      </c>
      <c r="H7" s="36">
        <f t="shared" si="0"/>
        <v>-17.16</v>
      </c>
      <c r="I7" s="35" t="s">
        <v>1171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</row>
    <row r="8" s="1" customFormat="1" ht="57" outlineLevel="1" spans="1:253">
      <c r="A8" s="35">
        <v>3</v>
      </c>
      <c r="B8" s="35" t="s">
        <v>1172</v>
      </c>
      <c r="C8" s="35" t="s">
        <v>1173</v>
      </c>
      <c r="D8" s="35" t="s">
        <v>613</v>
      </c>
      <c r="E8" s="34">
        <v>37.27</v>
      </c>
      <c r="F8" s="37">
        <v>5.85</v>
      </c>
      <c r="G8" s="37">
        <v>3.5</v>
      </c>
      <c r="H8" s="36">
        <f t="shared" si="0"/>
        <v>-87.58</v>
      </c>
      <c r="I8" s="35" t="s">
        <v>1174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</row>
    <row r="9" s="1" customFormat="1" ht="15" outlineLevel="1" spans="1:253">
      <c r="A9" s="35"/>
      <c r="B9" s="35" t="s">
        <v>1175</v>
      </c>
      <c r="C9" s="35"/>
      <c r="D9" s="35"/>
      <c r="E9" s="38"/>
      <c r="F9" s="39"/>
      <c r="G9" s="39"/>
      <c r="H9" s="36">
        <f>SUM(H6:H8)</f>
        <v>-993.63</v>
      </c>
      <c r="I9" s="3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</row>
    <row r="10" s="1" customFormat="1" ht="15" outlineLevel="1" spans="1:253">
      <c r="A10" s="28" t="s">
        <v>1</v>
      </c>
      <c r="B10" s="28" t="s">
        <v>343</v>
      </c>
      <c r="C10" s="28" t="s">
        <v>516</v>
      </c>
      <c r="D10" s="28" t="s">
        <v>517</v>
      </c>
      <c r="E10" s="29" t="s">
        <v>518</v>
      </c>
      <c r="F10" s="30" t="s">
        <v>1176</v>
      </c>
      <c r="G10" s="30" t="s">
        <v>1177</v>
      </c>
      <c r="H10" s="29" t="s">
        <v>440</v>
      </c>
      <c r="I10" s="28" t="s">
        <v>374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</row>
    <row r="11" s="1" customFormat="1" ht="33" customHeight="1" outlineLevel="1" spans="1:253">
      <c r="A11" s="31"/>
      <c r="B11" s="31"/>
      <c r="C11" s="31"/>
      <c r="D11" s="31"/>
      <c r="E11" s="32"/>
      <c r="F11" s="29"/>
      <c r="G11" s="29"/>
      <c r="H11" s="32"/>
      <c r="I11" s="31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s="1" customFormat="1" ht="106" customHeight="1" outlineLevel="1" spans="1:253">
      <c r="A12" s="35">
        <v>4</v>
      </c>
      <c r="B12" s="35" t="s">
        <v>1122</v>
      </c>
      <c r="C12" s="35" t="s">
        <v>1178</v>
      </c>
      <c r="D12" s="35" t="s">
        <v>613</v>
      </c>
      <c r="E12" s="40">
        <v>-5.92</v>
      </c>
      <c r="F12" s="38">
        <v>39.44</v>
      </c>
      <c r="G12" s="38">
        <v>22.66</v>
      </c>
      <c r="H12" s="36">
        <f>E12*F12</f>
        <v>-233.48</v>
      </c>
      <c r="I12" s="35" t="s">
        <v>1123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</row>
    <row r="13" s="1" customFormat="1" ht="106" customHeight="1" outlineLevel="1" spans="1:253">
      <c r="A13" s="35">
        <v>5</v>
      </c>
      <c r="B13" s="35" t="s">
        <v>1179</v>
      </c>
      <c r="C13" s="35" t="s">
        <v>1180</v>
      </c>
      <c r="D13" s="35" t="s">
        <v>613</v>
      </c>
      <c r="E13" s="38">
        <v>5.92</v>
      </c>
      <c r="F13" s="38">
        <f>14.08+16</f>
        <v>30.08</v>
      </c>
      <c r="G13" s="38">
        <v>16</v>
      </c>
      <c r="H13" s="36">
        <f>E13*F13</f>
        <v>178.07</v>
      </c>
      <c r="I13" s="35" t="s">
        <v>1181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</row>
    <row r="14" s="1" customFormat="1" ht="21" customHeight="1" outlineLevel="1" spans="1:253">
      <c r="A14" s="35"/>
      <c r="B14" s="35" t="s">
        <v>1175</v>
      </c>
      <c r="C14" s="35"/>
      <c r="D14" s="35"/>
      <c r="E14" s="38"/>
      <c r="F14" s="39"/>
      <c r="G14" s="39"/>
      <c r="H14" s="36">
        <f>SUM(H12:H13)</f>
        <v>-55.41</v>
      </c>
      <c r="I14" s="3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</row>
    <row r="15" ht="26.25" customHeight="1" spans="1:9">
      <c r="A15" s="41" t="s">
        <v>648</v>
      </c>
      <c r="B15" s="41"/>
      <c r="C15" s="37"/>
      <c r="D15" s="37"/>
      <c r="E15" s="34"/>
      <c r="F15" s="37"/>
      <c r="G15" s="37"/>
      <c r="H15" s="36">
        <f>H9+H14</f>
        <v>-1049.04</v>
      </c>
      <c r="I15" s="35"/>
    </row>
  </sheetData>
  <mergeCells count="20">
    <mergeCell ref="A15:B15"/>
    <mergeCell ref="A3:A4"/>
    <mergeCell ref="A10:A11"/>
    <mergeCell ref="B3:B4"/>
    <mergeCell ref="B10:B11"/>
    <mergeCell ref="C3:C4"/>
    <mergeCell ref="C10:C11"/>
    <mergeCell ref="D3:D4"/>
    <mergeCell ref="D10:D11"/>
    <mergeCell ref="E3:E4"/>
    <mergeCell ref="E10:E11"/>
    <mergeCell ref="F3:F4"/>
    <mergeCell ref="F10:F11"/>
    <mergeCell ref="G3:G4"/>
    <mergeCell ref="G10:G11"/>
    <mergeCell ref="H3:H4"/>
    <mergeCell ref="H10:H11"/>
    <mergeCell ref="I3:I4"/>
    <mergeCell ref="I10:I11"/>
    <mergeCell ref="A1:I2"/>
  </mergeCells>
  <printOptions horizontalCentered="1"/>
  <pageMargins left="0.118055555555556" right="0.118055555555556" top="0.196527777777778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8"/>
  <sheetViews>
    <sheetView zoomScale="85" zoomScaleNormal="85" workbookViewId="0">
      <selection activeCell="Y7" sqref="Y7"/>
    </sheetView>
  </sheetViews>
  <sheetFormatPr defaultColWidth="9" defaultRowHeight="13.5" outlineLevelRow="7" outlineLevelCol="7"/>
  <cols>
    <col min="1" max="1" width="6.375" style="17" customWidth="1"/>
    <col min="2" max="2" width="13.2333333333333" style="17" customWidth="1"/>
    <col min="3" max="3" width="27.125" style="17" customWidth="1"/>
    <col min="4" max="4" width="5.20833333333333" style="17" customWidth="1"/>
    <col min="5" max="5" width="8.69166666666667" style="17" customWidth="1"/>
    <col min="6" max="7" width="11.75" style="18" customWidth="1"/>
    <col min="8" max="8" width="9.55833333333333" style="19" customWidth="1"/>
    <col min="9" max="16384" width="9" style="17"/>
  </cols>
  <sheetData>
    <row r="1" s="17" customFormat="1" ht="20.25" spans="1:8">
      <c r="A1" s="20" t="s">
        <v>1182</v>
      </c>
      <c r="B1" s="20"/>
      <c r="C1" s="20"/>
      <c r="D1" s="20"/>
      <c r="E1" s="20"/>
      <c r="F1" s="20"/>
      <c r="G1" s="20"/>
      <c r="H1" s="20"/>
    </row>
    <row r="2" s="17" customFormat="1" ht="37.5" spans="1:8">
      <c r="A2" s="21" t="s">
        <v>1</v>
      </c>
      <c r="B2" s="21" t="s">
        <v>343</v>
      </c>
      <c r="C2" s="21" t="s">
        <v>1183</v>
      </c>
      <c r="D2" s="21" t="s">
        <v>517</v>
      </c>
      <c r="E2" s="21" t="s">
        <v>1184</v>
      </c>
      <c r="F2" s="22" t="s">
        <v>519</v>
      </c>
      <c r="G2" s="23" t="s">
        <v>440</v>
      </c>
      <c r="H2" s="23" t="s">
        <v>374</v>
      </c>
    </row>
    <row r="3" s="17" customFormat="1" ht="93.75" spans="1:8">
      <c r="A3" s="21">
        <v>1</v>
      </c>
      <c r="B3" s="24" t="s">
        <v>1185</v>
      </c>
      <c r="C3" s="25" t="s">
        <v>1186</v>
      </c>
      <c r="D3" s="21" t="s">
        <v>561</v>
      </c>
      <c r="E3" s="23">
        <v>1</v>
      </c>
      <c r="F3" s="23">
        <f>3100+(3877.46-3100)*0.85</f>
        <v>3760.84</v>
      </c>
      <c r="G3" s="23">
        <f t="shared" ref="G3:G7" si="0">F3*E3</f>
        <v>3760.84</v>
      </c>
      <c r="H3" s="26" t="s">
        <v>1187</v>
      </c>
    </row>
    <row r="4" s="17" customFormat="1" ht="82" customHeight="1" spans="1:8">
      <c r="A4" s="21">
        <v>2</v>
      </c>
      <c r="B4" s="21" t="s">
        <v>1188</v>
      </c>
      <c r="C4" s="25" t="s">
        <v>1189</v>
      </c>
      <c r="D4" s="21" t="s">
        <v>531</v>
      </c>
      <c r="E4" s="23">
        <f>3*2.2*0.3*2</f>
        <v>3.96</v>
      </c>
      <c r="F4" s="23">
        <f>319.17*0.85</f>
        <v>271.29</v>
      </c>
      <c r="G4" s="23">
        <f t="shared" si="0"/>
        <v>1074.31</v>
      </c>
      <c r="H4" s="26" t="s">
        <v>1187</v>
      </c>
    </row>
    <row r="5" s="17" customFormat="1" ht="72" customHeight="1" spans="1:8">
      <c r="A5" s="21">
        <v>3</v>
      </c>
      <c r="B5" s="24" t="s">
        <v>1190</v>
      </c>
      <c r="C5" s="25" t="s">
        <v>1191</v>
      </c>
      <c r="D5" s="21" t="s">
        <v>531</v>
      </c>
      <c r="E5" s="23">
        <f>((3*2.2)+(5.358*4.558))/2*3.73</f>
        <v>57.86</v>
      </c>
      <c r="F5" s="23">
        <f>23.5*0.9967</f>
        <v>23.42</v>
      </c>
      <c r="G5" s="23">
        <v>1359.61</v>
      </c>
      <c r="H5" s="26" t="s">
        <v>1187</v>
      </c>
    </row>
    <row r="6" s="17" customFormat="1" ht="102" customHeight="1" spans="1:8">
      <c r="A6" s="21">
        <v>4</v>
      </c>
      <c r="B6" s="24" t="s">
        <v>1192</v>
      </c>
      <c r="C6" s="25" t="s">
        <v>524</v>
      </c>
      <c r="D6" s="21" t="s">
        <v>525</v>
      </c>
      <c r="E6" s="23">
        <f>3.3*2.2</f>
        <v>7.26</v>
      </c>
      <c r="F6" s="23">
        <f>0.63*0.9967</f>
        <v>0.63</v>
      </c>
      <c r="G6" s="23">
        <f t="shared" si="0"/>
        <v>4.57</v>
      </c>
      <c r="H6" s="26" t="s">
        <v>1187</v>
      </c>
    </row>
    <row r="7" s="17" customFormat="1" ht="168.75" spans="1:8">
      <c r="A7" s="21">
        <v>5</v>
      </c>
      <c r="B7" s="24" t="s">
        <v>1193</v>
      </c>
      <c r="C7" s="25" t="s">
        <v>1194</v>
      </c>
      <c r="D7" s="21" t="s">
        <v>596</v>
      </c>
      <c r="E7" s="23">
        <v>1</v>
      </c>
      <c r="F7" s="23">
        <f>1000*0.9967</f>
        <v>996.7</v>
      </c>
      <c r="G7" s="23">
        <f t="shared" si="0"/>
        <v>996.7</v>
      </c>
      <c r="H7" s="26" t="s">
        <v>1187</v>
      </c>
    </row>
    <row r="8" s="17" customFormat="1" ht="26" customHeight="1" spans="1:8">
      <c r="A8" s="21">
        <v>6</v>
      </c>
      <c r="B8" s="21" t="s">
        <v>440</v>
      </c>
      <c r="C8" s="21"/>
      <c r="D8" s="21"/>
      <c r="E8" s="21"/>
      <c r="F8" s="23"/>
      <c r="G8" s="21">
        <f>SUM(G3:G7)</f>
        <v>7196.03</v>
      </c>
      <c r="H8" s="27"/>
    </row>
  </sheetData>
  <mergeCells count="1">
    <mergeCell ref="A1:H1"/>
  </mergeCells>
  <pageMargins left="0.118055555555556" right="0.118055555555556" top="0.275" bottom="1" header="0.5" footer="0.5"/>
  <pageSetup paperSize="9" orientation="portrait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S20"/>
  <sheetViews>
    <sheetView view="pageBreakPreview" zoomScaleNormal="130" workbookViewId="0">
      <selection activeCell="I17" sqref="I17"/>
    </sheetView>
  </sheetViews>
  <sheetFormatPr defaultColWidth="8.75" defaultRowHeight="14.25"/>
  <cols>
    <col min="1" max="1" width="5" style="2" customWidth="1"/>
    <col min="2" max="2" width="11.5" style="2" customWidth="1"/>
    <col min="3" max="3" width="12.5" style="2" customWidth="1"/>
    <col min="4" max="4" width="5.875" style="2" customWidth="1"/>
    <col min="5" max="5" width="8.5" style="3" customWidth="1"/>
    <col min="6" max="6" width="9.25" style="3"/>
    <col min="7" max="7" width="8.75" style="3"/>
    <col min="8" max="8" width="10.125" style="3"/>
    <col min="9" max="9" width="12.5" style="2" customWidth="1"/>
    <col min="10" max="16384" width="8.75" style="2"/>
  </cols>
  <sheetData>
    <row r="1" s="1" customFormat="1" spans="1:9">
      <c r="A1" s="4" t="s">
        <v>1195</v>
      </c>
      <c r="B1" s="4"/>
      <c r="C1" s="4"/>
      <c r="D1" s="4"/>
      <c r="E1" s="5"/>
      <c r="F1" s="5"/>
      <c r="G1" s="5"/>
      <c r="H1" s="5"/>
      <c r="I1" s="4"/>
    </row>
    <row r="2" s="1" customFormat="1" spans="1:9">
      <c r="A2" s="6"/>
      <c r="B2" s="6"/>
      <c r="C2" s="6"/>
      <c r="D2" s="6"/>
      <c r="E2" s="7"/>
      <c r="F2" s="7"/>
      <c r="G2" s="7"/>
      <c r="H2" s="7"/>
      <c r="I2" s="6"/>
    </row>
    <row r="3" s="1" customFormat="1" spans="1:9">
      <c r="A3" s="8" t="s">
        <v>1</v>
      </c>
      <c r="B3" s="8" t="s">
        <v>343</v>
      </c>
      <c r="C3" s="8" t="s">
        <v>516</v>
      </c>
      <c r="D3" s="8" t="s">
        <v>517</v>
      </c>
      <c r="E3" s="9" t="s">
        <v>518</v>
      </c>
      <c r="F3" s="9" t="s">
        <v>1163</v>
      </c>
      <c r="G3" s="9" t="s">
        <v>1164</v>
      </c>
      <c r="H3" s="9" t="s">
        <v>1165</v>
      </c>
      <c r="I3" s="8" t="s">
        <v>374</v>
      </c>
    </row>
    <row r="4" s="1" customFormat="1" ht="31" customHeight="1" spans="1:9">
      <c r="A4" s="8"/>
      <c r="B4" s="8"/>
      <c r="C4" s="8"/>
      <c r="D4" s="8"/>
      <c r="E4" s="9"/>
      <c r="F4" s="9"/>
      <c r="G4" s="9"/>
      <c r="H4" s="9"/>
      <c r="I4" s="8"/>
    </row>
    <row r="5" s="1" customFormat="1" spans="1:253">
      <c r="A5" s="10" t="s">
        <v>447</v>
      </c>
      <c r="B5" s="10" t="s">
        <v>1196</v>
      </c>
      <c r="C5" s="10"/>
      <c r="D5" s="11"/>
      <c r="E5" s="12"/>
      <c r="F5" s="12"/>
      <c r="G5" s="12"/>
      <c r="H5" s="12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</row>
    <row r="6" s="1" customFormat="1" ht="70" customHeight="1" outlineLevel="1" spans="1:253">
      <c r="A6" s="10">
        <v>1</v>
      </c>
      <c r="B6" s="10" t="s">
        <v>1169</v>
      </c>
      <c r="C6" s="10" t="s">
        <v>1170</v>
      </c>
      <c r="D6" s="10" t="s">
        <v>613</v>
      </c>
      <c r="E6" s="13">
        <v>38.64</v>
      </c>
      <c r="F6" s="14">
        <v>3.76</v>
      </c>
      <c r="G6" s="14">
        <v>3.5</v>
      </c>
      <c r="H6" s="13">
        <f>(G6-F6)*E6</f>
        <v>-10.05</v>
      </c>
      <c r="I6" s="10" t="s">
        <v>1171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</row>
    <row r="7" ht="21" customHeight="1" spans="1:9">
      <c r="A7" s="10" t="s">
        <v>1197</v>
      </c>
      <c r="B7" s="10"/>
      <c r="C7" s="14"/>
      <c r="D7" s="14"/>
      <c r="E7" s="12"/>
      <c r="F7" s="14"/>
      <c r="G7" s="14"/>
      <c r="H7" s="13">
        <f>H6</f>
        <v>-10.05</v>
      </c>
      <c r="I7" s="10"/>
    </row>
    <row r="8" spans="1:9">
      <c r="A8" s="11" t="s">
        <v>1198</v>
      </c>
      <c r="B8" s="11"/>
      <c r="C8" s="14"/>
      <c r="D8" s="14"/>
      <c r="E8" s="12"/>
      <c r="F8" s="14"/>
      <c r="G8" s="14"/>
      <c r="H8" s="13">
        <f>H7</f>
        <v>-10.05</v>
      </c>
      <c r="I8" s="10"/>
    </row>
    <row r="9" spans="8:8">
      <c r="H9" s="15"/>
    </row>
    <row r="10" spans="8:8">
      <c r="H10" s="15"/>
    </row>
    <row r="11" spans="8:8">
      <c r="H11" s="15"/>
    </row>
    <row r="12" spans="8:8">
      <c r="H12" s="15"/>
    </row>
    <row r="13" spans="8:8">
      <c r="H13" s="15"/>
    </row>
    <row r="14" spans="8:8">
      <c r="H14" s="15"/>
    </row>
    <row r="15" spans="8:8">
      <c r="H15" s="15"/>
    </row>
    <row r="16" spans="8:8">
      <c r="H16" s="15"/>
    </row>
    <row r="17" spans="8:8">
      <c r="H17" s="15"/>
    </row>
    <row r="18" spans="8:8">
      <c r="H18" s="15"/>
    </row>
    <row r="19" spans="8:8">
      <c r="H19" s="15"/>
    </row>
    <row r="20" spans="8:8">
      <c r="H20" s="15"/>
    </row>
  </sheetData>
  <mergeCells count="12">
    <mergeCell ref="A7:B7"/>
    <mergeCell ref="A8:B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I2"/>
  </mergeCells>
  <printOptions horizontalCentered="1"/>
  <pageMargins left="0.118055555555556" right="0.118055555555556" top="0.354166666666667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320" t="s">
        <v>205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</row>
    <row r="2" spans="1:29">
      <c r="A2" s="321" t="s">
        <v>1</v>
      </c>
      <c r="B2" s="321" t="s">
        <v>2</v>
      </c>
      <c r="C2" s="321" t="s">
        <v>3</v>
      </c>
      <c r="D2" s="321" t="s">
        <v>4</v>
      </c>
      <c r="E2" s="321" t="s">
        <v>5</v>
      </c>
      <c r="F2" s="321" t="s">
        <v>6</v>
      </c>
      <c r="G2" s="321" t="s">
        <v>7</v>
      </c>
      <c r="H2" s="321" t="s">
        <v>8</v>
      </c>
      <c r="I2" s="321" t="s">
        <v>9</v>
      </c>
      <c r="J2" s="321" t="s">
        <v>10</v>
      </c>
      <c r="K2" s="321" t="s">
        <v>11</v>
      </c>
      <c r="L2" s="321" t="s">
        <v>12</v>
      </c>
      <c r="M2" s="321" t="s">
        <v>13</v>
      </c>
      <c r="N2" s="321" t="s">
        <v>14</v>
      </c>
      <c r="O2" s="321" t="s">
        <v>15</v>
      </c>
      <c r="P2" s="321" t="s">
        <v>16</v>
      </c>
      <c r="Q2" s="321" t="s">
        <v>17</v>
      </c>
      <c r="R2" s="321" t="s">
        <v>18</v>
      </c>
      <c r="S2" s="321" t="s">
        <v>19</v>
      </c>
      <c r="T2" s="321" t="s">
        <v>20</v>
      </c>
      <c r="U2" s="321" t="s">
        <v>21</v>
      </c>
      <c r="V2" s="321" t="s">
        <v>22</v>
      </c>
      <c r="W2" s="321" t="s">
        <v>23</v>
      </c>
      <c r="X2" s="321" t="s">
        <v>24</v>
      </c>
      <c r="Y2" s="321" t="s">
        <v>25</v>
      </c>
      <c r="Z2" s="321" t="s">
        <v>26</v>
      </c>
      <c r="AA2" s="321" t="s">
        <v>27</v>
      </c>
      <c r="AB2" s="321" t="s">
        <v>28</v>
      </c>
      <c r="AC2" s="326" t="s">
        <v>206</v>
      </c>
    </row>
    <row r="3" spans="1:29">
      <c r="A3" s="321" t="s">
        <v>29</v>
      </c>
      <c r="B3" s="321" t="s">
        <v>38</v>
      </c>
      <c r="C3" s="321"/>
      <c r="D3" s="321"/>
      <c r="E3" s="321">
        <v>2</v>
      </c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>
        <f t="shared" ref="AB3:AB66" si="0">SUM(E3:AA3)</f>
        <v>2</v>
      </c>
      <c r="AC3" s="326">
        <f t="shared" ref="AC3:AC34" si="1">C3*D3*AB3/1000000</f>
        <v>0</v>
      </c>
    </row>
    <row r="4" spans="1:29">
      <c r="A4" s="321" t="s">
        <v>31</v>
      </c>
      <c r="B4" s="321" t="s">
        <v>207</v>
      </c>
      <c r="C4" s="321"/>
      <c r="D4" s="321"/>
      <c r="E4" s="321">
        <v>3</v>
      </c>
      <c r="F4" s="321">
        <v>1</v>
      </c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>
        <f t="shared" si="0"/>
        <v>4</v>
      </c>
      <c r="AC4" s="326">
        <f t="shared" si="1"/>
        <v>0</v>
      </c>
    </row>
    <row r="5" spans="1:29">
      <c r="A5" s="321" t="s">
        <v>33</v>
      </c>
      <c r="B5" s="321" t="s">
        <v>124</v>
      </c>
      <c r="C5" s="321"/>
      <c r="D5" s="321"/>
      <c r="E5" s="321">
        <v>2</v>
      </c>
      <c r="F5" s="321">
        <v>3</v>
      </c>
      <c r="G5" s="321"/>
      <c r="H5" s="321">
        <v>3</v>
      </c>
      <c r="I5" s="321">
        <v>3</v>
      </c>
      <c r="J5" s="321">
        <v>3</v>
      </c>
      <c r="K5" s="321">
        <v>3</v>
      </c>
      <c r="L5" s="321">
        <v>3</v>
      </c>
      <c r="M5" s="321">
        <v>3</v>
      </c>
      <c r="N5" s="321">
        <v>3</v>
      </c>
      <c r="O5" s="321">
        <v>3</v>
      </c>
      <c r="P5" s="321">
        <v>3</v>
      </c>
      <c r="Q5" s="321">
        <v>3</v>
      </c>
      <c r="R5" s="321">
        <v>3</v>
      </c>
      <c r="S5" s="321">
        <v>3</v>
      </c>
      <c r="T5" s="321">
        <v>3</v>
      </c>
      <c r="U5" s="321">
        <v>3</v>
      </c>
      <c r="V5" s="321">
        <v>3</v>
      </c>
      <c r="W5" s="321">
        <v>3</v>
      </c>
      <c r="X5" s="321"/>
      <c r="Y5" s="321"/>
      <c r="Z5" s="321"/>
      <c r="AA5" s="321"/>
      <c r="AB5" s="321">
        <f t="shared" si="0"/>
        <v>53</v>
      </c>
      <c r="AC5" s="326">
        <f t="shared" si="1"/>
        <v>0</v>
      </c>
    </row>
    <row r="6" spans="1:29">
      <c r="A6" s="321" t="s">
        <v>35</v>
      </c>
      <c r="B6" s="321" t="s">
        <v>208</v>
      </c>
      <c r="C6" s="321"/>
      <c r="D6" s="321"/>
      <c r="E6" s="321">
        <v>3</v>
      </c>
      <c r="F6" s="321">
        <v>3</v>
      </c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>
        <f t="shared" si="0"/>
        <v>6</v>
      </c>
      <c r="AC6" s="326">
        <f t="shared" si="1"/>
        <v>0</v>
      </c>
    </row>
    <row r="7" spans="1:29">
      <c r="A7" s="321" t="s">
        <v>37</v>
      </c>
      <c r="B7" s="321" t="s">
        <v>86</v>
      </c>
      <c r="C7" s="321"/>
      <c r="D7" s="321"/>
      <c r="E7" s="321"/>
      <c r="F7" s="321">
        <v>1</v>
      </c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>
        <f t="shared" si="0"/>
        <v>1</v>
      </c>
      <c r="AC7" s="326">
        <f t="shared" si="1"/>
        <v>0</v>
      </c>
    </row>
    <row r="8" spans="1:29">
      <c r="A8" s="321" t="s">
        <v>39</v>
      </c>
      <c r="B8" s="321" t="s">
        <v>48</v>
      </c>
      <c r="C8" s="321"/>
      <c r="D8" s="321"/>
      <c r="E8" s="321"/>
      <c r="F8" s="321">
        <v>2</v>
      </c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>
        <f t="shared" si="0"/>
        <v>2</v>
      </c>
      <c r="AC8" s="326">
        <f t="shared" si="1"/>
        <v>0</v>
      </c>
    </row>
    <row r="9" spans="1:29">
      <c r="A9" s="321" t="s">
        <v>41</v>
      </c>
      <c r="B9" s="321" t="s">
        <v>209</v>
      </c>
      <c r="C9" s="321"/>
      <c r="D9" s="321"/>
      <c r="E9" s="321"/>
      <c r="F9" s="321">
        <v>1</v>
      </c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>
        <f t="shared" si="0"/>
        <v>1</v>
      </c>
      <c r="AC9" s="326">
        <f t="shared" si="1"/>
        <v>0</v>
      </c>
    </row>
    <row r="10" spans="1:29">
      <c r="A10" s="321" t="s">
        <v>43</v>
      </c>
      <c r="B10" s="321" t="s">
        <v>210</v>
      </c>
      <c r="C10" s="321"/>
      <c r="D10" s="321"/>
      <c r="E10" s="321"/>
      <c r="F10" s="321">
        <v>1</v>
      </c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>
        <f t="shared" si="0"/>
        <v>1</v>
      </c>
      <c r="AC10" s="326">
        <f t="shared" si="1"/>
        <v>0</v>
      </c>
    </row>
    <row r="11" spans="1:29">
      <c r="A11" s="321" t="s">
        <v>45</v>
      </c>
      <c r="B11" s="321" t="s">
        <v>211</v>
      </c>
      <c r="C11" s="321"/>
      <c r="D11" s="321"/>
      <c r="E11" s="321"/>
      <c r="F11" s="321">
        <v>1</v>
      </c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>
        <f t="shared" si="0"/>
        <v>1</v>
      </c>
      <c r="AC11" s="326">
        <f t="shared" si="1"/>
        <v>0</v>
      </c>
    </row>
    <row r="12" spans="1:29">
      <c r="A12" s="321" t="s">
        <v>47</v>
      </c>
      <c r="B12" s="321" t="s">
        <v>212</v>
      </c>
      <c r="C12" s="321"/>
      <c r="D12" s="321"/>
      <c r="E12" s="321"/>
      <c r="F12" s="321">
        <v>1</v>
      </c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>
        <f t="shared" si="0"/>
        <v>1</v>
      </c>
      <c r="AC12" s="326">
        <f t="shared" si="1"/>
        <v>0</v>
      </c>
    </row>
    <row r="13" spans="1:29">
      <c r="A13" s="321" t="s">
        <v>49</v>
      </c>
      <c r="B13" s="321" t="s">
        <v>213</v>
      </c>
      <c r="C13" s="321"/>
      <c r="D13" s="321"/>
      <c r="E13" s="321"/>
      <c r="F13" s="321">
        <v>1</v>
      </c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>
        <f t="shared" si="0"/>
        <v>1</v>
      </c>
      <c r="AC13" s="326">
        <f t="shared" si="1"/>
        <v>0</v>
      </c>
    </row>
    <row r="14" spans="1:29">
      <c r="A14" s="321" t="s">
        <v>51</v>
      </c>
      <c r="B14" s="321" t="s">
        <v>214</v>
      </c>
      <c r="C14" s="321"/>
      <c r="D14" s="321"/>
      <c r="E14" s="321"/>
      <c r="F14" s="321">
        <v>2</v>
      </c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>
        <f t="shared" si="0"/>
        <v>2</v>
      </c>
      <c r="AC14" s="326">
        <f t="shared" si="1"/>
        <v>0</v>
      </c>
    </row>
    <row r="15" spans="1:29">
      <c r="A15" s="321" t="s">
        <v>53</v>
      </c>
      <c r="B15" s="321" t="s">
        <v>215</v>
      </c>
      <c r="C15" s="321"/>
      <c r="D15" s="321"/>
      <c r="E15" s="321"/>
      <c r="F15" s="321">
        <v>1</v>
      </c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>
        <f t="shared" si="0"/>
        <v>1</v>
      </c>
      <c r="AC15" s="326">
        <f t="shared" si="1"/>
        <v>0</v>
      </c>
    </row>
    <row r="16" spans="1:29">
      <c r="A16" s="321" t="s">
        <v>55</v>
      </c>
      <c r="B16" s="321" t="s">
        <v>44</v>
      </c>
      <c r="C16" s="321"/>
      <c r="D16" s="321"/>
      <c r="E16" s="321"/>
      <c r="F16" s="321">
        <v>1</v>
      </c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>
        <f t="shared" si="0"/>
        <v>1</v>
      </c>
      <c r="AC16" s="326">
        <f t="shared" si="1"/>
        <v>0</v>
      </c>
    </row>
    <row r="17" spans="1:29">
      <c r="A17" s="321" t="s">
        <v>57</v>
      </c>
      <c r="B17" s="321" t="s">
        <v>216</v>
      </c>
      <c r="C17" s="321"/>
      <c r="D17" s="321"/>
      <c r="E17" s="321"/>
      <c r="F17" s="321">
        <v>1</v>
      </c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>
        <f t="shared" si="0"/>
        <v>1</v>
      </c>
      <c r="AC17" s="326">
        <f t="shared" si="1"/>
        <v>0</v>
      </c>
    </row>
    <row r="18" spans="1:29">
      <c r="A18" s="321" t="s">
        <v>59</v>
      </c>
      <c r="B18" s="321" t="s">
        <v>217</v>
      </c>
      <c r="C18" s="321"/>
      <c r="D18" s="321"/>
      <c r="E18" s="321"/>
      <c r="F18" s="321">
        <v>1</v>
      </c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>
        <f t="shared" si="0"/>
        <v>1</v>
      </c>
      <c r="AC18" s="326">
        <f t="shared" si="1"/>
        <v>0</v>
      </c>
    </row>
    <row r="19" spans="1:29">
      <c r="A19" s="321" t="s">
        <v>61</v>
      </c>
      <c r="B19" s="321" t="s">
        <v>218</v>
      </c>
      <c r="C19" s="321"/>
      <c r="D19" s="321"/>
      <c r="E19" s="321"/>
      <c r="F19" s="321">
        <v>2</v>
      </c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>
        <f t="shared" si="0"/>
        <v>2</v>
      </c>
      <c r="AC19" s="326">
        <f t="shared" si="1"/>
        <v>0</v>
      </c>
    </row>
    <row r="20" spans="1:29">
      <c r="A20" s="321" t="s">
        <v>63</v>
      </c>
      <c r="B20" s="321" t="s">
        <v>219</v>
      </c>
      <c r="C20" s="321"/>
      <c r="D20" s="321"/>
      <c r="E20" s="321"/>
      <c r="F20" s="321">
        <v>1</v>
      </c>
      <c r="G20" s="321">
        <v>1</v>
      </c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>
        <f t="shared" si="0"/>
        <v>2</v>
      </c>
      <c r="AC20" s="326">
        <f t="shared" si="1"/>
        <v>0</v>
      </c>
    </row>
    <row r="21" spans="1:29">
      <c r="A21" s="321" t="s">
        <v>65</v>
      </c>
      <c r="B21" s="321" t="s">
        <v>220</v>
      </c>
      <c r="C21" s="321"/>
      <c r="D21" s="321"/>
      <c r="E21" s="321"/>
      <c r="F21" s="321">
        <v>2</v>
      </c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>
        <f t="shared" si="0"/>
        <v>2</v>
      </c>
      <c r="AC21" s="326">
        <f t="shared" si="1"/>
        <v>0</v>
      </c>
    </row>
    <row r="22" spans="1:29">
      <c r="A22" s="321" t="s">
        <v>67</v>
      </c>
      <c r="B22" s="321" t="s">
        <v>204</v>
      </c>
      <c r="C22" s="321"/>
      <c r="D22" s="321"/>
      <c r="E22" s="321"/>
      <c r="F22" s="321">
        <v>2</v>
      </c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>
        <f t="shared" si="0"/>
        <v>2</v>
      </c>
      <c r="AC22" s="326">
        <f t="shared" si="1"/>
        <v>0</v>
      </c>
    </row>
    <row r="23" spans="1:29">
      <c r="A23" s="321" t="s">
        <v>69</v>
      </c>
      <c r="B23" s="321" t="s">
        <v>221</v>
      </c>
      <c r="C23" s="321"/>
      <c r="D23" s="321"/>
      <c r="E23" s="321"/>
      <c r="F23" s="321">
        <v>3</v>
      </c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>
        <f t="shared" si="0"/>
        <v>3</v>
      </c>
      <c r="AC23" s="326">
        <f t="shared" si="1"/>
        <v>0</v>
      </c>
    </row>
    <row r="24" spans="1:29">
      <c r="A24" s="321" t="s">
        <v>71</v>
      </c>
      <c r="B24" s="321" t="s">
        <v>222</v>
      </c>
      <c r="C24" s="321"/>
      <c r="D24" s="321"/>
      <c r="E24" s="321"/>
      <c r="F24" s="321">
        <v>2</v>
      </c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>
        <f t="shared" si="0"/>
        <v>2</v>
      </c>
      <c r="AC24" s="326">
        <f t="shared" si="1"/>
        <v>0</v>
      </c>
    </row>
    <row r="25" spans="1:29">
      <c r="A25" s="321" t="s">
        <v>223</v>
      </c>
      <c r="B25" s="321" t="s">
        <v>224</v>
      </c>
      <c r="C25" s="321"/>
      <c r="D25" s="321"/>
      <c r="E25" s="321"/>
      <c r="F25" s="321">
        <v>2</v>
      </c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>
        <f t="shared" si="0"/>
        <v>2</v>
      </c>
      <c r="AC25" s="326">
        <f t="shared" si="1"/>
        <v>0</v>
      </c>
    </row>
    <row r="26" spans="1:29">
      <c r="A26" s="321" t="s">
        <v>73</v>
      </c>
      <c r="B26" s="321" t="s">
        <v>225</v>
      </c>
      <c r="C26" s="321"/>
      <c r="D26" s="321"/>
      <c r="E26" s="321"/>
      <c r="F26" s="321">
        <v>1</v>
      </c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>
        <f t="shared" si="0"/>
        <v>1</v>
      </c>
      <c r="AC26" s="326">
        <f t="shared" si="1"/>
        <v>0</v>
      </c>
    </row>
    <row r="27" spans="1:29">
      <c r="A27" s="321" t="s">
        <v>75</v>
      </c>
      <c r="B27" s="321" t="s">
        <v>226</v>
      </c>
      <c r="C27" s="321"/>
      <c r="D27" s="321"/>
      <c r="E27" s="321"/>
      <c r="F27" s="321">
        <v>1</v>
      </c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>
        <f t="shared" si="0"/>
        <v>1</v>
      </c>
      <c r="AC27" s="326">
        <f t="shared" si="1"/>
        <v>0</v>
      </c>
    </row>
    <row r="28" spans="1:29">
      <c r="A28" s="321" t="s">
        <v>77</v>
      </c>
      <c r="B28" s="321" t="s">
        <v>110</v>
      </c>
      <c r="C28" s="321"/>
      <c r="D28" s="321"/>
      <c r="E28" s="321"/>
      <c r="F28" s="321"/>
      <c r="G28" s="321">
        <v>1</v>
      </c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>
        <f t="shared" si="0"/>
        <v>1</v>
      </c>
      <c r="AC28" s="326">
        <f t="shared" si="1"/>
        <v>0</v>
      </c>
    </row>
    <row r="29" spans="1:29">
      <c r="A29" s="321" t="s">
        <v>79</v>
      </c>
      <c r="B29" s="321" t="s">
        <v>90</v>
      </c>
      <c r="C29" s="321"/>
      <c r="D29" s="321"/>
      <c r="E29" s="321"/>
      <c r="F29" s="321"/>
      <c r="G29" s="321">
        <v>3</v>
      </c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>
        <f t="shared" si="0"/>
        <v>3</v>
      </c>
      <c r="AC29" s="326">
        <f t="shared" si="1"/>
        <v>0</v>
      </c>
    </row>
    <row r="30" spans="1:29">
      <c r="A30" s="321" t="s">
        <v>81</v>
      </c>
      <c r="B30" s="321" t="s">
        <v>88</v>
      </c>
      <c r="C30" s="321"/>
      <c r="D30" s="321"/>
      <c r="E30" s="321"/>
      <c r="F30" s="321"/>
      <c r="G30" s="321">
        <v>1</v>
      </c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>
        <f t="shared" si="0"/>
        <v>1</v>
      </c>
      <c r="AC30" s="326">
        <f t="shared" si="1"/>
        <v>0</v>
      </c>
    </row>
    <row r="31" spans="1:29">
      <c r="A31" s="321" t="s">
        <v>83</v>
      </c>
      <c r="B31" s="321" t="s">
        <v>122</v>
      </c>
      <c r="C31" s="321"/>
      <c r="D31" s="321"/>
      <c r="E31" s="321"/>
      <c r="F31" s="321"/>
      <c r="G31" s="321">
        <v>5</v>
      </c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>
        <f t="shared" si="0"/>
        <v>5</v>
      </c>
      <c r="AC31" s="326">
        <f t="shared" si="1"/>
        <v>0</v>
      </c>
    </row>
    <row r="32" spans="1:29">
      <c r="A32" s="321" t="s">
        <v>85</v>
      </c>
      <c r="B32" s="321" t="s">
        <v>227</v>
      </c>
      <c r="C32" s="321"/>
      <c r="D32" s="321"/>
      <c r="E32" s="321"/>
      <c r="F32" s="321"/>
      <c r="G32" s="321">
        <v>1</v>
      </c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>
        <f t="shared" si="0"/>
        <v>1</v>
      </c>
      <c r="AC32" s="326">
        <f t="shared" si="1"/>
        <v>0</v>
      </c>
    </row>
    <row r="33" spans="1:29">
      <c r="A33" s="321" t="s">
        <v>87</v>
      </c>
      <c r="B33" s="321" t="s">
        <v>228</v>
      </c>
      <c r="C33" s="321"/>
      <c r="D33" s="321"/>
      <c r="E33" s="321"/>
      <c r="F33" s="321"/>
      <c r="G33" s="321">
        <v>1</v>
      </c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>
        <f t="shared" si="0"/>
        <v>1</v>
      </c>
      <c r="AC33" s="326">
        <f t="shared" si="1"/>
        <v>0</v>
      </c>
    </row>
    <row r="34" spans="1:29">
      <c r="A34" s="321" t="s">
        <v>89</v>
      </c>
      <c r="B34" s="321" t="s">
        <v>229</v>
      </c>
      <c r="C34" s="321"/>
      <c r="D34" s="321"/>
      <c r="E34" s="321"/>
      <c r="F34" s="321"/>
      <c r="G34" s="321">
        <v>1</v>
      </c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>
        <f t="shared" si="0"/>
        <v>1</v>
      </c>
      <c r="AC34" s="326">
        <f t="shared" si="1"/>
        <v>0</v>
      </c>
    </row>
    <row r="35" spans="1:29">
      <c r="A35" s="321" t="s">
        <v>91</v>
      </c>
      <c r="B35" s="321" t="s">
        <v>112</v>
      </c>
      <c r="C35" s="321"/>
      <c r="D35" s="321"/>
      <c r="E35" s="321"/>
      <c r="F35" s="321"/>
      <c r="G35" s="321">
        <v>1</v>
      </c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>
        <f t="shared" si="0"/>
        <v>1</v>
      </c>
      <c r="AC35" s="326">
        <f t="shared" ref="AC35:AC64" si="2">C35*D35*AB35/1000000</f>
        <v>0</v>
      </c>
    </row>
    <row r="36" spans="1:29">
      <c r="A36" s="321" t="s">
        <v>93</v>
      </c>
      <c r="B36" s="321" t="s">
        <v>139</v>
      </c>
      <c r="C36" s="321"/>
      <c r="D36" s="321"/>
      <c r="E36" s="321"/>
      <c r="F36" s="321"/>
      <c r="G36" s="321">
        <v>2</v>
      </c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>
        <f t="shared" si="0"/>
        <v>2</v>
      </c>
      <c r="AC36" s="326">
        <f t="shared" si="2"/>
        <v>0</v>
      </c>
    </row>
    <row r="37" spans="1:29">
      <c r="A37" s="321" t="s">
        <v>95</v>
      </c>
      <c r="B37" s="321" t="s">
        <v>230</v>
      </c>
      <c r="C37" s="321"/>
      <c r="D37" s="321"/>
      <c r="E37" s="321"/>
      <c r="F37" s="321"/>
      <c r="G37" s="321">
        <v>1</v>
      </c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>
        <f t="shared" si="0"/>
        <v>1</v>
      </c>
      <c r="AC37" s="326">
        <f t="shared" si="2"/>
        <v>0</v>
      </c>
    </row>
    <row r="38" spans="1:29">
      <c r="A38" s="321" t="s">
        <v>97</v>
      </c>
      <c r="B38" s="321" t="s">
        <v>231</v>
      </c>
      <c r="C38" s="321"/>
      <c r="D38" s="321"/>
      <c r="E38" s="321"/>
      <c r="F38" s="321"/>
      <c r="G38" s="321">
        <v>1</v>
      </c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>
        <f t="shared" si="0"/>
        <v>1</v>
      </c>
      <c r="AC38" s="326">
        <f t="shared" si="2"/>
        <v>0</v>
      </c>
    </row>
    <row r="39" spans="1:29">
      <c r="A39" s="321" t="s">
        <v>99</v>
      </c>
      <c r="B39" s="321" t="s">
        <v>232</v>
      </c>
      <c r="C39" s="321"/>
      <c r="D39" s="321"/>
      <c r="E39" s="321"/>
      <c r="F39" s="321"/>
      <c r="G39" s="321">
        <v>1</v>
      </c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>
        <f t="shared" si="0"/>
        <v>1</v>
      </c>
      <c r="AC39" s="326">
        <f t="shared" si="2"/>
        <v>0</v>
      </c>
    </row>
    <row r="40" spans="1:29">
      <c r="A40" s="321" t="s">
        <v>101</v>
      </c>
      <c r="B40" s="321" t="s">
        <v>233</v>
      </c>
      <c r="C40" s="321"/>
      <c r="D40" s="321"/>
      <c r="E40" s="321"/>
      <c r="F40" s="321"/>
      <c r="G40" s="321">
        <v>1</v>
      </c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>
        <f t="shared" si="0"/>
        <v>1</v>
      </c>
      <c r="AC40" s="326">
        <f t="shared" si="2"/>
        <v>0</v>
      </c>
    </row>
    <row r="41" spans="1:29">
      <c r="A41" s="321" t="s">
        <v>103</v>
      </c>
      <c r="B41" s="321" t="s">
        <v>234</v>
      </c>
      <c r="C41" s="321"/>
      <c r="D41" s="321"/>
      <c r="E41" s="321"/>
      <c r="F41" s="321"/>
      <c r="G41" s="321">
        <v>1</v>
      </c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>
        <f t="shared" si="0"/>
        <v>1</v>
      </c>
      <c r="AC41" s="326">
        <f t="shared" si="2"/>
        <v>0</v>
      </c>
    </row>
    <row r="42" spans="1:29">
      <c r="A42" s="321" t="s">
        <v>105</v>
      </c>
      <c r="B42" s="321" t="s">
        <v>235</v>
      </c>
      <c r="C42" s="321"/>
      <c r="D42" s="321"/>
      <c r="E42" s="321"/>
      <c r="F42" s="321"/>
      <c r="G42" s="321">
        <v>2</v>
      </c>
      <c r="H42" s="321">
        <v>4</v>
      </c>
      <c r="I42" s="321">
        <v>4</v>
      </c>
      <c r="J42" s="321">
        <v>4</v>
      </c>
      <c r="K42" s="321">
        <v>4</v>
      </c>
      <c r="L42" s="321">
        <v>4</v>
      </c>
      <c r="M42" s="321">
        <v>4</v>
      </c>
      <c r="N42" s="321">
        <v>4</v>
      </c>
      <c r="O42" s="321">
        <v>4</v>
      </c>
      <c r="P42" s="321">
        <v>4</v>
      </c>
      <c r="Q42" s="321">
        <v>4</v>
      </c>
      <c r="R42" s="321">
        <v>4</v>
      </c>
      <c r="S42" s="321">
        <v>4</v>
      </c>
      <c r="T42" s="321">
        <v>4</v>
      </c>
      <c r="U42" s="321">
        <v>4</v>
      </c>
      <c r="V42" s="321">
        <v>4</v>
      </c>
      <c r="W42" s="321">
        <v>4</v>
      </c>
      <c r="X42" s="321"/>
      <c r="Y42" s="321"/>
      <c r="Z42" s="321"/>
      <c r="AA42" s="321"/>
      <c r="AB42" s="321">
        <f t="shared" si="0"/>
        <v>66</v>
      </c>
      <c r="AC42" s="326">
        <f t="shared" si="2"/>
        <v>0</v>
      </c>
    </row>
    <row r="43" spans="1:29">
      <c r="A43" s="321" t="s">
        <v>107</v>
      </c>
      <c r="B43" s="321" t="s">
        <v>236</v>
      </c>
      <c r="C43" s="321"/>
      <c r="D43" s="321"/>
      <c r="E43" s="321"/>
      <c r="F43" s="321"/>
      <c r="G43" s="321">
        <v>2</v>
      </c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1">
        <f t="shared" si="0"/>
        <v>2</v>
      </c>
      <c r="AC43" s="326">
        <f t="shared" si="2"/>
        <v>0</v>
      </c>
    </row>
    <row r="44" spans="1:29">
      <c r="A44" s="321" t="s">
        <v>109</v>
      </c>
      <c r="B44" s="321" t="s">
        <v>237</v>
      </c>
      <c r="C44" s="321"/>
      <c r="D44" s="321"/>
      <c r="E44" s="321"/>
      <c r="F44" s="321"/>
      <c r="G44" s="321">
        <v>2</v>
      </c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>
        <f t="shared" si="0"/>
        <v>2</v>
      </c>
      <c r="AC44" s="326">
        <f t="shared" si="2"/>
        <v>0</v>
      </c>
    </row>
    <row r="45" spans="1:29">
      <c r="A45" s="321" t="s">
        <v>111</v>
      </c>
      <c r="B45" s="321" t="s">
        <v>238</v>
      </c>
      <c r="C45" s="321"/>
      <c r="D45" s="321"/>
      <c r="E45" s="321"/>
      <c r="F45" s="321"/>
      <c r="G45" s="321">
        <v>2</v>
      </c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>
        <f t="shared" si="0"/>
        <v>2</v>
      </c>
      <c r="AC45" s="326">
        <f t="shared" si="2"/>
        <v>0</v>
      </c>
    </row>
    <row r="46" spans="1:29">
      <c r="A46" s="321" t="s">
        <v>113</v>
      </c>
      <c r="B46" s="321" t="s">
        <v>239</v>
      </c>
      <c r="C46" s="321"/>
      <c r="D46" s="321"/>
      <c r="E46" s="321"/>
      <c r="F46" s="321"/>
      <c r="G46" s="321">
        <v>1</v>
      </c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>
        <f t="shared" si="0"/>
        <v>1</v>
      </c>
      <c r="AC46" s="326">
        <f t="shared" si="2"/>
        <v>0</v>
      </c>
    </row>
    <row r="47" spans="1:29">
      <c r="A47" s="321" t="s">
        <v>115</v>
      </c>
      <c r="B47" s="321" t="s">
        <v>153</v>
      </c>
      <c r="C47" s="321"/>
      <c r="D47" s="321"/>
      <c r="E47" s="321"/>
      <c r="F47" s="321"/>
      <c r="G47" s="321">
        <v>2</v>
      </c>
      <c r="H47" s="321">
        <v>12</v>
      </c>
      <c r="I47" s="321">
        <v>12</v>
      </c>
      <c r="J47" s="321">
        <v>12</v>
      </c>
      <c r="K47" s="321">
        <v>12</v>
      </c>
      <c r="L47" s="321">
        <v>12</v>
      </c>
      <c r="M47" s="321">
        <v>12</v>
      </c>
      <c r="N47" s="321">
        <v>12</v>
      </c>
      <c r="O47" s="321">
        <v>12</v>
      </c>
      <c r="P47" s="321">
        <v>12</v>
      </c>
      <c r="Q47" s="321">
        <v>12</v>
      </c>
      <c r="R47" s="321">
        <v>12</v>
      </c>
      <c r="S47" s="321">
        <v>12</v>
      </c>
      <c r="T47" s="321">
        <v>12</v>
      </c>
      <c r="U47" s="321">
        <v>12</v>
      </c>
      <c r="V47" s="321">
        <v>12</v>
      </c>
      <c r="W47" s="321">
        <v>12</v>
      </c>
      <c r="X47" s="321"/>
      <c r="Y47" s="321"/>
      <c r="Z47" s="321"/>
      <c r="AA47" s="321"/>
      <c r="AB47" s="321">
        <f t="shared" si="0"/>
        <v>194</v>
      </c>
      <c r="AC47" s="326">
        <f t="shared" si="2"/>
        <v>0</v>
      </c>
    </row>
    <row r="48" s="325" customFormat="1" spans="1:30">
      <c r="A48" s="324" t="s">
        <v>117</v>
      </c>
      <c r="B48" s="324" t="s">
        <v>240</v>
      </c>
      <c r="C48" s="324"/>
      <c r="D48" s="324"/>
      <c r="E48" s="324"/>
      <c r="F48" s="324"/>
      <c r="G48" s="324">
        <v>2</v>
      </c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324"/>
      <c r="AB48" s="324">
        <f t="shared" si="0"/>
        <v>2</v>
      </c>
      <c r="AC48" s="327">
        <f t="shared" si="2"/>
        <v>0</v>
      </c>
      <c r="AD48" s="325" t="s">
        <v>241</v>
      </c>
    </row>
    <row r="49" spans="1:29">
      <c r="A49" s="321" t="s">
        <v>119</v>
      </c>
      <c r="B49" s="321" t="s">
        <v>242</v>
      </c>
      <c r="C49" s="321"/>
      <c r="D49" s="321"/>
      <c r="E49" s="321"/>
      <c r="F49" s="321"/>
      <c r="G49" s="321">
        <v>2</v>
      </c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  <c r="AA49" s="321"/>
      <c r="AB49" s="321">
        <f t="shared" si="0"/>
        <v>2</v>
      </c>
      <c r="AC49" s="326">
        <f t="shared" si="2"/>
        <v>0</v>
      </c>
    </row>
    <row r="50" spans="1:29">
      <c r="A50" s="321" t="s">
        <v>121</v>
      </c>
      <c r="B50" s="321" t="s">
        <v>243</v>
      </c>
      <c r="C50" s="321"/>
      <c r="D50" s="321"/>
      <c r="E50" s="321"/>
      <c r="F50" s="321"/>
      <c r="G50" s="321">
        <v>2</v>
      </c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>
        <f t="shared" si="0"/>
        <v>2</v>
      </c>
      <c r="AC50" s="326">
        <f t="shared" si="2"/>
        <v>0</v>
      </c>
    </row>
    <row r="51" spans="1:29">
      <c r="A51" s="321" t="s">
        <v>123</v>
      </c>
      <c r="B51" s="321" t="s">
        <v>244</v>
      </c>
      <c r="C51" s="321"/>
      <c r="D51" s="321"/>
      <c r="E51" s="321"/>
      <c r="F51" s="321"/>
      <c r="G51" s="321">
        <v>1</v>
      </c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>
        <f t="shared" si="0"/>
        <v>1</v>
      </c>
      <c r="AC51" s="326">
        <f t="shared" si="2"/>
        <v>0</v>
      </c>
    </row>
    <row r="52" spans="1:29">
      <c r="A52" s="321" t="s">
        <v>125</v>
      </c>
      <c r="B52" s="321" t="s">
        <v>245</v>
      </c>
      <c r="C52" s="321"/>
      <c r="D52" s="321"/>
      <c r="E52" s="321"/>
      <c r="F52" s="321"/>
      <c r="G52" s="321">
        <v>3</v>
      </c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>
        <f t="shared" si="0"/>
        <v>3</v>
      </c>
      <c r="AC52" s="326">
        <f t="shared" si="2"/>
        <v>0</v>
      </c>
    </row>
    <row r="53" spans="1:29">
      <c r="A53" s="321" t="s">
        <v>127</v>
      </c>
      <c r="B53" s="321" t="s">
        <v>246</v>
      </c>
      <c r="C53" s="321"/>
      <c r="D53" s="321"/>
      <c r="E53" s="321"/>
      <c r="F53" s="321"/>
      <c r="G53" s="321">
        <v>2</v>
      </c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321"/>
      <c r="AB53" s="321">
        <f t="shared" si="0"/>
        <v>2</v>
      </c>
      <c r="AC53" s="326">
        <f t="shared" si="2"/>
        <v>0</v>
      </c>
    </row>
    <row r="54" spans="1:29">
      <c r="A54" s="321" t="s">
        <v>129</v>
      </c>
      <c r="B54" s="321" t="s">
        <v>247</v>
      </c>
      <c r="C54" s="321"/>
      <c r="D54" s="321"/>
      <c r="E54" s="321"/>
      <c r="F54" s="321"/>
      <c r="G54" s="321">
        <v>2</v>
      </c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>
        <f t="shared" si="0"/>
        <v>2</v>
      </c>
      <c r="AC54" s="326">
        <f t="shared" si="2"/>
        <v>0</v>
      </c>
    </row>
    <row r="55" spans="1:29">
      <c r="A55" s="321" t="s">
        <v>131</v>
      </c>
      <c r="B55" s="322" t="s">
        <v>34</v>
      </c>
      <c r="C55" s="322"/>
      <c r="D55" s="322"/>
      <c r="E55" s="322"/>
      <c r="F55" s="322"/>
      <c r="G55" s="322">
        <v>3</v>
      </c>
      <c r="H55" s="322">
        <v>4</v>
      </c>
      <c r="I55" s="322">
        <v>4</v>
      </c>
      <c r="J55" s="322">
        <v>4</v>
      </c>
      <c r="K55" s="322">
        <v>4</v>
      </c>
      <c r="L55" s="322">
        <v>4</v>
      </c>
      <c r="M55" s="322">
        <v>4</v>
      </c>
      <c r="N55" s="322">
        <v>4</v>
      </c>
      <c r="O55" s="322">
        <v>4</v>
      </c>
      <c r="P55" s="322">
        <v>4</v>
      </c>
      <c r="Q55" s="322">
        <v>4</v>
      </c>
      <c r="R55" s="322">
        <v>4</v>
      </c>
      <c r="S55" s="322">
        <v>4</v>
      </c>
      <c r="T55" s="322">
        <v>4</v>
      </c>
      <c r="U55" s="322">
        <v>4</v>
      </c>
      <c r="V55" s="322">
        <v>4</v>
      </c>
      <c r="W55" s="322">
        <v>4</v>
      </c>
      <c r="X55" s="322"/>
      <c r="Y55" s="322"/>
      <c r="Z55" s="322"/>
      <c r="AA55" s="322"/>
      <c r="AB55" s="321">
        <f t="shared" si="0"/>
        <v>67</v>
      </c>
      <c r="AC55" s="328">
        <f t="shared" si="2"/>
        <v>0</v>
      </c>
    </row>
    <row r="56" spans="1:29">
      <c r="A56" s="321" t="s">
        <v>133</v>
      </c>
      <c r="B56" s="321" t="s">
        <v>248</v>
      </c>
      <c r="C56" s="321"/>
      <c r="D56" s="321"/>
      <c r="E56" s="321"/>
      <c r="F56" s="321"/>
      <c r="G56" s="321">
        <v>2</v>
      </c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>
        <f t="shared" si="0"/>
        <v>2</v>
      </c>
      <c r="AC56" s="326">
        <f t="shared" si="2"/>
        <v>0</v>
      </c>
    </row>
    <row r="57" spans="1:29">
      <c r="A57" s="321" t="s">
        <v>135</v>
      </c>
      <c r="B57" s="321" t="s">
        <v>249</v>
      </c>
      <c r="C57" s="321"/>
      <c r="D57" s="321"/>
      <c r="E57" s="321"/>
      <c r="F57" s="321"/>
      <c r="G57" s="321">
        <v>3</v>
      </c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  <c r="AA57" s="321"/>
      <c r="AB57" s="321">
        <f t="shared" si="0"/>
        <v>3</v>
      </c>
      <c r="AC57" s="326">
        <f t="shared" si="2"/>
        <v>0</v>
      </c>
    </row>
    <row r="58" spans="1:29">
      <c r="A58" s="321" t="s">
        <v>137</v>
      </c>
      <c r="B58" s="321" t="s">
        <v>92</v>
      </c>
      <c r="C58" s="321"/>
      <c r="D58" s="321"/>
      <c r="E58" s="321"/>
      <c r="F58" s="321"/>
      <c r="G58" s="321">
        <v>2</v>
      </c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21">
        <f t="shared" si="0"/>
        <v>2</v>
      </c>
      <c r="AC58" s="326">
        <f t="shared" si="2"/>
        <v>0</v>
      </c>
    </row>
    <row r="59" spans="1:29">
      <c r="A59" s="321" t="s">
        <v>138</v>
      </c>
      <c r="B59" s="321" t="s">
        <v>250</v>
      </c>
      <c r="C59" s="321"/>
      <c r="D59" s="321"/>
      <c r="E59" s="321"/>
      <c r="F59" s="321"/>
      <c r="G59" s="321">
        <v>2</v>
      </c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  <c r="AA59" s="321"/>
      <c r="AB59" s="321">
        <f t="shared" si="0"/>
        <v>2</v>
      </c>
      <c r="AC59" s="326">
        <f t="shared" si="2"/>
        <v>0</v>
      </c>
    </row>
    <row r="60" spans="1:29">
      <c r="A60" s="321" t="s">
        <v>140</v>
      </c>
      <c r="B60" s="321" t="s">
        <v>102</v>
      </c>
      <c r="C60" s="321"/>
      <c r="D60" s="321"/>
      <c r="E60" s="321"/>
      <c r="F60" s="321"/>
      <c r="G60" s="321">
        <v>1</v>
      </c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  <c r="AA60" s="321"/>
      <c r="AB60" s="321">
        <f t="shared" si="0"/>
        <v>1</v>
      </c>
      <c r="AC60" s="326">
        <f t="shared" si="2"/>
        <v>0</v>
      </c>
    </row>
    <row r="61" spans="1:29">
      <c r="A61" s="321" t="s">
        <v>142</v>
      </c>
      <c r="B61" s="321" t="s">
        <v>251</v>
      </c>
      <c r="C61" s="321"/>
      <c r="D61" s="321"/>
      <c r="E61" s="321"/>
      <c r="F61" s="321"/>
      <c r="G61" s="321">
        <v>1</v>
      </c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  <c r="AA61" s="321"/>
      <c r="AB61" s="321">
        <f t="shared" si="0"/>
        <v>1</v>
      </c>
      <c r="AC61" s="326">
        <f t="shared" si="2"/>
        <v>0</v>
      </c>
    </row>
    <row r="62" spans="1:29">
      <c r="A62" s="321" t="s">
        <v>144</v>
      </c>
      <c r="B62" s="321" t="s">
        <v>252</v>
      </c>
      <c r="C62" s="321"/>
      <c r="D62" s="321"/>
      <c r="E62" s="321"/>
      <c r="F62" s="321"/>
      <c r="G62" s="321"/>
      <c r="H62" s="321">
        <v>2</v>
      </c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  <c r="AA62" s="321"/>
      <c r="AB62" s="321">
        <f t="shared" si="0"/>
        <v>2</v>
      </c>
      <c r="AC62" s="326">
        <f t="shared" si="2"/>
        <v>0</v>
      </c>
    </row>
    <row r="63" spans="1:29">
      <c r="A63" s="321" t="s">
        <v>146</v>
      </c>
      <c r="B63" s="321" t="s">
        <v>141</v>
      </c>
      <c r="C63" s="321"/>
      <c r="D63" s="321"/>
      <c r="E63" s="321"/>
      <c r="F63" s="321"/>
      <c r="G63" s="321"/>
      <c r="H63" s="321">
        <v>2</v>
      </c>
      <c r="I63" s="321">
        <v>2</v>
      </c>
      <c r="J63" s="321">
        <v>2</v>
      </c>
      <c r="K63" s="321">
        <v>2</v>
      </c>
      <c r="L63" s="321">
        <v>2</v>
      </c>
      <c r="M63" s="321">
        <v>2</v>
      </c>
      <c r="N63" s="321">
        <v>2</v>
      </c>
      <c r="O63" s="321">
        <v>2</v>
      </c>
      <c r="P63" s="321">
        <v>2</v>
      </c>
      <c r="Q63" s="321">
        <v>2</v>
      </c>
      <c r="R63" s="321">
        <v>2</v>
      </c>
      <c r="S63" s="321">
        <v>2</v>
      </c>
      <c r="T63" s="321">
        <v>2</v>
      </c>
      <c r="U63" s="321">
        <v>2</v>
      </c>
      <c r="V63" s="321">
        <v>2</v>
      </c>
      <c r="W63" s="321">
        <v>2</v>
      </c>
      <c r="X63" s="321"/>
      <c r="Y63" s="321"/>
      <c r="Z63" s="321"/>
      <c r="AA63" s="321"/>
      <c r="AB63" s="321">
        <f t="shared" si="0"/>
        <v>32</v>
      </c>
      <c r="AC63" s="326">
        <f t="shared" si="2"/>
        <v>0</v>
      </c>
    </row>
    <row r="64" spans="1:29">
      <c r="A64" s="321" t="s">
        <v>148</v>
      </c>
      <c r="B64" s="321" t="s">
        <v>253</v>
      </c>
      <c r="C64" s="321"/>
      <c r="D64" s="321"/>
      <c r="E64" s="321"/>
      <c r="F64" s="321"/>
      <c r="G64" s="321"/>
      <c r="H64" s="321">
        <v>6</v>
      </c>
      <c r="I64" s="321">
        <v>6</v>
      </c>
      <c r="J64" s="321">
        <v>6</v>
      </c>
      <c r="K64" s="321">
        <v>6</v>
      </c>
      <c r="L64" s="321">
        <v>6</v>
      </c>
      <c r="M64" s="321">
        <v>6</v>
      </c>
      <c r="N64" s="321">
        <v>6</v>
      </c>
      <c r="O64" s="321">
        <v>6</v>
      </c>
      <c r="P64" s="321">
        <v>6</v>
      </c>
      <c r="Q64" s="321">
        <v>6</v>
      </c>
      <c r="R64" s="321">
        <v>6</v>
      </c>
      <c r="S64" s="321">
        <v>6</v>
      </c>
      <c r="T64" s="321">
        <v>6</v>
      </c>
      <c r="U64" s="321">
        <v>6</v>
      </c>
      <c r="V64" s="321">
        <v>6</v>
      </c>
      <c r="W64" s="321">
        <v>6</v>
      </c>
      <c r="X64" s="321"/>
      <c r="Y64" s="321"/>
      <c r="Z64" s="321"/>
      <c r="AA64" s="321"/>
      <c r="AB64" s="321">
        <f t="shared" si="0"/>
        <v>96</v>
      </c>
      <c r="AC64" s="326">
        <f t="shared" si="2"/>
        <v>0</v>
      </c>
    </row>
    <row r="65" spans="1:29">
      <c r="A65" s="321" t="s">
        <v>150</v>
      </c>
      <c r="B65" s="321" t="s">
        <v>254</v>
      </c>
      <c r="C65" s="321"/>
      <c r="D65" s="321"/>
      <c r="E65" s="321"/>
      <c r="F65" s="321"/>
      <c r="G65" s="321"/>
      <c r="H65" s="321">
        <v>2</v>
      </c>
      <c r="I65" s="321">
        <v>2</v>
      </c>
      <c r="J65" s="321">
        <v>2</v>
      </c>
      <c r="K65" s="321">
        <v>2</v>
      </c>
      <c r="L65" s="321">
        <v>6</v>
      </c>
      <c r="M65" s="321">
        <v>6</v>
      </c>
      <c r="N65" s="321">
        <v>6</v>
      </c>
      <c r="O65" s="321">
        <v>6</v>
      </c>
      <c r="P65" s="321">
        <v>6</v>
      </c>
      <c r="Q65" s="321">
        <v>6</v>
      </c>
      <c r="R65" s="321">
        <v>6</v>
      </c>
      <c r="S65" s="321">
        <v>6</v>
      </c>
      <c r="T65" s="321">
        <v>6</v>
      </c>
      <c r="U65" s="321">
        <v>6</v>
      </c>
      <c r="V65" s="321">
        <v>6</v>
      </c>
      <c r="W65" s="321">
        <v>6</v>
      </c>
      <c r="X65" s="321"/>
      <c r="Y65" s="321"/>
      <c r="Z65" s="321"/>
      <c r="AA65" s="321"/>
      <c r="AB65" s="321">
        <f t="shared" si="0"/>
        <v>80</v>
      </c>
      <c r="AC65" s="326">
        <f t="shared" ref="AC65:AC84" si="3">C65*D65*AB65/1000000</f>
        <v>0</v>
      </c>
    </row>
    <row r="66" spans="1:29">
      <c r="A66" s="321" t="s">
        <v>152</v>
      </c>
      <c r="B66" s="321" t="s">
        <v>143</v>
      </c>
      <c r="C66" s="321"/>
      <c r="D66" s="321"/>
      <c r="E66" s="321"/>
      <c r="F66" s="321"/>
      <c r="G66" s="321"/>
      <c r="H66" s="321">
        <v>10</v>
      </c>
      <c r="I66" s="321">
        <v>10</v>
      </c>
      <c r="J66" s="321">
        <v>10</v>
      </c>
      <c r="K66" s="321">
        <v>10</v>
      </c>
      <c r="L66" s="321">
        <v>9</v>
      </c>
      <c r="M66" s="321">
        <v>9</v>
      </c>
      <c r="N66" s="321">
        <v>9</v>
      </c>
      <c r="O66" s="321">
        <v>9</v>
      </c>
      <c r="P66" s="321">
        <v>9</v>
      </c>
      <c r="Q66" s="321">
        <v>9</v>
      </c>
      <c r="R66" s="321">
        <v>9</v>
      </c>
      <c r="S66" s="321">
        <v>9</v>
      </c>
      <c r="T66" s="321">
        <v>9</v>
      </c>
      <c r="U66" s="321">
        <v>9</v>
      </c>
      <c r="V66" s="321">
        <v>9</v>
      </c>
      <c r="W66" s="321">
        <v>9</v>
      </c>
      <c r="X66" s="321"/>
      <c r="Y66" s="321"/>
      <c r="Z66" s="321"/>
      <c r="AA66" s="321"/>
      <c r="AB66" s="321">
        <f t="shared" si="0"/>
        <v>148</v>
      </c>
      <c r="AC66" s="326">
        <f t="shared" si="3"/>
        <v>0</v>
      </c>
    </row>
    <row r="67" spans="1:29">
      <c r="A67" s="321" t="s">
        <v>154</v>
      </c>
      <c r="B67" s="321" t="s">
        <v>145</v>
      </c>
      <c r="C67" s="321"/>
      <c r="D67" s="321"/>
      <c r="E67" s="321"/>
      <c r="F67" s="321"/>
      <c r="G67" s="321"/>
      <c r="H67" s="321">
        <v>6</v>
      </c>
      <c r="I67" s="321">
        <v>6</v>
      </c>
      <c r="J67" s="321">
        <v>6</v>
      </c>
      <c r="K67" s="321">
        <v>6</v>
      </c>
      <c r="L67" s="321">
        <v>6</v>
      </c>
      <c r="M67" s="321">
        <v>6</v>
      </c>
      <c r="N67" s="321">
        <v>6</v>
      </c>
      <c r="O67" s="321">
        <v>6</v>
      </c>
      <c r="P67" s="321">
        <v>6</v>
      </c>
      <c r="Q67" s="321">
        <v>6</v>
      </c>
      <c r="R67" s="321">
        <v>6</v>
      </c>
      <c r="S67" s="321">
        <v>6</v>
      </c>
      <c r="T67" s="321">
        <v>6</v>
      </c>
      <c r="U67" s="321">
        <v>6</v>
      </c>
      <c r="V67" s="321">
        <v>6</v>
      </c>
      <c r="W67" s="321">
        <v>6</v>
      </c>
      <c r="X67" s="321"/>
      <c r="Y67" s="321"/>
      <c r="Z67" s="321"/>
      <c r="AA67" s="321"/>
      <c r="AB67" s="321">
        <f t="shared" ref="AB67:AB86" si="4">SUM(E67:AA67)</f>
        <v>96</v>
      </c>
      <c r="AC67" s="326">
        <f t="shared" si="3"/>
        <v>0</v>
      </c>
    </row>
    <row r="68" spans="1:29">
      <c r="A68" s="321" t="s">
        <v>156</v>
      </c>
      <c r="B68" s="321" t="s">
        <v>151</v>
      </c>
      <c r="C68" s="321"/>
      <c r="D68" s="321"/>
      <c r="E68" s="321"/>
      <c r="F68" s="321"/>
      <c r="G68" s="321"/>
      <c r="H68" s="321">
        <v>6</v>
      </c>
      <c r="I68" s="321">
        <v>6</v>
      </c>
      <c r="J68" s="321">
        <v>6</v>
      </c>
      <c r="K68" s="321">
        <v>6</v>
      </c>
      <c r="L68" s="321">
        <v>6</v>
      </c>
      <c r="M68" s="321">
        <v>6</v>
      </c>
      <c r="N68" s="321">
        <v>6</v>
      </c>
      <c r="O68" s="321">
        <v>6</v>
      </c>
      <c r="P68" s="321">
        <v>6</v>
      </c>
      <c r="Q68" s="321">
        <v>6</v>
      </c>
      <c r="R68" s="321">
        <v>6</v>
      </c>
      <c r="S68" s="321">
        <v>6</v>
      </c>
      <c r="T68" s="321">
        <v>6</v>
      </c>
      <c r="U68" s="321">
        <v>6</v>
      </c>
      <c r="V68" s="321">
        <v>6</v>
      </c>
      <c r="W68" s="321">
        <v>6</v>
      </c>
      <c r="X68" s="321"/>
      <c r="Y68" s="321"/>
      <c r="Z68" s="321"/>
      <c r="AA68" s="321"/>
      <c r="AB68" s="321">
        <f t="shared" si="4"/>
        <v>96</v>
      </c>
      <c r="AC68" s="326">
        <f t="shared" si="3"/>
        <v>0</v>
      </c>
    </row>
    <row r="69" spans="1:29">
      <c r="A69" s="321" t="s">
        <v>158</v>
      </c>
      <c r="B69" s="321" t="s">
        <v>255</v>
      </c>
      <c r="C69" s="321"/>
      <c r="D69" s="321"/>
      <c r="E69" s="321"/>
      <c r="F69" s="321"/>
      <c r="G69" s="321"/>
      <c r="H69" s="321">
        <v>3</v>
      </c>
      <c r="I69" s="321">
        <v>4</v>
      </c>
      <c r="J69" s="321">
        <v>4</v>
      </c>
      <c r="K69" s="321">
        <v>4</v>
      </c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321"/>
      <c r="AB69" s="321">
        <f t="shared" si="4"/>
        <v>15</v>
      </c>
      <c r="AC69" s="326">
        <f t="shared" si="3"/>
        <v>0</v>
      </c>
    </row>
    <row r="70" spans="1:29">
      <c r="A70" s="321" t="s">
        <v>160</v>
      </c>
      <c r="B70" s="321" t="s">
        <v>256</v>
      </c>
      <c r="C70" s="321"/>
      <c r="D70" s="321"/>
      <c r="E70" s="321"/>
      <c r="F70" s="321"/>
      <c r="G70" s="321"/>
      <c r="H70" s="321">
        <v>2</v>
      </c>
      <c r="I70" s="321">
        <v>2</v>
      </c>
      <c r="J70" s="321">
        <v>2</v>
      </c>
      <c r="K70" s="321">
        <v>2</v>
      </c>
      <c r="L70" s="321">
        <v>2</v>
      </c>
      <c r="M70" s="321">
        <v>2</v>
      </c>
      <c r="N70" s="321">
        <v>2</v>
      </c>
      <c r="O70" s="321">
        <v>2</v>
      </c>
      <c r="P70" s="321">
        <v>2</v>
      </c>
      <c r="Q70" s="321">
        <v>2</v>
      </c>
      <c r="R70" s="321">
        <v>2</v>
      </c>
      <c r="S70" s="321">
        <v>2</v>
      </c>
      <c r="T70" s="321">
        <v>2</v>
      </c>
      <c r="U70" s="321">
        <v>2</v>
      </c>
      <c r="V70" s="321">
        <v>2</v>
      </c>
      <c r="W70" s="321">
        <v>2</v>
      </c>
      <c r="X70" s="321"/>
      <c r="Y70" s="321"/>
      <c r="Z70" s="321"/>
      <c r="AA70" s="321"/>
      <c r="AB70" s="321">
        <f t="shared" si="4"/>
        <v>32</v>
      </c>
      <c r="AC70" s="326">
        <f t="shared" si="3"/>
        <v>0</v>
      </c>
    </row>
    <row r="71" spans="1:29">
      <c r="A71" s="321" t="s">
        <v>162</v>
      </c>
      <c r="B71" s="321" t="s">
        <v>257</v>
      </c>
      <c r="C71" s="321"/>
      <c r="D71" s="321"/>
      <c r="E71" s="321"/>
      <c r="F71" s="321"/>
      <c r="G71" s="321"/>
      <c r="H71" s="321">
        <v>2</v>
      </c>
      <c r="I71" s="321">
        <v>2</v>
      </c>
      <c r="J71" s="321">
        <v>2</v>
      </c>
      <c r="K71" s="321">
        <v>2</v>
      </c>
      <c r="L71" s="321">
        <v>2</v>
      </c>
      <c r="M71" s="321">
        <v>2</v>
      </c>
      <c r="N71" s="321">
        <v>2</v>
      </c>
      <c r="O71" s="321">
        <v>2</v>
      </c>
      <c r="P71" s="321">
        <v>2</v>
      </c>
      <c r="Q71" s="321">
        <v>2</v>
      </c>
      <c r="R71" s="321">
        <v>2</v>
      </c>
      <c r="S71" s="321">
        <v>2</v>
      </c>
      <c r="T71" s="321">
        <v>2</v>
      </c>
      <c r="U71" s="321">
        <v>2</v>
      </c>
      <c r="V71" s="321">
        <v>2</v>
      </c>
      <c r="W71" s="321">
        <v>2</v>
      </c>
      <c r="X71" s="321"/>
      <c r="Y71" s="321"/>
      <c r="Z71" s="321"/>
      <c r="AA71" s="321"/>
      <c r="AB71" s="321">
        <f t="shared" si="4"/>
        <v>32</v>
      </c>
      <c r="AC71" s="326">
        <f t="shared" si="3"/>
        <v>0</v>
      </c>
    </row>
    <row r="72" spans="1:29">
      <c r="A72" s="321" t="s">
        <v>164</v>
      </c>
      <c r="B72" s="321" t="s">
        <v>258</v>
      </c>
      <c r="C72" s="321"/>
      <c r="D72" s="321"/>
      <c r="E72" s="321"/>
      <c r="F72" s="321"/>
      <c r="G72" s="321"/>
      <c r="H72" s="321">
        <v>2</v>
      </c>
      <c r="I72" s="321">
        <v>2</v>
      </c>
      <c r="J72" s="321">
        <v>2</v>
      </c>
      <c r="K72" s="321">
        <v>2</v>
      </c>
      <c r="L72" s="321">
        <v>2</v>
      </c>
      <c r="M72" s="321">
        <v>2</v>
      </c>
      <c r="N72" s="321">
        <v>2</v>
      </c>
      <c r="O72" s="321">
        <v>2</v>
      </c>
      <c r="P72" s="321">
        <v>2</v>
      </c>
      <c r="Q72" s="321">
        <v>2</v>
      </c>
      <c r="R72" s="321">
        <v>2</v>
      </c>
      <c r="S72" s="321">
        <v>2</v>
      </c>
      <c r="T72" s="321">
        <v>2</v>
      </c>
      <c r="U72" s="321">
        <v>2</v>
      </c>
      <c r="V72" s="321">
        <v>2</v>
      </c>
      <c r="W72" s="321">
        <v>2</v>
      </c>
      <c r="X72" s="321"/>
      <c r="Y72" s="321"/>
      <c r="Z72" s="321"/>
      <c r="AA72" s="321"/>
      <c r="AB72" s="321">
        <f t="shared" si="4"/>
        <v>32</v>
      </c>
      <c r="AC72" s="326">
        <f t="shared" si="3"/>
        <v>0</v>
      </c>
    </row>
    <row r="73" spans="1:29">
      <c r="A73" s="321" t="s">
        <v>166</v>
      </c>
      <c r="B73" s="321" t="s">
        <v>259</v>
      </c>
      <c r="C73" s="321"/>
      <c r="D73" s="321"/>
      <c r="E73" s="321"/>
      <c r="F73" s="321"/>
      <c r="G73" s="321"/>
      <c r="H73" s="321">
        <v>3</v>
      </c>
      <c r="I73" s="321">
        <v>3</v>
      </c>
      <c r="J73" s="321">
        <v>3</v>
      </c>
      <c r="K73" s="321">
        <v>3</v>
      </c>
      <c r="L73" s="321">
        <v>3</v>
      </c>
      <c r="M73" s="321">
        <v>3</v>
      </c>
      <c r="N73" s="321">
        <v>3</v>
      </c>
      <c r="O73" s="321">
        <v>3</v>
      </c>
      <c r="P73" s="321">
        <v>3</v>
      </c>
      <c r="Q73" s="321">
        <v>3</v>
      </c>
      <c r="R73" s="321">
        <v>3</v>
      </c>
      <c r="S73" s="321">
        <v>3</v>
      </c>
      <c r="T73" s="321">
        <v>3</v>
      </c>
      <c r="U73" s="321">
        <v>3</v>
      </c>
      <c r="V73" s="321">
        <v>3</v>
      </c>
      <c r="W73" s="321">
        <v>3</v>
      </c>
      <c r="X73" s="321"/>
      <c r="Y73" s="321"/>
      <c r="Z73" s="321"/>
      <c r="AA73" s="321"/>
      <c r="AB73" s="321">
        <f t="shared" si="4"/>
        <v>48</v>
      </c>
      <c r="AC73" s="326">
        <f t="shared" si="3"/>
        <v>0</v>
      </c>
    </row>
    <row r="74" spans="1:29">
      <c r="A74" s="321" t="s">
        <v>168</v>
      </c>
      <c r="B74" s="321" t="s">
        <v>260</v>
      </c>
      <c r="C74" s="321"/>
      <c r="D74" s="321"/>
      <c r="E74" s="321"/>
      <c r="F74" s="321"/>
      <c r="G74" s="321"/>
      <c r="H74" s="321">
        <v>3</v>
      </c>
      <c r="I74" s="321">
        <v>2</v>
      </c>
      <c r="J74" s="321">
        <v>2</v>
      </c>
      <c r="K74" s="321">
        <v>2</v>
      </c>
      <c r="L74" s="321">
        <v>6</v>
      </c>
      <c r="M74" s="321">
        <v>6</v>
      </c>
      <c r="N74" s="321">
        <v>6</v>
      </c>
      <c r="O74" s="321">
        <v>6</v>
      </c>
      <c r="P74" s="321">
        <v>6</v>
      </c>
      <c r="Q74" s="321">
        <v>6</v>
      </c>
      <c r="R74" s="321">
        <v>6</v>
      </c>
      <c r="S74" s="321">
        <v>6</v>
      </c>
      <c r="T74" s="321">
        <v>6</v>
      </c>
      <c r="U74" s="321">
        <v>6</v>
      </c>
      <c r="V74" s="321">
        <v>6</v>
      </c>
      <c r="W74" s="321">
        <v>6</v>
      </c>
      <c r="X74" s="321"/>
      <c r="Y74" s="321"/>
      <c r="Z74" s="321"/>
      <c r="AA74" s="321"/>
      <c r="AB74" s="321">
        <f t="shared" si="4"/>
        <v>81</v>
      </c>
      <c r="AC74" s="326">
        <f t="shared" si="3"/>
        <v>0</v>
      </c>
    </row>
    <row r="75" spans="1:29">
      <c r="A75" s="321" t="s">
        <v>170</v>
      </c>
      <c r="B75" s="321" t="s">
        <v>261</v>
      </c>
      <c r="C75" s="321"/>
      <c r="D75" s="321"/>
      <c r="E75" s="321"/>
      <c r="F75" s="321"/>
      <c r="G75" s="321"/>
      <c r="H75" s="321">
        <v>4</v>
      </c>
      <c r="I75" s="321">
        <v>4</v>
      </c>
      <c r="J75" s="321">
        <v>4</v>
      </c>
      <c r="K75" s="321">
        <v>4</v>
      </c>
      <c r="L75" s="321">
        <v>4</v>
      </c>
      <c r="M75" s="321">
        <v>4</v>
      </c>
      <c r="N75" s="321">
        <v>4</v>
      </c>
      <c r="O75" s="321">
        <v>4</v>
      </c>
      <c r="P75" s="321">
        <v>4</v>
      </c>
      <c r="Q75" s="321">
        <v>4</v>
      </c>
      <c r="R75" s="321">
        <v>4</v>
      </c>
      <c r="S75" s="321">
        <v>4</v>
      </c>
      <c r="T75" s="321">
        <v>4</v>
      </c>
      <c r="U75" s="321">
        <v>4</v>
      </c>
      <c r="V75" s="321">
        <v>4</v>
      </c>
      <c r="W75" s="321">
        <v>4</v>
      </c>
      <c r="X75" s="321"/>
      <c r="Y75" s="321"/>
      <c r="Z75" s="321"/>
      <c r="AA75" s="321"/>
      <c r="AB75" s="321">
        <f t="shared" si="4"/>
        <v>64</v>
      </c>
      <c r="AC75" s="326">
        <f t="shared" si="3"/>
        <v>0</v>
      </c>
    </row>
    <row r="76" spans="1:29">
      <c r="A76" s="321" t="s">
        <v>172</v>
      </c>
      <c r="B76" s="321" t="s">
        <v>179</v>
      </c>
      <c r="C76" s="321"/>
      <c r="D76" s="321"/>
      <c r="E76" s="321"/>
      <c r="F76" s="321"/>
      <c r="G76" s="321"/>
      <c r="H76" s="321"/>
      <c r="I76" s="321">
        <v>2</v>
      </c>
      <c r="J76" s="321">
        <v>2</v>
      </c>
      <c r="K76" s="321">
        <v>2</v>
      </c>
      <c r="L76" s="321">
        <v>2</v>
      </c>
      <c r="M76" s="321">
        <v>2</v>
      </c>
      <c r="N76" s="321">
        <v>2</v>
      </c>
      <c r="O76" s="321">
        <v>2</v>
      </c>
      <c r="P76" s="321">
        <v>2</v>
      </c>
      <c r="Q76" s="321">
        <v>2</v>
      </c>
      <c r="R76" s="321">
        <v>2</v>
      </c>
      <c r="S76" s="321">
        <v>2</v>
      </c>
      <c r="T76" s="321">
        <v>2</v>
      </c>
      <c r="U76" s="321">
        <v>2</v>
      </c>
      <c r="V76" s="321">
        <v>2</v>
      </c>
      <c r="W76" s="321">
        <v>2</v>
      </c>
      <c r="X76" s="321"/>
      <c r="Y76" s="321"/>
      <c r="Z76" s="321"/>
      <c r="AA76" s="321"/>
      <c r="AB76" s="321">
        <f t="shared" si="4"/>
        <v>30</v>
      </c>
      <c r="AC76" s="326">
        <f t="shared" si="3"/>
        <v>0</v>
      </c>
    </row>
    <row r="77" spans="1:29">
      <c r="A77" s="321" t="s">
        <v>174</v>
      </c>
      <c r="B77" s="321" t="s">
        <v>262</v>
      </c>
      <c r="C77" s="321"/>
      <c r="D77" s="321"/>
      <c r="E77" s="321"/>
      <c r="F77" s="321"/>
      <c r="G77" s="321"/>
      <c r="H77" s="321"/>
      <c r="I77" s="321">
        <v>4</v>
      </c>
      <c r="J77" s="321">
        <v>4</v>
      </c>
      <c r="K77" s="321">
        <v>4</v>
      </c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  <c r="AA77" s="321"/>
      <c r="AB77" s="321">
        <f t="shared" si="4"/>
        <v>12</v>
      </c>
      <c r="AC77" s="326">
        <f t="shared" si="3"/>
        <v>0</v>
      </c>
    </row>
    <row r="78" spans="1:29">
      <c r="A78" s="321" t="s">
        <v>176</v>
      </c>
      <c r="B78" s="321" t="s">
        <v>147</v>
      </c>
      <c r="C78" s="321"/>
      <c r="D78" s="321"/>
      <c r="E78" s="321"/>
      <c r="F78" s="321"/>
      <c r="G78" s="321"/>
      <c r="H78" s="321"/>
      <c r="I78" s="321"/>
      <c r="J78" s="321"/>
      <c r="K78" s="321"/>
      <c r="L78" s="321">
        <v>1</v>
      </c>
      <c r="M78" s="321">
        <v>1</v>
      </c>
      <c r="N78" s="321">
        <v>1</v>
      </c>
      <c r="O78" s="321">
        <v>1</v>
      </c>
      <c r="P78" s="321">
        <v>1</v>
      </c>
      <c r="Q78" s="321">
        <v>1</v>
      </c>
      <c r="R78" s="321">
        <v>1</v>
      </c>
      <c r="S78" s="321">
        <v>1</v>
      </c>
      <c r="T78" s="321">
        <v>1</v>
      </c>
      <c r="U78" s="321">
        <v>1</v>
      </c>
      <c r="V78" s="321">
        <v>1</v>
      </c>
      <c r="W78" s="321">
        <v>1</v>
      </c>
      <c r="X78" s="321"/>
      <c r="Y78" s="321"/>
      <c r="Z78" s="321"/>
      <c r="AA78" s="321"/>
      <c r="AB78" s="321">
        <f t="shared" si="4"/>
        <v>12</v>
      </c>
      <c r="AC78" s="326">
        <f t="shared" si="3"/>
        <v>0</v>
      </c>
    </row>
    <row r="79" spans="1:29">
      <c r="A79" s="321" t="s">
        <v>178</v>
      </c>
      <c r="B79" s="321" t="s">
        <v>191</v>
      </c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  <c r="AA79" s="321">
        <v>6</v>
      </c>
      <c r="AB79" s="321">
        <f t="shared" si="4"/>
        <v>6</v>
      </c>
      <c r="AC79" s="326">
        <f t="shared" si="3"/>
        <v>0</v>
      </c>
    </row>
    <row r="80" spans="1:29">
      <c r="A80" s="321" t="s">
        <v>180</v>
      </c>
      <c r="B80" s="321" t="s">
        <v>263</v>
      </c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  <c r="AA80" s="321">
        <v>3</v>
      </c>
      <c r="AB80" s="321">
        <f t="shared" si="4"/>
        <v>3</v>
      </c>
      <c r="AC80" s="326">
        <f t="shared" si="3"/>
        <v>0</v>
      </c>
    </row>
    <row r="81" spans="1:29">
      <c r="A81" s="321" t="s">
        <v>182</v>
      </c>
      <c r="B81" s="321" t="s">
        <v>264</v>
      </c>
      <c r="C81" s="321"/>
      <c r="D81" s="321"/>
      <c r="E81" s="321"/>
      <c r="F81" s="321"/>
      <c r="G81" s="321">
        <v>3</v>
      </c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  <c r="AA81" s="321"/>
      <c r="AB81" s="321">
        <f t="shared" si="4"/>
        <v>3</v>
      </c>
      <c r="AC81" s="326">
        <f t="shared" si="3"/>
        <v>0</v>
      </c>
    </row>
    <row r="82" spans="1:29">
      <c r="A82" s="321" t="s">
        <v>184</v>
      </c>
      <c r="B82" s="321" t="s">
        <v>265</v>
      </c>
      <c r="C82" s="321"/>
      <c r="D82" s="321"/>
      <c r="E82" s="321"/>
      <c r="F82" s="321">
        <v>1</v>
      </c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  <c r="AA82" s="321"/>
      <c r="AB82" s="321">
        <f t="shared" si="4"/>
        <v>1</v>
      </c>
      <c r="AC82" s="326">
        <f t="shared" si="3"/>
        <v>0</v>
      </c>
    </row>
    <row r="83" spans="1:29">
      <c r="A83" s="321" t="s">
        <v>186</v>
      </c>
      <c r="B83" s="321" t="s">
        <v>266</v>
      </c>
      <c r="C83" s="321"/>
      <c r="D83" s="321"/>
      <c r="E83" s="321"/>
      <c r="F83" s="321"/>
      <c r="G83" s="321">
        <v>2</v>
      </c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  <c r="AA83" s="321"/>
      <c r="AB83" s="321">
        <f t="shared" si="4"/>
        <v>2</v>
      </c>
      <c r="AC83" s="321">
        <f t="shared" si="3"/>
        <v>0</v>
      </c>
    </row>
    <row r="84" spans="1:29">
      <c r="A84" s="321" t="s">
        <v>188</v>
      </c>
      <c r="B84" s="321" t="s">
        <v>267</v>
      </c>
      <c r="C84" s="321"/>
      <c r="D84" s="321"/>
      <c r="E84" s="321"/>
      <c r="F84" s="321"/>
      <c r="G84" s="321">
        <v>2</v>
      </c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  <c r="AA84" s="321"/>
      <c r="AB84" s="321">
        <f t="shared" si="4"/>
        <v>2</v>
      </c>
      <c r="AC84" s="321">
        <f t="shared" si="3"/>
        <v>0</v>
      </c>
    </row>
    <row r="85" spans="1:29">
      <c r="A85" s="321" t="s">
        <v>190</v>
      </c>
      <c r="B85" s="321" t="s">
        <v>268</v>
      </c>
      <c r="C85" s="321"/>
      <c r="D85" s="321"/>
      <c r="E85" s="321"/>
      <c r="F85" s="321">
        <v>9</v>
      </c>
      <c r="G85" s="321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  <c r="AA85" s="321"/>
      <c r="AB85" s="321">
        <f t="shared" si="4"/>
        <v>9</v>
      </c>
      <c r="AC85" s="321"/>
    </row>
    <row r="86" spans="1:29">
      <c r="A86" s="321" t="s">
        <v>192</v>
      </c>
      <c r="B86" s="321" t="s">
        <v>269</v>
      </c>
      <c r="C86" s="321"/>
      <c r="D86" s="321"/>
      <c r="E86" s="321"/>
      <c r="F86" s="321">
        <v>5</v>
      </c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  <c r="AA86" s="321"/>
      <c r="AB86" s="321">
        <f t="shared" si="4"/>
        <v>5</v>
      </c>
      <c r="AC86" s="321"/>
    </row>
    <row r="87" spans="28:28">
      <c r="AB87" s="329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320" t="s">
        <v>270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2" spans="1:29">
      <c r="A2" s="321" t="s">
        <v>1</v>
      </c>
      <c r="B2" s="321" t="s">
        <v>2</v>
      </c>
      <c r="C2" s="321" t="s">
        <v>3</v>
      </c>
      <c r="D2" s="321" t="s">
        <v>4</v>
      </c>
      <c r="E2" s="321" t="s">
        <v>5</v>
      </c>
      <c r="F2" s="321" t="s">
        <v>6</v>
      </c>
      <c r="G2" s="321" t="s">
        <v>7</v>
      </c>
      <c r="H2" s="321" t="s">
        <v>8</v>
      </c>
      <c r="I2" s="321" t="s">
        <v>9</v>
      </c>
      <c r="J2" s="321" t="s">
        <v>10</v>
      </c>
      <c r="K2" s="321" t="s">
        <v>11</v>
      </c>
      <c r="L2" s="321" t="s">
        <v>12</v>
      </c>
      <c r="M2" s="321" t="s">
        <v>13</v>
      </c>
      <c r="N2" s="321" t="s">
        <v>14</v>
      </c>
      <c r="O2" s="321" t="s">
        <v>15</v>
      </c>
      <c r="P2" s="321" t="s">
        <v>16</v>
      </c>
      <c r="Q2" s="321" t="s">
        <v>17</v>
      </c>
      <c r="R2" s="321" t="s">
        <v>18</v>
      </c>
      <c r="S2" s="321" t="s">
        <v>19</v>
      </c>
      <c r="T2" s="321" t="s">
        <v>20</v>
      </c>
      <c r="U2" s="321" t="s">
        <v>21</v>
      </c>
      <c r="V2" s="321" t="s">
        <v>22</v>
      </c>
      <c r="W2" s="321" t="s">
        <v>23</v>
      </c>
      <c r="X2" s="321" t="s">
        <v>24</v>
      </c>
      <c r="Y2" s="321" t="s">
        <v>25</v>
      </c>
      <c r="Z2" s="321" t="s">
        <v>26</v>
      </c>
      <c r="AA2" s="321" t="s">
        <v>27</v>
      </c>
      <c r="AB2" s="321" t="s">
        <v>28</v>
      </c>
      <c r="AC2" s="321" t="s">
        <v>206</v>
      </c>
    </row>
    <row r="3" spans="1:29">
      <c r="A3" s="321" t="s">
        <v>29</v>
      </c>
      <c r="B3" s="321" t="s">
        <v>271</v>
      </c>
      <c r="C3" s="321">
        <v>900</v>
      </c>
      <c r="D3" s="321">
        <v>2200</v>
      </c>
      <c r="E3" s="321">
        <v>1</v>
      </c>
      <c r="F3" s="323">
        <v>1</v>
      </c>
      <c r="G3" s="321"/>
      <c r="H3" s="321">
        <v>1</v>
      </c>
      <c r="I3" s="321">
        <v>1</v>
      </c>
      <c r="J3" s="321">
        <v>1</v>
      </c>
      <c r="K3" s="321">
        <v>1</v>
      </c>
      <c r="L3" s="321">
        <v>1</v>
      </c>
      <c r="M3" s="321">
        <v>1</v>
      </c>
      <c r="N3" s="321">
        <v>1</v>
      </c>
      <c r="O3" s="321">
        <v>1</v>
      </c>
      <c r="P3" s="321">
        <v>1</v>
      </c>
      <c r="Q3" s="321">
        <v>1</v>
      </c>
      <c r="R3" s="321">
        <v>1</v>
      </c>
      <c r="S3" s="321">
        <v>1</v>
      </c>
      <c r="T3" s="321">
        <v>1</v>
      </c>
      <c r="U3" s="321">
        <v>1</v>
      </c>
      <c r="V3" s="321">
        <v>1</v>
      </c>
      <c r="W3" s="321">
        <v>1</v>
      </c>
      <c r="X3" s="321">
        <v>1</v>
      </c>
      <c r="Y3" s="321">
        <v>1</v>
      </c>
      <c r="Z3" s="321">
        <v>1</v>
      </c>
      <c r="AA3" s="321"/>
      <c r="AB3" s="321">
        <f>SUM(E3:AA3)</f>
        <v>21</v>
      </c>
      <c r="AC3" s="321"/>
    </row>
    <row r="4" spans="1:29">
      <c r="A4" s="321" t="s">
        <v>31</v>
      </c>
      <c r="B4" s="321" t="s">
        <v>40</v>
      </c>
      <c r="C4" s="321">
        <v>900</v>
      </c>
      <c r="D4" s="321">
        <v>1200</v>
      </c>
      <c r="E4" s="321">
        <v>2</v>
      </c>
      <c r="F4" s="323">
        <v>2</v>
      </c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>
        <f t="shared" ref="AB4:AB61" si="0">SUM(E4:AA4)</f>
        <v>4</v>
      </c>
      <c r="AC4" s="321"/>
    </row>
    <row r="5" spans="1:29">
      <c r="A5" s="321" t="s">
        <v>33</v>
      </c>
      <c r="B5" s="321" t="s">
        <v>272</v>
      </c>
      <c r="C5" s="321">
        <v>1600</v>
      </c>
      <c r="D5" s="321">
        <v>1500</v>
      </c>
      <c r="E5" s="321">
        <v>1</v>
      </c>
      <c r="F5" s="323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>
        <f t="shared" si="0"/>
        <v>1</v>
      </c>
      <c r="AC5" s="321"/>
    </row>
    <row r="6" spans="1:29">
      <c r="A6" s="321" t="s">
        <v>35</v>
      </c>
      <c r="B6" s="321" t="s">
        <v>273</v>
      </c>
      <c r="C6" s="321">
        <v>1700</v>
      </c>
      <c r="D6" s="321">
        <v>2000</v>
      </c>
      <c r="E6" s="321">
        <v>1</v>
      </c>
      <c r="F6" s="323">
        <v>1</v>
      </c>
      <c r="G6" s="321"/>
      <c r="H6" s="321">
        <v>1</v>
      </c>
      <c r="I6" s="321">
        <v>1</v>
      </c>
      <c r="J6" s="321">
        <v>1</v>
      </c>
      <c r="K6" s="321">
        <v>1</v>
      </c>
      <c r="L6" s="321">
        <v>1</v>
      </c>
      <c r="M6" s="321">
        <v>1</v>
      </c>
      <c r="N6" s="321">
        <v>1</v>
      </c>
      <c r="O6" s="321">
        <v>1</v>
      </c>
      <c r="P6" s="321">
        <v>1</v>
      </c>
      <c r="Q6" s="321">
        <v>1</v>
      </c>
      <c r="R6" s="321">
        <v>1</v>
      </c>
      <c r="S6" s="321">
        <v>1</v>
      </c>
      <c r="T6" s="321">
        <v>1</v>
      </c>
      <c r="U6" s="321">
        <v>1</v>
      </c>
      <c r="V6" s="321">
        <v>1</v>
      </c>
      <c r="W6" s="321">
        <v>1</v>
      </c>
      <c r="X6" s="321">
        <v>1</v>
      </c>
      <c r="Y6" s="321">
        <v>1</v>
      </c>
      <c r="Z6" s="321">
        <v>1</v>
      </c>
      <c r="AA6" s="321"/>
      <c r="AB6" s="321">
        <f t="shared" si="0"/>
        <v>21</v>
      </c>
      <c r="AC6" s="321"/>
    </row>
    <row r="7" spans="1:29">
      <c r="A7" s="321" t="s">
        <v>37</v>
      </c>
      <c r="B7" s="321" t="s">
        <v>274</v>
      </c>
      <c r="C7" s="321">
        <v>3100</v>
      </c>
      <c r="D7" s="321">
        <v>2100</v>
      </c>
      <c r="E7" s="321"/>
      <c r="F7" s="321">
        <v>3</v>
      </c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>
        <f t="shared" si="0"/>
        <v>3</v>
      </c>
      <c r="AC7" s="321"/>
    </row>
    <row r="8" spans="1:29">
      <c r="A8" s="321" t="s">
        <v>39</v>
      </c>
      <c r="B8" s="324" t="s">
        <v>268</v>
      </c>
      <c r="C8" s="321">
        <v>1500</v>
      </c>
      <c r="D8" s="321">
        <v>2400</v>
      </c>
      <c r="E8" s="321"/>
      <c r="F8" s="321">
        <v>4</v>
      </c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>
        <f t="shared" si="0"/>
        <v>4</v>
      </c>
      <c r="AC8" s="321"/>
    </row>
    <row r="9" spans="1:29">
      <c r="A9" s="321" t="s">
        <v>41</v>
      </c>
      <c r="B9" s="321" t="s">
        <v>275</v>
      </c>
      <c r="C9" s="321"/>
      <c r="D9" s="321"/>
      <c r="E9" s="321"/>
      <c r="F9" s="321">
        <v>1</v>
      </c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>
        <f t="shared" si="0"/>
        <v>1</v>
      </c>
      <c r="AC9" s="321"/>
    </row>
    <row r="10" spans="1:29">
      <c r="A10" s="321" t="s">
        <v>43</v>
      </c>
      <c r="B10" s="321" t="s">
        <v>276</v>
      </c>
      <c r="C10" s="321"/>
      <c r="D10" s="321"/>
      <c r="E10" s="321"/>
      <c r="F10" s="321">
        <v>1</v>
      </c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>
        <f t="shared" si="0"/>
        <v>1</v>
      </c>
      <c r="AC10" s="321"/>
    </row>
    <row r="11" spans="1:29">
      <c r="A11" s="321" t="s">
        <v>45</v>
      </c>
      <c r="B11" s="321" t="s">
        <v>70</v>
      </c>
      <c r="C11" s="321"/>
      <c r="D11" s="321"/>
      <c r="E11" s="321"/>
      <c r="F11" s="321">
        <v>5</v>
      </c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>
        <f t="shared" si="0"/>
        <v>5</v>
      </c>
      <c r="AC11" s="321"/>
    </row>
    <row r="12" spans="1:29">
      <c r="A12" s="321" t="s">
        <v>47</v>
      </c>
      <c r="B12" s="321" t="s">
        <v>277</v>
      </c>
      <c r="C12" s="321"/>
      <c r="D12" s="321"/>
      <c r="E12" s="321"/>
      <c r="F12" s="321">
        <v>2</v>
      </c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>
        <f t="shared" si="0"/>
        <v>2</v>
      </c>
      <c r="AC12" s="321"/>
    </row>
    <row r="13" spans="1:29">
      <c r="A13" s="321" t="s">
        <v>49</v>
      </c>
      <c r="B13" s="321" t="s">
        <v>278</v>
      </c>
      <c r="C13" s="321"/>
      <c r="D13" s="321"/>
      <c r="E13" s="321"/>
      <c r="F13" s="321">
        <v>1</v>
      </c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>
        <f t="shared" si="0"/>
        <v>1</v>
      </c>
      <c r="AC13" s="321"/>
    </row>
    <row r="14" spans="1:29">
      <c r="A14" s="321" t="s">
        <v>51</v>
      </c>
      <c r="B14" s="321" t="s">
        <v>279</v>
      </c>
      <c r="C14" s="321"/>
      <c r="D14" s="321"/>
      <c r="E14" s="321"/>
      <c r="F14" s="321">
        <v>1</v>
      </c>
      <c r="G14" s="321"/>
      <c r="H14" s="321"/>
      <c r="I14" s="321"/>
      <c r="J14" s="321">
        <v>1</v>
      </c>
      <c r="K14" s="321">
        <v>1</v>
      </c>
      <c r="L14" s="321">
        <v>1</v>
      </c>
      <c r="M14" s="321">
        <v>1</v>
      </c>
      <c r="N14" s="321">
        <v>1</v>
      </c>
      <c r="O14" s="321">
        <v>1</v>
      </c>
      <c r="P14" s="321">
        <v>1</v>
      </c>
      <c r="Q14" s="321">
        <v>1</v>
      </c>
      <c r="R14" s="321">
        <v>1</v>
      </c>
      <c r="S14" s="321">
        <v>1</v>
      </c>
      <c r="T14" s="321">
        <v>1</v>
      </c>
      <c r="U14" s="321">
        <v>1</v>
      </c>
      <c r="V14" s="321">
        <v>1</v>
      </c>
      <c r="W14" s="321">
        <v>1</v>
      </c>
      <c r="X14" s="321">
        <v>1</v>
      </c>
      <c r="Y14" s="321">
        <v>1</v>
      </c>
      <c r="Z14" s="321">
        <v>1</v>
      </c>
      <c r="AA14" s="321"/>
      <c r="AB14" s="321">
        <f t="shared" si="0"/>
        <v>18</v>
      </c>
      <c r="AC14" s="321"/>
    </row>
    <row r="15" spans="1:29">
      <c r="A15" s="321" t="s">
        <v>53</v>
      </c>
      <c r="B15" s="321" t="s">
        <v>280</v>
      </c>
      <c r="C15" s="321"/>
      <c r="D15" s="321"/>
      <c r="E15" s="321"/>
      <c r="F15" s="321"/>
      <c r="G15" s="321">
        <v>3</v>
      </c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>
        <f t="shared" si="0"/>
        <v>3</v>
      </c>
      <c r="AC15" s="321"/>
    </row>
    <row r="16" spans="1:29">
      <c r="A16" s="321" t="s">
        <v>55</v>
      </c>
      <c r="B16" s="321" t="s">
        <v>281</v>
      </c>
      <c r="C16" s="321"/>
      <c r="D16" s="321"/>
      <c r="E16" s="321"/>
      <c r="F16" s="321"/>
      <c r="G16" s="321">
        <v>2</v>
      </c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>
        <f t="shared" si="0"/>
        <v>2</v>
      </c>
      <c r="AC16" s="321"/>
    </row>
    <row r="17" spans="1:29">
      <c r="A17" s="321" t="s">
        <v>57</v>
      </c>
      <c r="B17" s="321" t="s">
        <v>151</v>
      </c>
      <c r="C17" s="321"/>
      <c r="D17" s="321"/>
      <c r="E17" s="321"/>
      <c r="F17" s="321"/>
      <c r="G17" s="321">
        <v>3</v>
      </c>
      <c r="H17" s="321">
        <v>4</v>
      </c>
      <c r="I17" s="321">
        <v>4</v>
      </c>
      <c r="J17" s="321">
        <v>4</v>
      </c>
      <c r="K17" s="321">
        <v>4</v>
      </c>
      <c r="L17" s="321">
        <v>4</v>
      </c>
      <c r="M17" s="321">
        <v>4</v>
      </c>
      <c r="N17" s="321">
        <v>4</v>
      </c>
      <c r="O17" s="321">
        <v>4</v>
      </c>
      <c r="P17" s="321">
        <v>4</v>
      </c>
      <c r="Q17" s="321">
        <v>4</v>
      </c>
      <c r="R17" s="321">
        <v>4</v>
      </c>
      <c r="S17" s="321">
        <v>4</v>
      </c>
      <c r="T17" s="321">
        <v>4</v>
      </c>
      <c r="U17" s="321">
        <v>4</v>
      </c>
      <c r="V17" s="321">
        <v>4</v>
      </c>
      <c r="W17" s="321">
        <v>4</v>
      </c>
      <c r="X17" s="321">
        <v>4</v>
      </c>
      <c r="Y17" s="321">
        <v>4</v>
      </c>
      <c r="Z17" s="321">
        <v>4</v>
      </c>
      <c r="AA17" s="321"/>
      <c r="AB17" s="321">
        <f t="shared" si="0"/>
        <v>79</v>
      </c>
      <c r="AC17" s="321"/>
    </row>
    <row r="18" spans="1:29">
      <c r="A18" s="321" t="s">
        <v>59</v>
      </c>
      <c r="B18" s="321" t="s">
        <v>282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>
        <f t="shared" si="0"/>
        <v>0</v>
      </c>
      <c r="AC18" s="321"/>
    </row>
    <row r="19" spans="1:29">
      <c r="A19" s="321" t="s">
        <v>61</v>
      </c>
      <c r="B19" s="321" t="s">
        <v>235</v>
      </c>
      <c r="C19" s="321"/>
      <c r="D19" s="321"/>
      <c r="E19" s="321"/>
      <c r="F19" s="321"/>
      <c r="G19" s="321">
        <v>5</v>
      </c>
      <c r="H19" s="321">
        <v>6</v>
      </c>
      <c r="I19" s="321">
        <v>6</v>
      </c>
      <c r="J19" s="321">
        <v>6</v>
      </c>
      <c r="K19" s="321">
        <v>6</v>
      </c>
      <c r="L19" s="321">
        <v>6</v>
      </c>
      <c r="M19" s="321">
        <v>6</v>
      </c>
      <c r="N19" s="321">
        <v>6</v>
      </c>
      <c r="O19" s="321">
        <v>6</v>
      </c>
      <c r="P19" s="321">
        <v>6</v>
      </c>
      <c r="Q19" s="321">
        <v>6</v>
      </c>
      <c r="R19" s="321">
        <v>6</v>
      </c>
      <c r="S19" s="321">
        <v>6</v>
      </c>
      <c r="T19" s="321">
        <v>6</v>
      </c>
      <c r="U19" s="321">
        <v>6</v>
      </c>
      <c r="V19" s="321">
        <v>6</v>
      </c>
      <c r="W19" s="321">
        <v>6</v>
      </c>
      <c r="X19" s="321">
        <v>6</v>
      </c>
      <c r="Y19" s="321">
        <v>6</v>
      </c>
      <c r="Z19" s="321">
        <v>6</v>
      </c>
      <c r="AA19" s="321"/>
      <c r="AB19" s="321">
        <f t="shared" si="0"/>
        <v>119</v>
      </c>
      <c r="AC19" s="321"/>
    </row>
    <row r="20" spans="1:29">
      <c r="A20" s="321" t="s">
        <v>63</v>
      </c>
      <c r="B20" s="321" t="s">
        <v>283</v>
      </c>
      <c r="C20" s="321"/>
      <c r="D20" s="321"/>
      <c r="E20" s="321"/>
      <c r="F20" s="321"/>
      <c r="G20" s="321">
        <v>1</v>
      </c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>
        <f t="shared" si="0"/>
        <v>1</v>
      </c>
      <c r="AC20" s="321"/>
    </row>
    <row r="21" spans="1:29">
      <c r="A21" s="321" t="s">
        <v>65</v>
      </c>
      <c r="B21" s="321" t="s">
        <v>153</v>
      </c>
      <c r="C21" s="321"/>
      <c r="D21" s="321"/>
      <c r="E21" s="321"/>
      <c r="F21" s="321"/>
      <c r="G21" s="321">
        <v>2</v>
      </c>
      <c r="H21" s="321">
        <v>4</v>
      </c>
      <c r="I21" s="321">
        <v>4</v>
      </c>
      <c r="J21" s="321">
        <v>4</v>
      </c>
      <c r="K21" s="321">
        <v>4</v>
      </c>
      <c r="L21" s="321">
        <v>4</v>
      </c>
      <c r="M21" s="321">
        <v>4</v>
      </c>
      <c r="N21" s="321">
        <v>4</v>
      </c>
      <c r="O21" s="321">
        <v>4</v>
      </c>
      <c r="P21" s="321">
        <v>4</v>
      </c>
      <c r="Q21" s="321">
        <v>4</v>
      </c>
      <c r="R21" s="321">
        <v>4</v>
      </c>
      <c r="S21" s="321">
        <v>4</v>
      </c>
      <c r="T21" s="321">
        <v>4</v>
      </c>
      <c r="U21" s="321">
        <v>4</v>
      </c>
      <c r="V21" s="321">
        <v>4</v>
      </c>
      <c r="W21" s="321">
        <v>4</v>
      </c>
      <c r="X21" s="321">
        <v>4</v>
      </c>
      <c r="Y21" s="321">
        <v>4</v>
      </c>
      <c r="Z21" s="321">
        <v>4</v>
      </c>
      <c r="AA21" s="321"/>
      <c r="AB21" s="321">
        <f t="shared" si="0"/>
        <v>78</v>
      </c>
      <c r="AC21" s="321"/>
    </row>
    <row r="22" spans="1:29">
      <c r="A22" s="321" t="s">
        <v>67</v>
      </c>
      <c r="B22" s="321" t="s">
        <v>284</v>
      </c>
      <c r="C22" s="321"/>
      <c r="D22" s="321"/>
      <c r="E22" s="321"/>
      <c r="F22" s="321"/>
      <c r="G22" s="321">
        <v>1</v>
      </c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>
        <f t="shared" si="0"/>
        <v>1</v>
      </c>
      <c r="AC22" s="321"/>
    </row>
    <row r="23" spans="1:29">
      <c r="A23" s="321" t="s">
        <v>69</v>
      </c>
      <c r="B23" s="321" t="s">
        <v>285</v>
      </c>
      <c r="C23" s="321"/>
      <c r="D23" s="321"/>
      <c r="E23" s="321"/>
      <c r="F23" s="321"/>
      <c r="G23" s="321">
        <v>1</v>
      </c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>
        <f t="shared" si="0"/>
        <v>1</v>
      </c>
      <c r="AC23" s="321"/>
    </row>
    <row r="24" spans="1:29">
      <c r="A24" s="321" t="s">
        <v>71</v>
      </c>
      <c r="B24" s="321" t="s">
        <v>286</v>
      </c>
      <c r="C24" s="321"/>
      <c r="D24" s="321"/>
      <c r="E24" s="321"/>
      <c r="F24" s="321"/>
      <c r="G24" s="321">
        <v>2</v>
      </c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>
        <f t="shared" si="0"/>
        <v>2</v>
      </c>
      <c r="AC24" s="321"/>
    </row>
    <row r="25" spans="1:29">
      <c r="A25" s="321" t="s">
        <v>223</v>
      </c>
      <c r="B25" s="321" t="s">
        <v>287</v>
      </c>
      <c r="C25" s="321"/>
      <c r="D25" s="321"/>
      <c r="E25" s="321"/>
      <c r="F25" s="321"/>
      <c r="G25" s="321">
        <v>2</v>
      </c>
      <c r="H25" s="321">
        <v>2</v>
      </c>
      <c r="I25" s="321">
        <v>2</v>
      </c>
      <c r="J25" s="321">
        <v>2</v>
      </c>
      <c r="K25" s="321">
        <v>2</v>
      </c>
      <c r="L25" s="321">
        <v>2</v>
      </c>
      <c r="M25" s="321">
        <v>2</v>
      </c>
      <c r="N25" s="321">
        <v>2</v>
      </c>
      <c r="O25" s="321">
        <v>2</v>
      </c>
      <c r="P25" s="321">
        <v>2</v>
      </c>
      <c r="Q25" s="321">
        <v>2</v>
      </c>
      <c r="R25" s="321">
        <v>2</v>
      </c>
      <c r="S25" s="321">
        <v>2</v>
      </c>
      <c r="T25" s="321">
        <v>2</v>
      </c>
      <c r="U25" s="321">
        <v>2</v>
      </c>
      <c r="V25" s="321">
        <v>2</v>
      </c>
      <c r="W25" s="321">
        <v>2</v>
      </c>
      <c r="X25" s="321">
        <v>2</v>
      </c>
      <c r="Y25" s="321"/>
      <c r="Z25" s="321">
        <v>2</v>
      </c>
      <c r="AA25" s="321"/>
      <c r="AB25" s="321">
        <f t="shared" si="0"/>
        <v>38</v>
      </c>
      <c r="AC25" s="321"/>
    </row>
    <row r="26" spans="1:29">
      <c r="A26" s="321" t="s">
        <v>73</v>
      </c>
      <c r="B26" s="321" t="s">
        <v>288</v>
      </c>
      <c r="C26" s="321"/>
      <c r="D26" s="321"/>
      <c r="E26" s="321"/>
      <c r="F26" s="321"/>
      <c r="G26" s="321">
        <v>2</v>
      </c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>
        <f t="shared" si="0"/>
        <v>2</v>
      </c>
      <c r="AC26" s="321"/>
    </row>
    <row r="27" spans="1:29">
      <c r="A27" s="321" t="s">
        <v>75</v>
      </c>
      <c r="B27" s="321" t="s">
        <v>289</v>
      </c>
      <c r="C27" s="321"/>
      <c r="D27" s="321"/>
      <c r="E27" s="321"/>
      <c r="F27" s="321"/>
      <c r="G27" s="321">
        <v>1</v>
      </c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>
        <f t="shared" si="0"/>
        <v>1</v>
      </c>
      <c r="AC27" s="321"/>
    </row>
    <row r="28" spans="1:29">
      <c r="A28" s="321" t="s">
        <v>77</v>
      </c>
      <c r="B28" s="321" t="s">
        <v>290</v>
      </c>
      <c r="C28" s="321"/>
      <c r="D28" s="321"/>
      <c r="E28" s="321"/>
      <c r="F28" s="321"/>
      <c r="G28" s="321">
        <v>1</v>
      </c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>
        <f t="shared" si="0"/>
        <v>1</v>
      </c>
      <c r="AC28" s="321"/>
    </row>
    <row r="29" spans="1:29">
      <c r="A29" s="321" t="s">
        <v>79</v>
      </c>
      <c r="B29" s="321" t="s">
        <v>252</v>
      </c>
      <c r="C29" s="321"/>
      <c r="D29" s="321"/>
      <c r="E29" s="321"/>
      <c r="F29" s="321"/>
      <c r="G29" s="321">
        <v>1</v>
      </c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>
        <f t="shared" si="0"/>
        <v>1</v>
      </c>
      <c r="AC29" s="321"/>
    </row>
    <row r="30" spans="1:29">
      <c r="A30" s="321" t="s">
        <v>81</v>
      </c>
      <c r="B30" s="321" t="s">
        <v>291</v>
      </c>
      <c r="C30" s="321"/>
      <c r="D30" s="321"/>
      <c r="E30" s="321"/>
      <c r="F30" s="321"/>
      <c r="G30" s="321">
        <v>2</v>
      </c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>
        <f t="shared" si="0"/>
        <v>2</v>
      </c>
      <c r="AC30" s="321"/>
    </row>
    <row r="31" spans="1:29">
      <c r="A31" s="321" t="s">
        <v>83</v>
      </c>
      <c r="B31" s="321" t="s">
        <v>292</v>
      </c>
      <c r="C31" s="321"/>
      <c r="D31" s="321"/>
      <c r="E31" s="321"/>
      <c r="F31" s="321"/>
      <c r="G31" s="321">
        <v>1</v>
      </c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>
        <f t="shared" si="0"/>
        <v>1</v>
      </c>
      <c r="AC31" s="321"/>
    </row>
    <row r="32" spans="1:29">
      <c r="A32" s="321" t="s">
        <v>85</v>
      </c>
      <c r="B32" s="321" t="s">
        <v>293</v>
      </c>
      <c r="C32" s="321"/>
      <c r="D32" s="321"/>
      <c r="E32" s="321"/>
      <c r="F32" s="321"/>
      <c r="G32" s="321">
        <v>1</v>
      </c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>
        <f t="shared" si="0"/>
        <v>1</v>
      </c>
      <c r="AC32" s="321"/>
    </row>
    <row r="33" spans="1:29">
      <c r="A33" s="321" t="s">
        <v>87</v>
      </c>
      <c r="B33" s="321" t="s">
        <v>294</v>
      </c>
      <c r="C33" s="321"/>
      <c r="D33" s="321"/>
      <c r="E33" s="321"/>
      <c r="F33" s="321"/>
      <c r="G33" s="321">
        <v>2</v>
      </c>
      <c r="H33" s="321">
        <v>2</v>
      </c>
      <c r="I33" s="321">
        <v>2</v>
      </c>
      <c r="J33" s="321">
        <v>2</v>
      </c>
      <c r="K33" s="321">
        <v>2</v>
      </c>
      <c r="L33" s="321">
        <v>2</v>
      </c>
      <c r="M33" s="321">
        <v>2</v>
      </c>
      <c r="N33" s="321">
        <v>2</v>
      </c>
      <c r="O33" s="321">
        <v>2</v>
      </c>
      <c r="P33" s="321">
        <v>2</v>
      </c>
      <c r="Q33" s="321">
        <v>2</v>
      </c>
      <c r="R33" s="321">
        <v>2</v>
      </c>
      <c r="S33" s="321">
        <v>2</v>
      </c>
      <c r="T33" s="321">
        <v>2</v>
      </c>
      <c r="U33" s="321">
        <v>2</v>
      </c>
      <c r="V33" s="321">
        <v>2</v>
      </c>
      <c r="W33" s="321">
        <v>2</v>
      </c>
      <c r="X33" s="321">
        <v>2</v>
      </c>
      <c r="Y33" s="321"/>
      <c r="Z33" s="321">
        <v>2</v>
      </c>
      <c r="AA33" s="321"/>
      <c r="AB33" s="321">
        <f t="shared" si="0"/>
        <v>38</v>
      </c>
      <c r="AC33" s="321"/>
    </row>
    <row r="34" spans="1:29">
      <c r="A34" s="321" t="s">
        <v>89</v>
      </c>
      <c r="B34" s="321" t="s">
        <v>161</v>
      </c>
      <c r="C34" s="321"/>
      <c r="D34" s="321"/>
      <c r="E34" s="321"/>
      <c r="F34" s="321"/>
      <c r="G34" s="321">
        <v>2</v>
      </c>
      <c r="H34" s="321">
        <v>2</v>
      </c>
      <c r="I34" s="321">
        <v>2</v>
      </c>
      <c r="J34" s="321">
        <v>2</v>
      </c>
      <c r="K34" s="321">
        <v>2</v>
      </c>
      <c r="L34" s="321">
        <v>2</v>
      </c>
      <c r="M34" s="321">
        <v>2</v>
      </c>
      <c r="N34" s="321">
        <v>2</v>
      </c>
      <c r="O34" s="321">
        <v>2</v>
      </c>
      <c r="P34" s="321">
        <v>2</v>
      </c>
      <c r="Q34" s="321">
        <v>2</v>
      </c>
      <c r="R34" s="321">
        <v>2</v>
      </c>
      <c r="S34" s="321">
        <v>2</v>
      </c>
      <c r="T34" s="321">
        <v>2</v>
      </c>
      <c r="U34" s="321">
        <v>2</v>
      </c>
      <c r="V34" s="321">
        <v>2</v>
      </c>
      <c r="W34" s="321">
        <v>2</v>
      </c>
      <c r="X34" s="321">
        <v>2</v>
      </c>
      <c r="Y34" s="321"/>
      <c r="Z34" s="321">
        <v>2</v>
      </c>
      <c r="AA34" s="321"/>
      <c r="AB34" s="321">
        <f t="shared" si="0"/>
        <v>38</v>
      </c>
      <c r="AC34" s="321"/>
    </row>
    <row r="35" spans="1:29">
      <c r="A35" s="321" t="s">
        <v>91</v>
      </c>
      <c r="B35" s="321" t="s">
        <v>175</v>
      </c>
      <c r="C35" s="321"/>
      <c r="D35" s="321"/>
      <c r="E35" s="321"/>
      <c r="F35" s="321"/>
      <c r="G35" s="321"/>
      <c r="H35" s="321">
        <v>2</v>
      </c>
      <c r="I35" s="321">
        <v>2</v>
      </c>
      <c r="J35" s="321">
        <v>2</v>
      </c>
      <c r="K35" s="321">
        <v>2</v>
      </c>
      <c r="L35" s="321">
        <v>2</v>
      </c>
      <c r="M35" s="321">
        <v>2</v>
      </c>
      <c r="N35" s="321">
        <v>2</v>
      </c>
      <c r="O35" s="321">
        <v>2</v>
      </c>
      <c r="P35" s="321">
        <v>2</v>
      </c>
      <c r="Q35" s="321">
        <v>2</v>
      </c>
      <c r="R35" s="321">
        <v>2</v>
      </c>
      <c r="S35" s="321">
        <v>2</v>
      </c>
      <c r="T35" s="321">
        <v>2</v>
      </c>
      <c r="U35" s="321">
        <v>2</v>
      </c>
      <c r="V35" s="321">
        <v>2</v>
      </c>
      <c r="W35" s="321">
        <v>2</v>
      </c>
      <c r="X35" s="321">
        <v>2</v>
      </c>
      <c r="Y35" s="321">
        <v>2</v>
      </c>
      <c r="Z35" s="321">
        <v>2</v>
      </c>
      <c r="AA35" s="321"/>
      <c r="AB35" s="321">
        <f t="shared" si="0"/>
        <v>38</v>
      </c>
      <c r="AC35" s="321"/>
    </row>
    <row r="36" spans="1:29">
      <c r="A36" s="321" t="s">
        <v>93</v>
      </c>
      <c r="B36" s="321" t="s">
        <v>295</v>
      </c>
      <c r="C36" s="321"/>
      <c r="D36" s="321"/>
      <c r="E36" s="321"/>
      <c r="F36" s="321"/>
      <c r="G36" s="321">
        <v>1</v>
      </c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>
        <f t="shared" si="0"/>
        <v>1</v>
      </c>
      <c r="AC36" s="321"/>
    </row>
    <row r="37" spans="1:29">
      <c r="A37" s="321" t="s">
        <v>95</v>
      </c>
      <c r="B37" s="321" t="s">
        <v>296</v>
      </c>
      <c r="C37" s="321"/>
      <c r="D37" s="321"/>
      <c r="E37" s="321"/>
      <c r="F37" s="321"/>
      <c r="G37" s="321">
        <v>1</v>
      </c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>
        <f t="shared" si="0"/>
        <v>1</v>
      </c>
      <c r="AC37" s="321"/>
    </row>
    <row r="38" spans="1:29">
      <c r="A38" s="321" t="s">
        <v>97</v>
      </c>
      <c r="B38" s="321" t="s">
        <v>297</v>
      </c>
      <c r="C38" s="321"/>
      <c r="D38" s="321"/>
      <c r="E38" s="321"/>
      <c r="F38" s="321"/>
      <c r="G38" s="321">
        <v>1</v>
      </c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>
        <f t="shared" si="0"/>
        <v>1</v>
      </c>
      <c r="AC38" s="321"/>
    </row>
    <row r="39" spans="1:29">
      <c r="A39" s="321" t="s">
        <v>99</v>
      </c>
      <c r="B39" s="321" t="s">
        <v>298</v>
      </c>
      <c r="C39" s="321"/>
      <c r="D39" s="321"/>
      <c r="E39" s="321"/>
      <c r="F39" s="321"/>
      <c r="G39" s="321">
        <v>1</v>
      </c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>
        <f t="shared" si="0"/>
        <v>1</v>
      </c>
      <c r="AC39" s="321"/>
    </row>
    <row r="40" spans="1:29">
      <c r="A40" s="321" t="s">
        <v>101</v>
      </c>
      <c r="B40" s="321" t="s">
        <v>169</v>
      </c>
      <c r="C40" s="321"/>
      <c r="D40" s="321"/>
      <c r="E40" s="321"/>
      <c r="F40" s="321"/>
      <c r="G40" s="321">
        <v>1</v>
      </c>
      <c r="H40" s="321">
        <v>2</v>
      </c>
      <c r="I40" s="321">
        <v>2</v>
      </c>
      <c r="J40" s="321">
        <v>2</v>
      </c>
      <c r="K40" s="321">
        <v>2</v>
      </c>
      <c r="L40" s="321">
        <v>2</v>
      </c>
      <c r="M40" s="321">
        <v>2</v>
      </c>
      <c r="N40" s="321">
        <v>2</v>
      </c>
      <c r="O40" s="321">
        <v>2</v>
      </c>
      <c r="P40" s="321">
        <v>2</v>
      </c>
      <c r="Q40" s="321">
        <v>2</v>
      </c>
      <c r="R40" s="321">
        <v>2</v>
      </c>
      <c r="S40" s="321">
        <v>2</v>
      </c>
      <c r="T40" s="321">
        <v>2</v>
      </c>
      <c r="U40" s="321">
        <v>2</v>
      </c>
      <c r="V40" s="321">
        <v>2</v>
      </c>
      <c r="W40" s="321">
        <v>2</v>
      </c>
      <c r="X40" s="321">
        <v>2</v>
      </c>
      <c r="Y40" s="321">
        <v>2</v>
      </c>
      <c r="Z40" s="321">
        <v>2</v>
      </c>
      <c r="AA40" s="321"/>
      <c r="AB40" s="321">
        <f t="shared" si="0"/>
        <v>39</v>
      </c>
      <c r="AC40" s="321"/>
    </row>
    <row r="41" spans="1:29">
      <c r="A41" s="321" t="s">
        <v>103</v>
      </c>
      <c r="B41" s="321" t="s">
        <v>299</v>
      </c>
      <c r="C41" s="321"/>
      <c r="D41" s="321"/>
      <c r="E41" s="321"/>
      <c r="F41" s="321"/>
      <c r="G41" s="321">
        <v>1</v>
      </c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>
        <f t="shared" si="0"/>
        <v>1</v>
      </c>
      <c r="AC41" s="321"/>
    </row>
    <row r="42" spans="1:29">
      <c r="A42" s="321" t="s">
        <v>105</v>
      </c>
      <c r="B42" s="321" t="s">
        <v>141</v>
      </c>
      <c r="C42" s="321"/>
      <c r="D42" s="321"/>
      <c r="E42" s="321"/>
      <c r="F42" s="321"/>
      <c r="G42" s="321">
        <v>1</v>
      </c>
      <c r="H42" s="321">
        <v>2</v>
      </c>
      <c r="I42" s="321">
        <v>2</v>
      </c>
      <c r="J42" s="321">
        <v>2</v>
      </c>
      <c r="K42" s="321">
        <v>2</v>
      </c>
      <c r="L42" s="321">
        <v>2</v>
      </c>
      <c r="M42" s="321">
        <v>2</v>
      </c>
      <c r="N42" s="321">
        <v>2</v>
      </c>
      <c r="O42" s="321">
        <v>2</v>
      </c>
      <c r="P42" s="321">
        <v>2</v>
      </c>
      <c r="Q42" s="321">
        <v>2</v>
      </c>
      <c r="R42" s="321">
        <v>2</v>
      </c>
      <c r="S42" s="321">
        <v>2</v>
      </c>
      <c r="T42" s="321">
        <v>2</v>
      </c>
      <c r="U42" s="321">
        <v>2</v>
      </c>
      <c r="V42" s="321">
        <v>2</v>
      </c>
      <c r="W42" s="321">
        <v>2</v>
      </c>
      <c r="X42" s="321">
        <v>2</v>
      </c>
      <c r="Y42" s="321">
        <v>2</v>
      </c>
      <c r="Z42" s="321">
        <v>2</v>
      </c>
      <c r="AA42" s="321"/>
      <c r="AB42" s="321">
        <f t="shared" si="0"/>
        <v>39</v>
      </c>
      <c r="AC42" s="321"/>
    </row>
    <row r="43" spans="1:29">
      <c r="A43" s="321" t="s">
        <v>107</v>
      </c>
      <c r="B43" s="321" t="s">
        <v>143</v>
      </c>
      <c r="C43" s="321"/>
      <c r="D43" s="321"/>
      <c r="E43" s="321"/>
      <c r="F43" s="321"/>
      <c r="G43" s="321">
        <v>1</v>
      </c>
      <c r="H43" s="321">
        <v>2</v>
      </c>
      <c r="I43" s="321">
        <v>2</v>
      </c>
      <c r="J43" s="321">
        <v>2</v>
      </c>
      <c r="K43" s="321">
        <v>2</v>
      </c>
      <c r="L43" s="321">
        <v>2</v>
      </c>
      <c r="M43" s="321">
        <v>2</v>
      </c>
      <c r="N43" s="321">
        <v>2</v>
      </c>
      <c r="O43" s="321">
        <v>2</v>
      </c>
      <c r="P43" s="321">
        <v>2</v>
      </c>
      <c r="Q43" s="321">
        <v>2</v>
      </c>
      <c r="R43" s="321">
        <v>2</v>
      </c>
      <c r="S43" s="321">
        <v>2</v>
      </c>
      <c r="T43" s="321">
        <v>2</v>
      </c>
      <c r="U43" s="321">
        <v>2</v>
      </c>
      <c r="V43" s="321">
        <v>2</v>
      </c>
      <c r="W43" s="321">
        <v>2</v>
      </c>
      <c r="X43" s="321">
        <v>2</v>
      </c>
      <c r="Y43" s="321">
        <v>2</v>
      </c>
      <c r="Z43" s="321">
        <v>2</v>
      </c>
      <c r="AA43" s="321"/>
      <c r="AB43" s="321">
        <f t="shared" si="0"/>
        <v>39</v>
      </c>
      <c r="AC43" s="321"/>
    </row>
    <row r="44" spans="1:29">
      <c r="A44" s="321" t="s">
        <v>109</v>
      </c>
      <c r="B44" s="321" t="s">
        <v>147</v>
      </c>
      <c r="C44" s="321"/>
      <c r="D44" s="321"/>
      <c r="E44" s="321"/>
      <c r="F44" s="321"/>
      <c r="G44" s="321"/>
      <c r="H44" s="321">
        <v>3</v>
      </c>
      <c r="I44" s="321">
        <v>3</v>
      </c>
      <c r="J44" s="321">
        <v>3</v>
      </c>
      <c r="K44" s="321">
        <v>3</v>
      </c>
      <c r="L44" s="321">
        <v>3</v>
      </c>
      <c r="M44" s="321">
        <v>3</v>
      </c>
      <c r="N44" s="321">
        <v>3</v>
      </c>
      <c r="O44" s="321">
        <v>3</v>
      </c>
      <c r="P44" s="321">
        <v>3</v>
      </c>
      <c r="Q44" s="321">
        <v>3</v>
      </c>
      <c r="R44" s="321">
        <v>3</v>
      </c>
      <c r="S44" s="321">
        <v>3</v>
      </c>
      <c r="T44" s="321">
        <v>3</v>
      </c>
      <c r="U44" s="321">
        <v>3</v>
      </c>
      <c r="V44" s="321">
        <v>3</v>
      </c>
      <c r="W44" s="321">
        <v>3</v>
      </c>
      <c r="X44" s="321">
        <v>3</v>
      </c>
      <c r="Y44" s="321">
        <v>3</v>
      </c>
      <c r="Z44" s="321">
        <v>3</v>
      </c>
      <c r="AA44" s="321"/>
      <c r="AB44" s="321">
        <f t="shared" si="0"/>
        <v>57</v>
      </c>
      <c r="AC44" s="321"/>
    </row>
    <row r="45" spans="1:29">
      <c r="A45" s="321" t="s">
        <v>111</v>
      </c>
      <c r="B45" s="321" t="s">
        <v>157</v>
      </c>
      <c r="C45" s="321"/>
      <c r="D45" s="321"/>
      <c r="E45" s="321"/>
      <c r="F45" s="321"/>
      <c r="G45" s="321">
        <v>1</v>
      </c>
      <c r="H45" s="321">
        <v>2</v>
      </c>
      <c r="I45" s="321">
        <v>2</v>
      </c>
      <c r="J45" s="321">
        <v>2</v>
      </c>
      <c r="K45" s="321">
        <v>2</v>
      </c>
      <c r="L45" s="321">
        <v>2</v>
      </c>
      <c r="M45" s="321">
        <v>2</v>
      </c>
      <c r="N45" s="321">
        <v>2</v>
      </c>
      <c r="O45" s="321">
        <v>2</v>
      </c>
      <c r="P45" s="321">
        <v>2</v>
      </c>
      <c r="Q45" s="321">
        <v>2</v>
      </c>
      <c r="R45" s="321">
        <v>2</v>
      </c>
      <c r="S45" s="321">
        <v>2</v>
      </c>
      <c r="T45" s="321">
        <v>2</v>
      </c>
      <c r="U45" s="321">
        <v>2</v>
      </c>
      <c r="V45" s="321">
        <v>2</v>
      </c>
      <c r="W45" s="321">
        <v>2</v>
      </c>
      <c r="X45" s="321">
        <v>2</v>
      </c>
      <c r="Y45" s="321">
        <v>2</v>
      </c>
      <c r="Z45" s="321">
        <v>2</v>
      </c>
      <c r="AA45" s="321"/>
      <c r="AB45" s="321">
        <f t="shared" si="0"/>
        <v>39</v>
      </c>
      <c r="AC45" s="321"/>
    </row>
    <row r="46" spans="1:29">
      <c r="A46" s="321" t="s">
        <v>113</v>
      </c>
      <c r="B46" s="321" t="s">
        <v>159</v>
      </c>
      <c r="C46" s="321"/>
      <c r="D46" s="321"/>
      <c r="E46" s="321"/>
      <c r="F46" s="321"/>
      <c r="G46" s="321"/>
      <c r="H46" s="321">
        <v>1</v>
      </c>
      <c r="I46" s="321">
        <v>1</v>
      </c>
      <c r="J46" s="321">
        <v>1</v>
      </c>
      <c r="K46" s="321">
        <v>1</v>
      </c>
      <c r="L46" s="321">
        <v>1</v>
      </c>
      <c r="M46" s="321">
        <v>1</v>
      </c>
      <c r="N46" s="321">
        <v>1</v>
      </c>
      <c r="O46" s="321">
        <v>1</v>
      </c>
      <c r="P46" s="321">
        <v>1</v>
      </c>
      <c r="Q46" s="321">
        <v>1</v>
      </c>
      <c r="R46" s="321">
        <v>1</v>
      </c>
      <c r="S46" s="321">
        <v>1</v>
      </c>
      <c r="T46" s="321">
        <v>1</v>
      </c>
      <c r="U46" s="321">
        <v>1</v>
      </c>
      <c r="V46" s="321">
        <v>1</v>
      </c>
      <c r="W46" s="321">
        <v>1</v>
      </c>
      <c r="X46" s="321">
        <v>1</v>
      </c>
      <c r="Y46" s="321">
        <v>1</v>
      </c>
      <c r="Z46" s="321">
        <v>1</v>
      </c>
      <c r="AA46" s="321"/>
      <c r="AB46" s="321">
        <f t="shared" si="0"/>
        <v>19</v>
      </c>
      <c r="AC46" s="321"/>
    </row>
    <row r="47" spans="1:29">
      <c r="A47" s="321" t="s">
        <v>115</v>
      </c>
      <c r="B47" s="321" t="s">
        <v>300</v>
      </c>
      <c r="C47" s="321"/>
      <c r="D47" s="321"/>
      <c r="E47" s="321"/>
      <c r="F47" s="321"/>
      <c r="G47" s="321"/>
      <c r="H47" s="321">
        <v>2</v>
      </c>
      <c r="I47" s="321">
        <v>2</v>
      </c>
      <c r="J47" s="321">
        <v>2</v>
      </c>
      <c r="K47" s="321">
        <v>2</v>
      </c>
      <c r="L47" s="321">
        <v>2</v>
      </c>
      <c r="M47" s="321">
        <v>2</v>
      </c>
      <c r="N47" s="321">
        <v>2</v>
      </c>
      <c r="O47" s="321">
        <v>2</v>
      </c>
      <c r="P47" s="321">
        <v>2</v>
      </c>
      <c r="Q47" s="321">
        <v>2</v>
      </c>
      <c r="R47" s="321">
        <v>2</v>
      </c>
      <c r="S47" s="321">
        <v>2</v>
      </c>
      <c r="T47" s="321">
        <v>2</v>
      </c>
      <c r="U47" s="321">
        <v>2</v>
      </c>
      <c r="V47" s="321">
        <v>2</v>
      </c>
      <c r="W47" s="321">
        <v>2</v>
      </c>
      <c r="X47" s="321">
        <v>2</v>
      </c>
      <c r="Y47" s="321">
        <v>2</v>
      </c>
      <c r="Z47" s="321">
        <v>2</v>
      </c>
      <c r="AA47" s="321"/>
      <c r="AB47" s="321">
        <f t="shared" si="0"/>
        <v>38</v>
      </c>
      <c r="AC47" s="321"/>
    </row>
    <row r="48" spans="1:29">
      <c r="A48" s="321" t="s">
        <v>117</v>
      </c>
      <c r="B48" s="321" t="s">
        <v>163</v>
      </c>
      <c r="C48" s="321"/>
      <c r="D48" s="321"/>
      <c r="E48" s="321"/>
      <c r="F48" s="321"/>
      <c r="G48" s="321"/>
      <c r="H48" s="321">
        <v>2</v>
      </c>
      <c r="I48" s="321">
        <v>2</v>
      </c>
      <c r="J48" s="321">
        <v>2</v>
      </c>
      <c r="K48" s="321">
        <v>2</v>
      </c>
      <c r="L48" s="321">
        <v>2</v>
      </c>
      <c r="M48" s="321">
        <v>2</v>
      </c>
      <c r="N48" s="321">
        <v>2</v>
      </c>
      <c r="O48" s="321">
        <v>2</v>
      </c>
      <c r="P48" s="321">
        <v>2</v>
      </c>
      <c r="Q48" s="321">
        <v>2</v>
      </c>
      <c r="R48" s="321">
        <v>2</v>
      </c>
      <c r="S48" s="321">
        <v>2</v>
      </c>
      <c r="T48" s="321">
        <v>2</v>
      </c>
      <c r="U48" s="321">
        <v>2</v>
      </c>
      <c r="V48" s="321">
        <v>2</v>
      </c>
      <c r="W48" s="321">
        <v>2</v>
      </c>
      <c r="X48" s="321">
        <v>2</v>
      </c>
      <c r="Y48" s="321">
        <v>2</v>
      </c>
      <c r="Z48" s="321">
        <v>2</v>
      </c>
      <c r="AA48" s="321"/>
      <c r="AB48" s="321">
        <f t="shared" si="0"/>
        <v>38</v>
      </c>
      <c r="AC48" s="321"/>
    </row>
    <row r="49" spans="1:29">
      <c r="A49" s="321" t="s">
        <v>119</v>
      </c>
      <c r="B49" s="321" t="s">
        <v>179</v>
      </c>
      <c r="C49" s="321"/>
      <c r="D49" s="321"/>
      <c r="E49" s="321"/>
      <c r="F49" s="321"/>
      <c r="G49" s="321"/>
      <c r="H49" s="321">
        <v>2</v>
      </c>
      <c r="I49" s="321">
        <v>1</v>
      </c>
      <c r="J49" s="321">
        <v>2</v>
      </c>
      <c r="K49" s="321">
        <v>2</v>
      </c>
      <c r="L49" s="321">
        <v>2</v>
      </c>
      <c r="M49" s="321">
        <v>1</v>
      </c>
      <c r="N49" s="321">
        <v>2</v>
      </c>
      <c r="O49" s="321">
        <v>2</v>
      </c>
      <c r="P49" s="321">
        <v>2</v>
      </c>
      <c r="Q49" s="321">
        <v>2</v>
      </c>
      <c r="R49" s="321">
        <v>2</v>
      </c>
      <c r="S49" s="321">
        <v>2</v>
      </c>
      <c r="T49" s="321">
        <v>2</v>
      </c>
      <c r="U49" s="321">
        <v>2</v>
      </c>
      <c r="V49" s="321">
        <v>2</v>
      </c>
      <c r="W49" s="321">
        <v>2</v>
      </c>
      <c r="X49" s="321">
        <v>2</v>
      </c>
      <c r="Y49" s="321">
        <v>2</v>
      </c>
      <c r="Z49" s="321">
        <v>2</v>
      </c>
      <c r="AA49" s="321"/>
      <c r="AB49" s="321">
        <f t="shared" si="0"/>
        <v>36</v>
      </c>
      <c r="AC49" s="321"/>
    </row>
    <row r="50" spans="1:29">
      <c r="A50" s="321" t="s">
        <v>121</v>
      </c>
      <c r="B50" s="321" t="s">
        <v>301</v>
      </c>
      <c r="C50" s="321"/>
      <c r="D50" s="321"/>
      <c r="E50" s="321"/>
      <c r="F50" s="321"/>
      <c r="G50" s="321"/>
      <c r="H50" s="321">
        <v>1</v>
      </c>
      <c r="I50" s="321">
        <v>1</v>
      </c>
      <c r="J50" s="321">
        <v>1</v>
      </c>
      <c r="K50" s="321">
        <v>1</v>
      </c>
      <c r="L50" s="321">
        <v>1</v>
      </c>
      <c r="M50" s="321">
        <v>1</v>
      </c>
      <c r="N50" s="321">
        <v>1</v>
      </c>
      <c r="O50" s="321">
        <v>1</v>
      </c>
      <c r="P50" s="321">
        <v>1</v>
      </c>
      <c r="Q50" s="321">
        <v>1</v>
      </c>
      <c r="R50" s="321">
        <v>1</v>
      </c>
      <c r="S50" s="321">
        <v>1</v>
      </c>
      <c r="T50" s="321">
        <v>1</v>
      </c>
      <c r="U50" s="321">
        <v>1</v>
      </c>
      <c r="V50" s="321">
        <v>1</v>
      </c>
      <c r="W50" s="321">
        <v>1</v>
      </c>
      <c r="X50" s="321">
        <v>1</v>
      </c>
      <c r="Y50" s="321">
        <v>1</v>
      </c>
      <c r="Z50" s="321">
        <v>1</v>
      </c>
      <c r="AA50" s="321">
        <v>2</v>
      </c>
      <c r="AB50" s="321">
        <f t="shared" si="0"/>
        <v>21</v>
      </c>
      <c r="AC50" s="321"/>
    </row>
    <row r="51" spans="1:29">
      <c r="A51" s="321" t="s">
        <v>123</v>
      </c>
      <c r="B51" s="321" t="s">
        <v>145</v>
      </c>
      <c r="C51" s="321"/>
      <c r="D51" s="321"/>
      <c r="E51" s="321"/>
      <c r="F51" s="321"/>
      <c r="G51" s="321"/>
      <c r="H51" s="321">
        <v>4</v>
      </c>
      <c r="I51" s="321">
        <v>4</v>
      </c>
      <c r="J51" s="321">
        <v>4</v>
      </c>
      <c r="K51" s="321">
        <v>4</v>
      </c>
      <c r="L51" s="321">
        <v>4</v>
      </c>
      <c r="M51" s="321">
        <v>4</v>
      </c>
      <c r="N51" s="321">
        <v>4</v>
      </c>
      <c r="O51" s="321">
        <v>4</v>
      </c>
      <c r="P51" s="321">
        <v>4</v>
      </c>
      <c r="Q51" s="321">
        <v>4</v>
      </c>
      <c r="R51" s="321">
        <v>4</v>
      </c>
      <c r="S51" s="321">
        <v>4</v>
      </c>
      <c r="T51" s="321">
        <v>4</v>
      </c>
      <c r="U51" s="321">
        <v>4</v>
      </c>
      <c r="V51" s="321">
        <v>4</v>
      </c>
      <c r="W51" s="321">
        <v>4</v>
      </c>
      <c r="X51" s="321">
        <v>4</v>
      </c>
      <c r="Y51" s="321">
        <v>4</v>
      </c>
      <c r="Z51" s="321">
        <v>4</v>
      </c>
      <c r="AA51" s="321"/>
      <c r="AB51" s="321">
        <f t="shared" si="0"/>
        <v>76</v>
      </c>
      <c r="AC51" s="321"/>
    </row>
    <row r="52" spans="1:29">
      <c r="A52" s="321" t="s">
        <v>125</v>
      </c>
      <c r="B52" s="321" t="s">
        <v>302</v>
      </c>
      <c r="C52" s="321"/>
      <c r="D52" s="321"/>
      <c r="E52" s="321"/>
      <c r="F52" s="321"/>
      <c r="G52" s="321"/>
      <c r="H52" s="321"/>
      <c r="I52" s="321">
        <v>1</v>
      </c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>
        <v>1</v>
      </c>
      <c r="Z52" s="321"/>
      <c r="AA52" s="321"/>
      <c r="AB52" s="321">
        <f t="shared" si="0"/>
        <v>2</v>
      </c>
      <c r="AC52" s="321"/>
    </row>
    <row r="53" spans="1:29">
      <c r="A53" s="321" t="s">
        <v>127</v>
      </c>
      <c r="B53" s="321" t="s">
        <v>303</v>
      </c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>
        <v>2</v>
      </c>
      <c r="Z53" s="321"/>
      <c r="AA53" s="321"/>
      <c r="AB53" s="321">
        <f t="shared" si="0"/>
        <v>2</v>
      </c>
      <c r="AC53" s="321"/>
    </row>
    <row r="54" spans="1:29">
      <c r="A54" s="321" t="s">
        <v>129</v>
      </c>
      <c r="B54" s="321" t="s">
        <v>304</v>
      </c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>
        <v>2</v>
      </c>
      <c r="Z54" s="321"/>
      <c r="AA54" s="321"/>
      <c r="AB54" s="321">
        <f t="shared" si="0"/>
        <v>2</v>
      </c>
      <c r="AC54" s="321"/>
    </row>
    <row r="55" spans="1:29">
      <c r="A55" s="321" t="s">
        <v>131</v>
      </c>
      <c r="B55" s="321" t="s">
        <v>305</v>
      </c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>
        <v>2</v>
      </c>
      <c r="Z55" s="321"/>
      <c r="AA55" s="321"/>
      <c r="AB55" s="321">
        <f t="shared" si="0"/>
        <v>2</v>
      </c>
      <c r="AC55" s="321"/>
    </row>
    <row r="56" spans="1:29">
      <c r="A56" s="321" t="s">
        <v>133</v>
      </c>
      <c r="B56" s="321" t="s">
        <v>191</v>
      </c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>
        <v>3</v>
      </c>
      <c r="AB56" s="321">
        <f t="shared" si="0"/>
        <v>3</v>
      </c>
      <c r="AC56" s="321"/>
    </row>
    <row r="57" spans="1:28">
      <c r="A57" s="321" t="s">
        <v>135</v>
      </c>
      <c r="B57" s="321" t="s">
        <v>306</v>
      </c>
      <c r="F57">
        <v>1</v>
      </c>
      <c r="AB57" s="321">
        <f t="shared" si="0"/>
        <v>1</v>
      </c>
    </row>
    <row r="58" spans="1:28">
      <c r="A58" s="321" t="s">
        <v>137</v>
      </c>
      <c r="B58" s="321" t="s">
        <v>307</v>
      </c>
      <c r="G58">
        <v>2</v>
      </c>
      <c r="AB58" s="321">
        <f t="shared" si="0"/>
        <v>2</v>
      </c>
    </row>
    <row r="59" spans="28:28">
      <c r="AB59" s="321">
        <f t="shared" si="0"/>
        <v>0</v>
      </c>
    </row>
    <row r="60" spans="28:28">
      <c r="AB60" s="321">
        <f t="shared" si="0"/>
        <v>0</v>
      </c>
    </row>
    <row r="61" spans="28:28">
      <c r="AB61" s="321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325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320" t="s">
        <v>308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2" spans="1:29">
      <c r="A2" s="321" t="s">
        <v>1</v>
      </c>
      <c r="B2" s="321" t="s">
        <v>2</v>
      </c>
      <c r="C2" s="321" t="s">
        <v>3</v>
      </c>
      <c r="D2" s="321" t="s">
        <v>4</v>
      </c>
      <c r="E2" s="321" t="s">
        <v>5</v>
      </c>
      <c r="F2" s="321" t="s">
        <v>6</v>
      </c>
      <c r="G2" s="321" t="s">
        <v>7</v>
      </c>
      <c r="H2" s="321" t="s">
        <v>8</v>
      </c>
      <c r="I2" s="321" t="s">
        <v>9</v>
      </c>
      <c r="J2" s="321" t="s">
        <v>10</v>
      </c>
      <c r="K2" s="321" t="s">
        <v>11</v>
      </c>
      <c r="L2" s="321" t="s">
        <v>12</v>
      </c>
      <c r="M2" s="321" t="s">
        <v>13</v>
      </c>
      <c r="N2" s="321" t="s">
        <v>14</v>
      </c>
      <c r="O2" s="321" t="s">
        <v>15</v>
      </c>
      <c r="P2" s="321" t="s">
        <v>16</v>
      </c>
      <c r="Q2" s="321" t="s">
        <v>17</v>
      </c>
      <c r="R2" s="321" t="s">
        <v>18</v>
      </c>
      <c r="S2" s="321" t="s">
        <v>19</v>
      </c>
      <c r="T2" s="321" t="s">
        <v>20</v>
      </c>
      <c r="U2" s="321" t="s">
        <v>21</v>
      </c>
      <c r="V2" s="321" t="s">
        <v>22</v>
      </c>
      <c r="W2" s="321" t="s">
        <v>23</v>
      </c>
      <c r="X2" s="321" t="s">
        <v>24</v>
      </c>
      <c r="Y2" s="321" t="s">
        <v>25</v>
      </c>
      <c r="Z2" s="321" t="s">
        <v>26</v>
      </c>
      <c r="AA2" s="321" t="s">
        <v>27</v>
      </c>
      <c r="AB2" s="321" t="s">
        <v>28</v>
      </c>
      <c r="AC2" s="321" t="s">
        <v>206</v>
      </c>
    </row>
    <row r="3" spans="1:29">
      <c r="A3" s="321" t="s">
        <v>29</v>
      </c>
      <c r="B3" s="321" t="s">
        <v>309</v>
      </c>
      <c r="C3" s="321"/>
      <c r="D3" s="321"/>
      <c r="E3" s="321">
        <v>2</v>
      </c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>
        <f t="shared" ref="AB3:AB30" si="0">SUM(E3:AA3)</f>
        <v>2</v>
      </c>
      <c r="AC3" s="321">
        <f>C3*D3*AB3/1000000</f>
        <v>0</v>
      </c>
    </row>
    <row r="4" spans="1:29">
      <c r="A4" s="321" t="s">
        <v>31</v>
      </c>
      <c r="B4" s="321" t="s">
        <v>310</v>
      </c>
      <c r="C4" s="321"/>
      <c r="D4" s="321"/>
      <c r="E4" s="321"/>
      <c r="F4" s="321">
        <v>1</v>
      </c>
      <c r="G4" s="321">
        <v>1</v>
      </c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>
        <f t="shared" si="0"/>
        <v>2</v>
      </c>
      <c r="AC4" s="321">
        <f t="shared" ref="AC4:AC52" si="1">C4*D4*AB4/1000000</f>
        <v>0</v>
      </c>
    </row>
    <row r="5" spans="1:29">
      <c r="A5" s="321" t="s">
        <v>33</v>
      </c>
      <c r="B5" s="321" t="s">
        <v>311</v>
      </c>
      <c r="C5" s="321"/>
      <c r="D5" s="321"/>
      <c r="E5" s="321"/>
      <c r="F5" s="321">
        <v>1</v>
      </c>
      <c r="G5" s="321">
        <v>1</v>
      </c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>
        <f t="shared" si="0"/>
        <v>2</v>
      </c>
      <c r="AC5" s="321">
        <f t="shared" si="1"/>
        <v>0</v>
      </c>
    </row>
    <row r="6" spans="1:29">
      <c r="A6" s="321" t="s">
        <v>35</v>
      </c>
      <c r="B6" s="321" t="s">
        <v>312</v>
      </c>
      <c r="C6" s="321"/>
      <c r="D6" s="321"/>
      <c r="E6" s="321"/>
      <c r="F6" s="321">
        <v>1</v>
      </c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>
        <f t="shared" si="0"/>
        <v>1</v>
      </c>
      <c r="AC6" s="321">
        <f t="shared" si="1"/>
        <v>0</v>
      </c>
    </row>
    <row r="7" spans="1:29">
      <c r="A7" s="321" t="s">
        <v>37</v>
      </c>
      <c r="B7" s="321" t="s">
        <v>313</v>
      </c>
      <c r="C7" s="321"/>
      <c r="D7" s="321"/>
      <c r="E7" s="321"/>
      <c r="F7" s="321">
        <v>2</v>
      </c>
      <c r="G7" s="321">
        <v>2</v>
      </c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>
        <f t="shared" si="0"/>
        <v>4</v>
      </c>
      <c r="AC7" s="321">
        <f t="shared" si="1"/>
        <v>0</v>
      </c>
    </row>
    <row r="8" spans="1:29">
      <c r="A8" s="321" t="s">
        <v>39</v>
      </c>
      <c r="B8" s="321" t="s">
        <v>314</v>
      </c>
      <c r="C8" s="321"/>
      <c r="D8" s="321"/>
      <c r="E8" s="321"/>
      <c r="F8" s="321">
        <v>1</v>
      </c>
      <c r="G8" s="321">
        <v>1</v>
      </c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>
        <f t="shared" si="0"/>
        <v>2</v>
      </c>
      <c r="AC8" s="321">
        <f t="shared" si="1"/>
        <v>0</v>
      </c>
    </row>
    <row r="9" spans="1:29">
      <c r="A9" s="321" t="s">
        <v>41</v>
      </c>
      <c r="B9" s="321" t="s">
        <v>315</v>
      </c>
      <c r="C9" s="321"/>
      <c r="D9" s="321"/>
      <c r="E9" s="321"/>
      <c r="F9" s="321">
        <v>1</v>
      </c>
      <c r="G9" s="321">
        <v>1</v>
      </c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>
        <f t="shared" si="0"/>
        <v>2</v>
      </c>
      <c r="AC9" s="321">
        <f t="shared" si="1"/>
        <v>0</v>
      </c>
    </row>
    <row r="10" spans="1:29">
      <c r="A10" s="321" t="s">
        <v>43</v>
      </c>
      <c r="B10" s="321" t="s">
        <v>316</v>
      </c>
      <c r="C10" s="321"/>
      <c r="D10" s="321"/>
      <c r="E10" s="321"/>
      <c r="F10" s="321">
        <v>1</v>
      </c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>
        <f t="shared" si="0"/>
        <v>1</v>
      </c>
      <c r="AC10" s="321">
        <f t="shared" si="1"/>
        <v>0</v>
      </c>
    </row>
    <row r="11" spans="1:29">
      <c r="A11" s="321" t="s">
        <v>45</v>
      </c>
      <c r="B11" s="321" t="s">
        <v>40</v>
      </c>
      <c r="C11" s="321"/>
      <c r="D11" s="321"/>
      <c r="E11" s="321"/>
      <c r="F11" s="321">
        <v>2</v>
      </c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>
        <f t="shared" si="0"/>
        <v>2</v>
      </c>
      <c r="AC11" s="321">
        <f t="shared" si="1"/>
        <v>0</v>
      </c>
    </row>
    <row r="12" spans="1:29">
      <c r="A12" s="321" t="s">
        <v>47</v>
      </c>
      <c r="B12" s="321" t="s">
        <v>317</v>
      </c>
      <c r="C12" s="321"/>
      <c r="D12" s="321"/>
      <c r="E12" s="321"/>
      <c r="F12" s="321">
        <v>1</v>
      </c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>
        <f t="shared" si="0"/>
        <v>1</v>
      </c>
      <c r="AC12" s="321">
        <f t="shared" si="1"/>
        <v>0</v>
      </c>
    </row>
    <row r="13" spans="1:29">
      <c r="A13" s="321" t="s">
        <v>49</v>
      </c>
      <c r="B13" s="321" t="s">
        <v>70</v>
      </c>
      <c r="C13" s="321"/>
      <c r="D13" s="321"/>
      <c r="E13" s="321"/>
      <c r="F13" s="321">
        <v>6</v>
      </c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>
        <f t="shared" si="0"/>
        <v>6</v>
      </c>
      <c r="AC13" s="321">
        <f t="shared" si="1"/>
        <v>0</v>
      </c>
    </row>
    <row r="14" spans="1:29">
      <c r="A14" s="321" t="s">
        <v>51</v>
      </c>
      <c r="B14" s="321" t="s">
        <v>318</v>
      </c>
      <c r="C14" s="321"/>
      <c r="D14" s="321"/>
      <c r="E14" s="321"/>
      <c r="F14" s="321">
        <v>4</v>
      </c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>
        <f t="shared" si="0"/>
        <v>4</v>
      </c>
      <c r="AC14" s="321">
        <f t="shared" si="1"/>
        <v>0</v>
      </c>
    </row>
    <row r="15" spans="1:29">
      <c r="A15" s="321" t="s">
        <v>53</v>
      </c>
      <c r="B15" s="321" t="s">
        <v>319</v>
      </c>
      <c r="C15" s="321"/>
      <c r="D15" s="321"/>
      <c r="E15" s="321"/>
      <c r="F15" s="321">
        <v>5</v>
      </c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>
        <f t="shared" si="0"/>
        <v>5</v>
      </c>
      <c r="AC15" s="321">
        <f t="shared" si="1"/>
        <v>0</v>
      </c>
    </row>
    <row r="16" spans="1:29">
      <c r="A16" s="321" t="s">
        <v>55</v>
      </c>
      <c r="B16" s="321" t="s">
        <v>320</v>
      </c>
      <c r="C16" s="321"/>
      <c r="D16" s="321"/>
      <c r="E16" s="321"/>
      <c r="F16" s="321">
        <v>5</v>
      </c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>
        <f t="shared" si="0"/>
        <v>5</v>
      </c>
      <c r="AC16" s="321">
        <f t="shared" si="1"/>
        <v>0</v>
      </c>
    </row>
    <row r="17" spans="1:29">
      <c r="A17" s="321" t="s">
        <v>57</v>
      </c>
      <c r="B17" s="321" t="s">
        <v>321</v>
      </c>
      <c r="C17" s="321"/>
      <c r="D17" s="321"/>
      <c r="E17" s="321"/>
      <c r="F17" s="321">
        <v>1</v>
      </c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>
        <f t="shared" si="0"/>
        <v>1</v>
      </c>
      <c r="AC17" s="321">
        <f t="shared" si="1"/>
        <v>0</v>
      </c>
    </row>
    <row r="18" spans="1:29">
      <c r="A18" s="321" t="s">
        <v>59</v>
      </c>
      <c r="B18" s="321" t="s">
        <v>322</v>
      </c>
      <c r="C18" s="321"/>
      <c r="D18" s="321"/>
      <c r="E18" s="321"/>
      <c r="F18" s="321">
        <v>2</v>
      </c>
      <c r="G18" s="321">
        <v>2</v>
      </c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>
        <f t="shared" si="0"/>
        <v>4</v>
      </c>
      <c r="AC18" s="321">
        <f t="shared" si="1"/>
        <v>0</v>
      </c>
    </row>
    <row r="19" spans="1:29">
      <c r="A19" s="321" t="s">
        <v>61</v>
      </c>
      <c r="B19" s="321" t="s">
        <v>323</v>
      </c>
      <c r="C19" s="321"/>
      <c r="D19" s="321"/>
      <c r="E19" s="321"/>
      <c r="F19" s="321">
        <v>6</v>
      </c>
      <c r="G19" s="321">
        <v>6</v>
      </c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>
        <f t="shared" si="0"/>
        <v>12</v>
      </c>
      <c r="AC19" s="321">
        <f t="shared" si="1"/>
        <v>0</v>
      </c>
    </row>
    <row r="20" spans="1:29">
      <c r="A20" s="321" t="s">
        <v>63</v>
      </c>
      <c r="B20" s="321" t="s">
        <v>324</v>
      </c>
      <c r="C20" s="321"/>
      <c r="D20" s="321"/>
      <c r="E20" s="321"/>
      <c r="F20" s="321">
        <v>1</v>
      </c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>
        <f t="shared" si="0"/>
        <v>1</v>
      </c>
      <c r="AC20" s="321">
        <f t="shared" si="1"/>
        <v>0</v>
      </c>
    </row>
    <row r="21" spans="1:29">
      <c r="A21" s="321" t="s">
        <v>65</v>
      </c>
      <c r="B21" s="321" t="s">
        <v>325</v>
      </c>
      <c r="C21" s="321"/>
      <c r="D21" s="321"/>
      <c r="E21" s="321"/>
      <c r="F21" s="321">
        <v>8</v>
      </c>
      <c r="G21" s="321">
        <v>9</v>
      </c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>
        <f t="shared" si="0"/>
        <v>17</v>
      </c>
      <c r="AC21" s="321">
        <f t="shared" si="1"/>
        <v>0</v>
      </c>
    </row>
    <row r="22" spans="1:29">
      <c r="A22" s="321" t="s">
        <v>67</v>
      </c>
      <c r="B22" s="321" t="s">
        <v>326</v>
      </c>
      <c r="C22" s="321"/>
      <c r="D22" s="321"/>
      <c r="E22" s="321"/>
      <c r="F22" s="321">
        <v>1</v>
      </c>
      <c r="G22" s="321">
        <v>2</v>
      </c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>
        <f t="shared" si="0"/>
        <v>3</v>
      </c>
      <c r="AC22" s="321">
        <f t="shared" si="1"/>
        <v>0</v>
      </c>
    </row>
    <row r="23" spans="1:29">
      <c r="A23" s="321" t="s">
        <v>69</v>
      </c>
      <c r="B23" s="321" t="s">
        <v>327</v>
      </c>
      <c r="C23" s="321"/>
      <c r="D23" s="321"/>
      <c r="E23" s="321"/>
      <c r="F23" s="321">
        <v>3</v>
      </c>
      <c r="G23" s="321">
        <v>4</v>
      </c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>
        <f t="shared" si="0"/>
        <v>7</v>
      </c>
      <c r="AC23" s="321">
        <f t="shared" si="1"/>
        <v>0</v>
      </c>
    </row>
    <row r="24" spans="1:29">
      <c r="A24" s="321" t="s">
        <v>71</v>
      </c>
      <c r="B24" s="321" t="s">
        <v>328</v>
      </c>
      <c r="C24" s="321"/>
      <c r="D24" s="321"/>
      <c r="E24" s="321"/>
      <c r="F24" s="321">
        <v>3</v>
      </c>
      <c r="G24" s="321">
        <v>3</v>
      </c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>
        <f t="shared" si="0"/>
        <v>6</v>
      </c>
      <c r="AC24" s="321">
        <f t="shared" si="1"/>
        <v>0</v>
      </c>
    </row>
    <row r="25" spans="1:29">
      <c r="A25" s="321" t="s">
        <v>223</v>
      </c>
      <c r="B25" s="321" t="s">
        <v>329</v>
      </c>
      <c r="C25" s="321"/>
      <c r="D25" s="321"/>
      <c r="E25" s="321"/>
      <c r="F25" s="321">
        <v>1</v>
      </c>
      <c r="G25" s="321">
        <v>1</v>
      </c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>
        <f t="shared" si="0"/>
        <v>2</v>
      </c>
      <c r="AC25" s="321">
        <f t="shared" si="1"/>
        <v>0</v>
      </c>
    </row>
    <row r="26" spans="1:29">
      <c r="A26" s="321" t="s">
        <v>73</v>
      </c>
      <c r="B26" s="321" t="s">
        <v>330</v>
      </c>
      <c r="C26" s="321"/>
      <c r="D26" s="321"/>
      <c r="E26" s="321"/>
      <c r="F26" s="321">
        <v>1</v>
      </c>
      <c r="G26" s="321">
        <v>1</v>
      </c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>
        <f t="shared" si="0"/>
        <v>2</v>
      </c>
      <c r="AC26" s="321">
        <f t="shared" si="1"/>
        <v>0</v>
      </c>
    </row>
    <row r="27" spans="1:29">
      <c r="A27" s="321" t="s">
        <v>75</v>
      </c>
      <c r="B27" s="321" t="s">
        <v>331</v>
      </c>
      <c r="C27" s="321"/>
      <c r="D27" s="321"/>
      <c r="E27" s="321"/>
      <c r="F27" s="321">
        <v>1</v>
      </c>
      <c r="G27" s="321">
        <v>1</v>
      </c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>
        <f t="shared" si="0"/>
        <v>2</v>
      </c>
      <c r="AC27" s="321">
        <f t="shared" si="1"/>
        <v>0</v>
      </c>
    </row>
    <row r="28" spans="1:29">
      <c r="A28" s="321" t="s">
        <v>77</v>
      </c>
      <c r="B28" s="321" t="s">
        <v>332</v>
      </c>
      <c r="C28" s="321"/>
      <c r="D28" s="321"/>
      <c r="E28" s="321"/>
      <c r="F28" s="321"/>
      <c r="G28" s="321">
        <v>1</v>
      </c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>
        <f t="shared" si="0"/>
        <v>1</v>
      </c>
      <c r="AC28" s="321">
        <f t="shared" si="1"/>
        <v>0</v>
      </c>
    </row>
    <row r="29" spans="1:29">
      <c r="A29" s="321" t="s">
        <v>79</v>
      </c>
      <c r="B29" s="321" t="s">
        <v>157</v>
      </c>
      <c r="C29" s="321"/>
      <c r="D29" s="321"/>
      <c r="E29" s="321"/>
      <c r="F29" s="321"/>
      <c r="G29" s="321">
        <v>1</v>
      </c>
      <c r="H29" s="321">
        <v>2</v>
      </c>
      <c r="I29" s="321">
        <v>2</v>
      </c>
      <c r="J29" s="321">
        <v>2</v>
      </c>
      <c r="K29" s="321">
        <v>2</v>
      </c>
      <c r="L29" s="321">
        <v>2</v>
      </c>
      <c r="M29" s="321">
        <v>2</v>
      </c>
      <c r="N29" s="321">
        <v>2</v>
      </c>
      <c r="O29" s="321">
        <v>2</v>
      </c>
      <c r="P29" s="321">
        <v>2</v>
      </c>
      <c r="Q29" s="321">
        <v>2</v>
      </c>
      <c r="R29" s="321">
        <v>2</v>
      </c>
      <c r="S29" s="321">
        <v>2</v>
      </c>
      <c r="T29" s="321">
        <v>2</v>
      </c>
      <c r="U29" s="321">
        <v>2</v>
      </c>
      <c r="V29" s="321">
        <v>2</v>
      </c>
      <c r="W29" s="321">
        <v>2</v>
      </c>
      <c r="X29" s="321"/>
      <c r="Y29" s="321">
        <v>2</v>
      </c>
      <c r="Z29" s="321">
        <v>2</v>
      </c>
      <c r="AA29" s="321"/>
      <c r="AB29" s="321">
        <f t="shared" si="0"/>
        <v>37</v>
      </c>
      <c r="AC29" s="321">
        <f t="shared" si="1"/>
        <v>0</v>
      </c>
    </row>
    <row r="30" spans="1:29">
      <c r="A30" s="321" t="s">
        <v>81</v>
      </c>
      <c r="B30" s="321" t="s">
        <v>291</v>
      </c>
      <c r="C30" s="321"/>
      <c r="D30" s="321"/>
      <c r="E30" s="321"/>
      <c r="F30" s="321"/>
      <c r="G30" s="321">
        <v>2</v>
      </c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>
        <f t="shared" si="0"/>
        <v>2</v>
      </c>
      <c r="AC30" s="321">
        <f t="shared" si="1"/>
        <v>0</v>
      </c>
    </row>
    <row r="31" spans="1:29">
      <c r="A31" s="321" t="s">
        <v>83</v>
      </c>
      <c r="B31" s="321" t="s">
        <v>280</v>
      </c>
      <c r="C31" s="321"/>
      <c r="D31" s="321"/>
      <c r="E31" s="321"/>
      <c r="F31" s="321"/>
      <c r="G31" s="321">
        <v>2</v>
      </c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>
        <f t="shared" ref="AB31:AB52" si="2">SUM(E31:AA31)</f>
        <v>2</v>
      </c>
      <c r="AC31" s="321">
        <f t="shared" si="1"/>
        <v>0</v>
      </c>
    </row>
    <row r="32" spans="1:29">
      <c r="A32" s="321" t="s">
        <v>85</v>
      </c>
      <c r="B32" s="321" t="s">
        <v>333</v>
      </c>
      <c r="C32" s="321"/>
      <c r="D32" s="321"/>
      <c r="E32" s="321"/>
      <c r="F32" s="321"/>
      <c r="G32" s="321">
        <v>1</v>
      </c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>
        <f t="shared" si="2"/>
        <v>1</v>
      </c>
      <c r="AC32" s="321">
        <f t="shared" si="1"/>
        <v>0</v>
      </c>
    </row>
    <row r="33" spans="1:29">
      <c r="A33" s="321" t="s">
        <v>87</v>
      </c>
      <c r="B33" s="321" t="s">
        <v>235</v>
      </c>
      <c r="C33" s="321"/>
      <c r="D33" s="321"/>
      <c r="E33" s="321"/>
      <c r="F33" s="321"/>
      <c r="G33" s="321">
        <v>3</v>
      </c>
      <c r="H33" s="321">
        <v>6</v>
      </c>
      <c r="I33" s="321">
        <v>6</v>
      </c>
      <c r="J33" s="321">
        <v>6</v>
      </c>
      <c r="K33" s="321">
        <v>6</v>
      </c>
      <c r="L33" s="321">
        <v>6</v>
      </c>
      <c r="M33" s="321">
        <v>6</v>
      </c>
      <c r="N33" s="321">
        <v>6</v>
      </c>
      <c r="O33" s="321">
        <v>6</v>
      </c>
      <c r="P33" s="321">
        <v>6</v>
      </c>
      <c r="Q33" s="321">
        <v>6</v>
      </c>
      <c r="R33" s="321">
        <v>6</v>
      </c>
      <c r="S33" s="321">
        <v>6</v>
      </c>
      <c r="T33" s="321">
        <v>6</v>
      </c>
      <c r="U33" s="321">
        <v>6</v>
      </c>
      <c r="V33" s="321">
        <v>6</v>
      </c>
      <c r="W33" s="321">
        <v>6</v>
      </c>
      <c r="X33" s="321">
        <v>6</v>
      </c>
      <c r="Y33" s="321">
        <v>6</v>
      </c>
      <c r="Z33" s="321">
        <v>6</v>
      </c>
      <c r="AA33" s="321"/>
      <c r="AB33" s="321">
        <f t="shared" si="2"/>
        <v>117</v>
      </c>
      <c r="AC33" s="321">
        <f t="shared" si="1"/>
        <v>0</v>
      </c>
    </row>
    <row r="34" spans="1:29">
      <c r="A34" s="321" t="s">
        <v>89</v>
      </c>
      <c r="B34" s="321" t="s">
        <v>151</v>
      </c>
      <c r="C34" s="321"/>
      <c r="D34" s="321"/>
      <c r="E34" s="321"/>
      <c r="F34" s="321"/>
      <c r="G34" s="321">
        <v>2</v>
      </c>
      <c r="H34" s="321">
        <v>4</v>
      </c>
      <c r="I34" s="321">
        <v>4</v>
      </c>
      <c r="J34" s="321">
        <v>4</v>
      </c>
      <c r="K34" s="321">
        <v>4</v>
      </c>
      <c r="L34" s="321">
        <v>4</v>
      </c>
      <c r="M34" s="321">
        <v>4</v>
      </c>
      <c r="N34" s="321">
        <v>4</v>
      </c>
      <c r="O34" s="321">
        <v>4</v>
      </c>
      <c r="P34" s="321">
        <v>4</v>
      </c>
      <c r="Q34" s="321">
        <v>4</v>
      </c>
      <c r="R34" s="321">
        <v>4</v>
      </c>
      <c r="S34" s="321">
        <v>4</v>
      </c>
      <c r="T34" s="321">
        <v>4</v>
      </c>
      <c r="U34" s="321">
        <v>4</v>
      </c>
      <c r="V34" s="321">
        <v>4</v>
      </c>
      <c r="W34" s="321">
        <v>4</v>
      </c>
      <c r="X34" s="321">
        <v>4</v>
      </c>
      <c r="Y34" s="321">
        <v>4</v>
      </c>
      <c r="Z34" s="321">
        <v>4</v>
      </c>
      <c r="AA34" s="321"/>
      <c r="AB34" s="321">
        <f t="shared" si="2"/>
        <v>78</v>
      </c>
      <c r="AC34" s="321">
        <f t="shared" si="1"/>
        <v>0</v>
      </c>
    </row>
    <row r="35" spans="1:29">
      <c r="A35" s="321" t="s">
        <v>91</v>
      </c>
      <c r="B35" s="321" t="s">
        <v>334</v>
      </c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>
        <f t="shared" si="2"/>
        <v>0</v>
      </c>
      <c r="AC35" s="321">
        <f t="shared" si="1"/>
        <v>0</v>
      </c>
    </row>
    <row r="36" spans="1:29">
      <c r="A36" s="321" t="s">
        <v>93</v>
      </c>
      <c r="B36" s="321" t="s">
        <v>283</v>
      </c>
      <c r="C36" s="321"/>
      <c r="D36" s="321"/>
      <c r="E36" s="321"/>
      <c r="F36" s="321"/>
      <c r="G36" s="321">
        <v>1</v>
      </c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>
        <f t="shared" si="2"/>
        <v>1</v>
      </c>
      <c r="AC36" s="321">
        <f t="shared" si="1"/>
        <v>0</v>
      </c>
    </row>
    <row r="37" spans="1:29">
      <c r="A37" s="321" t="s">
        <v>95</v>
      </c>
      <c r="B37" s="321" t="s">
        <v>284</v>
      </c>
      <c r="C37" s="321"/>
      <c r="D37" s="321"/>
      <c r="E37" s="321"/>
      <c r="F37" s="321"/>
      <c r="G37" s="321">
        <v>1</v>
      </c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>
        <f t="shared" si="2"/>
        <v>1</v>
      </c>
      <c r="AC37" s="321">
        <f t="shared" si="1"/>
        <v>0</v>
      </c>
    </row>
    <row r="38" spans="1:29">
      <c r="A38" s="321" t="s">
        <v>97</v>
      </c>
      <c r="B38" s="321" t="s">
        <v>285</v>
      </c>
      <c r="C38" s="321"/>
      <c r="D38" s="321"/>
      <c r="E38" s="321"/>
      <c r="F38" s="321"/>
      <c r="G38" s="321">
        <v>1</v>
      </c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>
        <f t="shared" si="2"/>
        <v>1</v>
      </c>
      <c r="AC38" s="321">
        <f t="shared" si="1"/>
        <v>0</v>
      </c>
    </row>
    <row r="39" spans="1:29">
      <c r="A39" s="321" t="s">
        <v>99</v>
      </c>
      <c r="B39" s="321" t="s">
        <v>286</v>
      </c>
      <c r="C39" s="321"/>
      <c r="D39" s="321"/>
      <c r="E39" s="321"/>
      <c r="F39" s="321"/>
      <c r="G39" s="321">
        <v>1</v>
      </c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>
        <f t="shared" si="2"/>
        <v>1</v>
      </c>
      <c r="AC39" s="321">
        <f t="shared" si="1"/>
        <v>0</v>
      </c>
    </row>
    <row r="40" spans="1:29">
      <c r="A40" s="321" t="s">
        <v>101</v>
      </c>
      <c r="B40" s="321" t="s">
        <v>181</v>
      </c>
      <c r="C40" s="321"/>
      <c r="D40" s="321"/>
      <c r="E40" s="321"/>
      <c r="F40" s="321"/>
      <c r="G40" s="321">
        <v>1</v>
      </c>
      <c r="H40" s="321">
        <v>1</v>
      </c>
      <c r="I40" s="321">
        <v>2</v>
      </c>
      <c r="J40" s="321">
        <v>2</v>
      </c>
      <c r="K40" s="321">
        <v>2</v>
      </c>
      <c r="L40" s="321">
        <v>2</v>
      </c>
      <c r="M40" s="321">
        <v>2</v>
      </c>
      <c r="N40" s="321">
        <v>2</v>
      </c>
      <c r="O40" s="321">
        <v>2</v>
      </c>
      <c r="P40" s="321">
        <v>2</v>
      </c>
      <c r="Q40" s="321">
        <v>2</v>
      </c>
      <c r="R40" s="321">
        <v>2</v>
      </c>
      <c r="S40" s="321">
        <v>2</v>
      </c>
      <c r="T40" s="321">
        <v>2</v>
      </c>
      <c r="U40" s="321">
        <v>2</v>
      </c>
      <c r="V40" s="321">
        <v>2</v>
      </c>
      <c r="W40" s="321">
        <v>2</v>
      </c>
      <c r="X40" s="321">
        <v>2</v>
      </c>
      <c r="Y40" s="321">
        <v>2</v>
      </c>
      <c r="Z40" s="321">
        <v>0</v>
      </c>
      <c r="AA40" s="321"/>
      <c r="AB40" s="321">
        <f t="shared" si="2"/>
        <v>36</v>
      </c>
      <c r="AC40" s="321">
        <f t="shared" si="1"/>
        <v>0</v>
      </c>
    </row>
    <row r="41" spans="1:29">
      <c r="A41" s="321" t="s">
        <v>103</v>
      </c>
      <c r="B41" s="321" t="s">
        <v>163</v>
      </c>
      <c r="C41" s="321"/>
      <c r="D41" s="321"/>
      <c r="E41" s="321"/>
      <c r="F41" s="321"/>
      <c r="G41" s="321">
        <v>1</v>
      </c>
      <c r="H41" s="321">
        <v>2</v>
      </c>
      <c r="I41" s="321">
        <v>2</v>
      </c>
      <c r="J41" s="321">
        <v>2</v>
      </c>
      <c r="K41" s="321">
        <v>2</v>
      </c>
      <c r="L41" s="321">
        <v>2</v>
      </c>
      <c r="M41" s="321">
        <v>2</v>
      </c>
      <c r="N41" s="321">
        <v>2</v>
      </c>
      <c r="O41" s="321">
        <v>2</v>
      </c>
      <c r="P41" s="321">
        <v>2</v>
      </c>
      <c r="Q41" s="321">
        <v>2</v>
      </c>
      <c r="R41" s="321">
        <v>2</v>
      </c>
      <c r="S41" s="321">
        <v>2</v>
      </c>
      <c r="T41" s="321">
        <v>2</v>
      </c>
      <c r="U41" s="321">
        <v>2</v>
      </c>
      <c r="V41" s="321">
        <v>2</v>
      </c>
      <c r="W41" s="321">
        <v>2</v>
      </c>
      <c r="X41" s="321">
        <v>2</v>
      </c>
      <c r="Y41" s="321">
        <v>2</v>
      </c>
      <c r="Z41" s="321">
        <v>2</v>
      </c>
      <c r="AA41" s="321"/>
      <c r="AB41" s="321">
        <f t="shared" si="2"/>
        <v>39</v>
      </c>
      <c r="AC41" s="321">
        <f t="shared" si="1"/>
        <v>0</v>
      </c>
    </row>
    <row r="42" spans="1:29">
      <c r="A42" s="321" t="s">
        <v>105</v>
      </c>
      <c r="B42" s="321" t="s">
        <v>289</v>
      </c>
      <c r="C42" s="321"/>
      <c r="D42" s="321"/>
      <c r="E42" s="321"/>
      <c r="F42" s="321"/>
      <c r="G42" s="321">
        <v>1</v>
      </c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>
        <f t="shared" si="2"/>
        <v>1</v>
      </c>
      <c r="AC42" s="321">
        <f t="shared" si="1"/>
        <v>0</v>
      </c>
    </row>
    <row r="43" spans="1:29">
      <c r="A43" s="321" t="s">
        <v>107</v>
      </c>
      <c r="B43" s="321" t="s">
        <v>290</v>
      </c>
      <c r="C43" s="321"/>
      <c r="D43" s="321"/>
      <c r="E43" s="321"/>
      <c r="F43" s="321"/>
      <c r="G43" s="321">
        <v>1</v>
      </c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1">
        <f t="shared" si="2"/>
        <v>1</v>
      </c>
      <c r="AC43" s="321">
        <f t="shared" si="1"/>
        <v>0</v>
      </c>
    </row>
    <row r="44" spans="1:29">
      <c r="A44" s="321" t="s">
        <v>109</v>
      </c>
      <c r="B44" s="321" t="s">
        <v>252</v>
      </c>
      <c r="C44" s="321"/>
      <c r="D44" s="321"/>
      <c r="E44" s="321"/>
      <c r="F44" s="321"/>
      <c r="G44" s="321">
        <v>1</v>
      </c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>
        <f t="shared" si="2"/>
        <v>1</v>
      </c>
      <c r="AC44" s="321">
        <f t="shared" si="1"/>
        <v>0</v>
      </c>
    </row>
    <row r="45" spans="1:29">
      <c r="A45" s="321" t="s">
        <v>111</v>
      </c>
      <c r="B45" s="321" t="s">
        <v>292</v>
      </c>
      <c r="C45" s="321"/>
      <c r="D45" s="321"/>
      <c r="E45" s="321"/>
      <c r="F45" s="321"/>
      <c r="G45" s="321">
        <v>1</v>
      </c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>
        <f t="shared" si="2"/>
        <v>1</v>
      </c>
      <c r="AC45" s="321">
        <f t="shared" si="1"/>
        <v>0</v>
      </c>
    </row>
    <row r="46" spans="1:29">
      <c r="A46" s="321" t="s">
        <v>113</v>
      </c>
      <c r="B46" s="321" t="s">
        <v>293</v>
      </c>
      <c r="C46" s="321"/>
      <c r="D46" s="321"/>
      <c r="E46" s="321"/>
      <c r="F46" s="321"/>
      <c r="G46" s="321">
        <v>1</v>
      </c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>
        <f t="shared" si="2"/>
        <v>1</v>
      </c>
      <c r="AC46" s="321">
        <f t="shared" si="1"/>
        <v>0</v>
      </c>
    </row>
    <row r="47" spans="1:29">
      <c r="A47" s="321" t="s">
        <v>115</v>
      </c>
      <c r="B47" s="321" t="s">
        <v>177</v>
      </c>
      <c r="C47" s="321"/>
      <c r="D47" s="321"/>
      <c r="E47" s="321"/>
      <c r="F47" s="321"/>
      <c r="G47" s="321">
        <v>1</v>
      </c>
      <c r="H47" s="321">
        <v>1</v>
      </c>
      <c r="I47" s="321">
        <v>2</v>
      </c>
      <c r="J47" s="321">
        <v>2</v>
      </c>
      <c r="K47" s="321">
        <v>2</v>
      </c>
      <c r="L47" s="321">
        <v>2</v>
      </c>
      <c r="M47" s="321">
        <v>2</v>
      </c>
      <c r="N47" s="321">
        <v>2</v>
      </c>
      <c r="O47" s="321">
        <v>2</v>
      </c>
      <c r="P47" s="321">
        <v>2</v>
      </c>
      <c r="Q47" s="321">
        <v>2</v>
      </c>
      <c r="R47" s="321">
        <v>2</v>
      </c>
      <c r="S47" s="321">
        <v>2</v>
      </c>
      <c r="T47" s="321">
        <v>2</v>
      </c>
      <c r="U47" s="321">
        <v>2</v>
      </c>
      <c r="V47" s="321">
        <v>2</v>
      </c>
      <c r="W47" s="321">
        <v>2</v>
      </c>
      <c r="X47" s="321">
        <v>2</v>
      </c>
      <c r="Y47" s="321">
        <v>2</v>
      </c>
      <c r="Z47" s="321"/>
      <c r="AA47" s="321"/>
      <c r="AB47" s="321">
        <f t="shared" si="2"/>
        <v>36</v>
      </c>
      <c r="AC47" s="321">
        <f t="shared" si="1"/>
        <v>0</v>
      </c>
    </row>
    <row r="48" spans="1:29">
      <c r="A48" s="321" t="s">
        <v>117</v>
      </c>
      <c r="B48" s="321" t="s">
        <v>335</v>
      </c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  <c r="AA48" s="321"/>
      <c r="AB48" s="321">
        <f t="shared" si="2"/>
        <v>0</v>
      </c>
      <c r="AC48" s="321">
        <f t="shared" si="1"/>
        <v>0</v>
      </c>
    </row>
    <row r="49" spans="1:29">
      <c r="A49" s="321" t="s">
        <v>119</v>
      </c>
      <c r="B49" s="321" t="s">
        <v>295</v>
      </c>
      <c r="C49" s="321"/>
      <c r="D49" s="321"/>
      <c r="E49" s="321"/>
      <c r="F49" s="321"/>
      <c r="G49" s="321">
        <v>1</v>
      </c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  <c r="AA49" s="321"/>
      <c r="AB49" s="321">
        <f t="shared" si="2"/>
        <v>1</v>
      </c>
      <c r="AC49" s="321">
        <f t="shared" si="1"/>
        <v>0</v>
      </c>
    </row>
    <row r="50" spans="1:29">
      <c r="A50" s="321" t="s">
        <v>121</v>
      </c>
      <c r="B50" s="321" t="s">
        <v>271</v>
      </c>
      <c r="C50" s="321"/>
      <c r="D50" s="321"/>
      <c r="E50" s="321"/>
      <c r="F50" s="321"/>
      <c r="G50" s="321">
        <v>1</v>
      </c>
      <c r="H50" s="321">
        <v>1</v>
      </c>
      <c r="I50" s="321">
        <v>1</v>
      </c>
      <c r="J50" s="321">
        <v>1</v>
      </c>
      <c r="K50" s="321">
        <v>1</v>
      </c>
      <c r="L50" s="321">
        <v>1</v>
      </c>
      <c r="M50" s="321">
        <v>1</v>
      </c>
      <c r="N50" s="321">
        <v>1</v>
      </c>
      <c r="O50" s="321">
        <v>1</v>
      </c>
      <c r="P50" s="321">
        <v>1</v>
      </c>
      <c r="Q50" s="321">
        <v>1</v>
      </c>
      <c r="R50" s="321">
        <v>1</v>
      </c>
      <c r="S50" s="321">
        <v>1</v>
      </c>
      <c r="T50" s="321">
        <v>1</v>
      </c>
      <c r="U50" s="321">
        <v>1</v>
      </c>
      <c r="V50" s="321">
        <v>1</v>
      </c>
      <c r="W50" s="321">
        <v>1</v>
      </c>
      <c r="X50" s="321">
        <v>1</v>
      </c>
      <c r="Y50" s="321">
        <v>1</v>
      </c>
      <c r="Z50" s="321">
        <v>1</v>
      </c>
      <c r="AA50" s="321"/>
      <c r="AB50" s="321">
        <f t="shared" si="2"/>
        <v>20</v>
      </c>
      <c r="AC50" s="321">
        <f t="shared" si="1"/>
        <v>0</v>
      </c>
    </row>
    <row r="51" spans="1:29">
      <c r="A51" s="321" t="s">
        <v>123</v>
      </c>
      <c r="B51" s="322" t="s">
        <v>336</v>
      </c>
      <c r="C51" s="322"/>
      <c r="D51" s="322"/>
      <c r="E51" s="322"/>
      <c r="F51" s="322"/>
      <c r="G51" s="322">
        <v>1</v>
      </c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>
        <f t="shared" si="2"/>
        <v>1</v>
      </c>
      <c r="AC51" s="322">
        <f t="shared" si="1"/>
        <v>0</v>
      </c>
    </row>
    <row r="52" spans="1:30">
      <c r="A52" s="321" t="s">
        <v>125</v>
      </c>
      <c r="B52" s="321" t="s">
        <v>337</v>
      </c>
      <c r="C52" s="321"/>
      <c r="D52" s="321"/>
      <c r="E52" s="321"/>
      <c r="F52" s="321"/>
      <c r="G52" s="321">
        <v>1</v>
      </c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>
        <f t="shared" si="2"/>
        <v>1</v>
      </c>
      <c r="AC52" s="321">
        <f t="shared" si="1"/>
        <v>0</v>
      </c>
      <c r="AD52" s="321"/>
    </row>
    <row r="53" spans="1:30">
      <c r="A53" s="321" t="s">
        <v>127</v>
      </c>
      <c r="B53" s="321" t="s">
        <v>145</v>
      </c>
      <c r="C53" s="321"/>
      <c r="D53" s="321"/>
      <c r="E53" s="321"/>
      <c r="F53" s="321"/>
      <c r="G53" s="321"/>
      <c r="H53" s="321">
        <v>4</v>
      </c>
      <c r="I53" s="321">
        <v>4</v>
      </c>
      <c r="J53" s="321">
        <v>4</v>
      </c>
      <c r="K53" s="321">
        <v>4</v>
      </c>
      <c r="L53" s="321">
        <v>4</v>
      </c>
      <c r="M53" s="321">
        <v>4</v>
      </c>
      <c r="N53" s="321">
        <v>4</v>
      </c>
      <c r="O53" s="321">
        <v>4</v>
      </c>
      <c r="P53" s="321">
        <v>4</v>
      </c>
      <c r="Q53" s="321">
        <v>4</v>
      </c>
      <c r="R53" s="321">
        <v>4</v>
      </c>
      <c r="S53" s="321">
        <v>4</v>
      </c>
      <c r="T53" s="321">
        <v>4</v>
      </c>
      <c r="U53" s="321">
        <v>4</v>
      </c>
      <c r="V53" s="321">
        <v>4</v>
      </c>
      <c r="W53" s="321">
        <v>4</v>
      </c>
      <c r="X53" s="321">
        <v>4</v>
      </c>
      <c r="Y53" s="321">
        <v>4</v>
      </c>
      <c r="Z53" s="321">
        <v>4</v>
      </c>
      <c r="AA53" s="321"/>
      <c r="AB53" s="321">
        <f t="shared" ref="AB53:AB72" si="3">SUM(E53:AA53)</f>
        <v>76</v>
      </c>
      <c r="AC53" s="321">
        <f t="shared" ref="AC53:AC73" si="4">C53*D53*AB53/1000000</f>
        <v>0</v>
      </c>
      <c r="AD53" s="321"/>
    </row>
    <row r="54" spans="1:30">
      <c r="A54" s="321" t="s">
        <v>129</v>
      </c>
      <c r="B54" s="321" t="s">
        <v>147</v>
      </c>
      <c r="C54" s="321"/>
      <c r="D54" s="321"/>
      <c r="E54" s="321"/>
      <c r="F54" s="321"/>
      <c r="G54" s="321"/>
      <c r="H54" s="321">
        <v>3</v>
      </c>
      <c r="I54" s="321">
        <v>3</v>
      </c>
      <c r="J54" s="321">
        <v>3</v>
      </c>
      <c r="K54" s="321">
        <v>3</v>
      </c>
      <c r="L54" s="321">
        <v>3</v>
      </c>
      <c r="M54" s="321">
        <v>3</v>
      </c>
      <c r="N54" s="321">
        <v>3</v>
      </c>
      <c r="O54" s="321">
        <v>3</v>
      </c>
      <c r="P54" s="321">
        <v>3</v>
      </c>
      <c r="Q54" s="321">
        <v>3</v>
      </c>
      <c r="R54" s="321">
        <v>3</v>
      </c>
      <c r="S54" s="321">
        <v>3</v>
      </c>
      <c r="T54" s="321">
        <v>3</v>
      </c>
      <c r="U54" s="321">
        <v>3</v>
      </c>
      <c r="V54" s="321">
        <v>3</v>
      </c>
      <c r="W54" s="321">
        <v>3</v>
      </c>
      <c r="X54" s="321">
        <v>3</v>
      </c>
      <c r="Y54" s="321">
        <v>3</v>
      </c>
      <c r="Z54" s="321">
        <v>3</v>
      </c>
      <c r="AA54" s="321"/>
      <c r="AB54" s="321">
        <f t="shared" si="3"/>
        <v>57</v>
      </c>
      <c r="AC54" s="321">
        <f t="shared" si="4"/>
        <v>0</v>
      </c>
      <c r="AD54" s="321"/>
    </row>
    <row r="55" spans="1:30">
      <c r="A55" s="321" t="s">
        <v>131</v>
      </c>
      <c r="B55" s="321" t="s">
        <v>153</v>
      </c>
      <c r="C55" s="321"/>
      <c r="D55" s="321"/>
      <c r="E55" s="321"/>
      <c r="F55" s="321"/>
      <c r="G55" s="321">
        <v>1</v>
      </c>
      <c r="H55" s="321">
        <v>4</v>
      </c>
      <c r="I55" s="321">
        <v>4</v>
      </c>
      <c r="J55" s="321">
        <v>4</v>
      </c>
      <c r="K55" s="321">
        <v>4</v>
      </c>
      <c r="L55" s="321">
        <v>4</v>
      </c>
      <c r="M55" s="321">
        <v>4</v>
      </c>
      <c r="N55" s="321">
        <v>4</v>
      </c>
      <c r="O55" s="321">
        <v>4</v>
      </c>
      <c r="P55" s="321">
        <v>4</v>
      </c>
      <c r="Q55" s="321">
        <v>4</v>
      </c>
      <c r="R55" s="321">
        <v>4</v>
      </c>
      <c r="S55" s="321">
        <v>4</v>
      </c>
      <c r="T55" s="321">
        <v>4</v>
      </c>
      <c r="U55" s="321">
        <v>4</v>
      </c>
      <c r="V55" s="321">
        <v>4</v>
      </c>
      <c r="W55" s="321">
        <v>4</v>
      </c>
      <c r="X55" s="321">
        <v>4</v>
      </c>
      <c r="Y55" s="321">
        <v>4</v>
      </c>
      <c r="Z55" s="321">
        <v>4</v>
      </c>
      <c r="AA55" s="321"/>
      <c r="AB55" s="321">
        <f t="shared" si="3"/>
        <v>77</v>
      </c>
      <c r="AC55" s="321">
        <f t="shared" si="4"/>
        <v>0</v>
      </c>
      <c r="AD55" s="321"/>
    </row>
    <row r="56" spans="1:30">
      <c r="A56" s="321" t="s">
        <v>133</v>
      </c>
      <c r="B56" s="321" t="s">
        <v>159</v>
      </c>
      <c r="C56" s="321"/>
      <c r="D56" s="321"/>
      <c r="E56" s="321"/>
      <c r="F56" s="321"/>
      <c r="G56" s="321"/>
      <c r="H56" s="321">
        <v>1</v>
      </c>
      <c r="I56" s="321">
        <v>1</v>
      </c>
      <c r="J56" s="321">
        <v>1</v>
      </c>
      <c r="K56" s="321">
        <v>1</v>
      </c>
      <c r="L56" s="321">
        <v>1</v>
      </c>
      <c r="M56" s="321">
        <v>1</v>
      </c>
      <c r="N56" s="321">
        <v>1</v>
      </c>
      <c r="O56" s="321">
        <v>1</v>
      </c>
      <c r="P56" s="321">
        <v>1</v>
      </c>
      <c r="Q56" s="321">
        <v>1</v>
      </c>
      <c r="R56" s="321">
        <v>1</v>
      </c>
      <c r="S56" s="321">
        <v>1</v>
      </c>
      <c r="T56" s="321">
        <v>1</v>
      </c>
      <c r="U56" s="321">
        <v>1</v>
      </c>
      <c r="V56" s="321">
        <v>1</v>
      </c>
      <c r="W56" s="321">
        <v>1</v>
      </c>
      <c r="X56" s="321">
        <v>1</v>
      </c>
      <c r="Y56" s="321">
        <v>1</v>
      </c>
      <c r="Z56" s="321">
        <v>1</v>
      </c>
      <c r="AA56" s="321"/>
      <c r="AB56" s="321">
        <f t="shared" si="3"/>
        <v>19</v>
      </c>
      <c r="AC56" s="321">
        <f t="shared" si="4"/>
        <v>0</v>
      </c>
      <c r="AD56" s="321"/>
    </row>
    <row r="57" spans="1:30">
      <c r="A57" s="321" t="s">
        <v>135</v>
      </c>
      <c r="B57" s="321" t="s">
        <v>300</v>
      </c>
      <c r="C57" s="321"/>
      <c r="D57" s="321"/>
      <c r="E57" s="321"/>
      <c r="F57" s="321"/>
      <c r="G57" s="321"/>
      <c r="H57" s="321">
        <v>2</v>
      </c>
      <c r="I57" s="321">
        <v>2</v>
      </c>
      <c r="J57" s="321">
        <v>2</v>
      </c>
      <c r="K57" s="321">
        <v>2</v>
      </c>
      <c r="L57" s="321">
        <v>2</v>
      </c>
      <c r="M57" s="321">
        <v>2</v>
      </c>
      <c r="N57" s="321">
        <v>2</v>
      </c>
      <c r="O57" s="321">
        <v>2</v>
      </c>
      <c r="P57" s="321">
        <v>2</v>
      </c>
      <c r="Q57" s="321">
        <v>2</v>
      </c>
      <c r="R57" s="321">
        <v>2</v>
      </c>
      <c r="S57" s="321">
        <v>2</v>
      </c>
      <c r="T57" s="321">
        <v>2</v>
      </c>
      <c r="U57" s="321">
        <v>2</v>
      </c>
      <c r="V57" s="321">
        <v>2</v>
      </c>
      <c r="W57" s="321">
        <v>2</v>
      </c>
      <c r="X57" s="321">
        <v>2</v>
      </c>
      <c r="Y57" s="321">
        <v>2</v>
      </c>
      <c r="Z57" s="321">
        <v>2</v>
      </c>
      <c r="AA57" s="321"/>
      <c r="AB57" s="321">
        <f t="shared" si="3"/>
        <v>38</v>
      </c>
      <c r="AC57" s="321">
        <f t="shared" si="4"/>
        <v>0</v>
      </c>
      <c r="AD57" s="321"/>
    </row>
    <row r="58" spans="1:30">
      <c r="A58" s="321" t="s">
        <v>137</v>
      </c>
      <c r="B58" s="321" t="s">
        <v>302</v>
      </c>
      <c r="C58" s="321"/>
      <c r="D58" s="321"/>
      <c r="E58" s="321"/>
      <c r="F58" s="321"/>
      <c r="G58" s="321"/>
      <c r="H58" s="321"/>
      <c r="I58" s="321">
        <v>1</v>
      </c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>
        <v>2</v>
      </c>
      <c r="Z58" s="321"/>
      <c r="AA58" s="321"/>
      <c r="AB58" s="321">
        <f t="shared" si="3"/>
        <v>3</v>
      </c>
      <c r="AC58" s="321">
        <f t="shared" si="4"/>
        <v>0</v>
      </c>
      <c r="AD58" s="321"/>
    </row>
    <row r="59" spans="1:30">
      <c r="A59" s="321" t="s">
        <v>138</v>
      </c>
      <c r="B59" s="321" t="s">
        <v>143</v>
      </c>
      <c r="C59" s="321"/>
      <c r="D59" s="321"/>
      <c r="E59" s="321"/>
      <c r="F59" s="321"/>
      <c r="G59" s="321"/>
      <c r="H59" s="321">
        <v>2</v>
      </c>
      <c r="I59" s="321">
        <v>2</v>
      </c>
      <c r="J59" s="321">
        <v>2</v>
      </c>
      <c r="K59" s="321">
        <v>2</v>
      </c>
      <c r="L59" s="321">
        <v>2</v>
      </c>
      <c r="M59" s="321">
        <v>2</v>
      </c>
      <c r="N59" s="321">
        <v>2</v>
      </c>
      <c r="O59" s="321">
        <v>2</v>
      </c>
      <c r="P59" s="321">
        <v>2</v>
      </c>
      <c r="Q59" s="321">
        <v>2</v>
      </c>
      <c r="R59" s="321">
        <v>2</v>
      </c>
      <c r="S59" s="321">
        <v>2</v>
      </c>
      <c r="T59" s="321">
        <v>2</v>
      </c>
      <c r="U59" s="321">
        <v>2</v>
      </c>
      <c r="V59" s="321">
        <v>2</v>
      </c>
      <c r="W59" s="321">
        <v>2</v>
      </c>
      <c r="X59" s="321">
        <v>2</v>
      </c>
      <c r="Y59" s="321">
        <v>2</v>
      </c>
      <c r="Z59" s="321">
        <v>2</v>
      </c>
      <c r="AA59" s="321"/>
      <c r="AB59" s="321">
        <f t="shared" si="3"/>
        <v>38</v>
      </c>
      <c r="AC59" s="321">
        <f t="shared" si="4"/>
        <v>0</v>
      </c>
      <c r="AD59" s="321"/>
    </row>
    <row r="60" spans="1:30">
      <c r="A60" s="321" t="s">
        <v>140</v>
      </c>
      <c r="B60" s="321" t="s">
        <v>141</v>
      </c>
      <c r="C60" s="321"/>
      <c r="D60" s="321"/>
      <c r="E60" s="321"/>
      <c r="F60" s="321"/>
      <c r="G60" s="321"/>
      <c r="H60" s="321">
        <v>2</v>
      </c>
      <c r="I60" s="321">
        <v>2</v>
      </c>
      <c r="J60" s="321">
        <v>2</v>
      </c>
      <c r="K60" s="321">
        <v>2</v>
      </c>
      <c r="L60" s="321">
        <v>2</v>
      </c>
      <c r="M60" s="321">
        <v>2</v>
      </c>
      <c r="N60" s="321">
        <v>2</v>
      </c>
      <c r="O60" s="321">
        <v>2</v>
      </c>
      <c r="P60" s="321">
        <v>2</v>
      </c>
      <c r="Q60" s="321">
        <v>2</v>
      </c>
      <c r="R60" s="321">
        <v>2</v>
      </c>
      <c r="S60" s="321">
        <v>2</v>
      </c>
      <c r="T60" s="321">
        <v>2</v>
      </c>
      <c r="U60" s="321">
        <v>2</v>
      </c>
      <c r="V60" s="321">
        <v>2</v>
      </c>
      <c r="W60" s="321">
        <v>2</v>
      </c>
      <c r="X60" s="321">
        <v>2</v>
      </c>
      <c r="Y60" s="321">
        <v>2</v>
      </c>
      <c r="Z60" s="321">
        <v>2</v>
      </c>
      <c r="AA60" s="321"/>
      <c r="AB60" s="321">
        <f t="shared" si="3"/>
        <v>38</v>
      </c>
      <c r="AC60" s="321">
        <f t="shared" si="4"/>
        <v>0</v>
      </c>
      <c r="AD60" s="321"/>
    </row>
    <row r="61" spans="1:30">
      <c r="A61" s="321" t="s">
        <v>142</v>
      </c>
      <c r="B61" s="321" t="s">
        <v>179</v>
      </c>
      <c r="C61" s="321"/>
      <c r="D61" s="321"/>
      <c r="E61" s="321"/>
      <c r="F61" s="321"/>
      <c r="G61" s="321"/>
      <c r="H61" s="321">
        <v>1</v>
      </c>
      <c r="I61" s="321">
        <v>1</v>
      </c>
      <c r="J61" s="321">
        <v>2</v>
      </c>
      <c r="K61" s="321">
        <v>2</v>
      </c>
      <c r="L61" s="321">
        <v>2</v>
      </c>
      <c r="M61" s="321">
        <v>2</v>
      </c>
      <c r="N61" s="321">
        <v>2</v>
      </c>
      <c r="O61" s="321">
        <v>2</v>
      </c>
      <c r="P61" s="321">
        <v>2</v>
      </c>
      <c r="Q61" s="321">
        <v>2</v>
      </c>
      <c r="R61" s="321">
        <v>2</v>
      </c>
      <c r="S61" s="321">
        <v>2</v>
      </c>
      <c r="T61" s="321">
        <v>2</v>
      </c>
      <c r="U61" s="321">
        <v>2</v>
      </c>
      <c r="V61" s="321">
        <v>2</v>
      </c>
      <c r="W61" s="321">
        <v>2</v>
      </c>
      <c r="X61" s="321">
        <v>2</v>
      </c>
      <c r="Y61" s="321">
        <v>2</v>
      </c>
      <c r="Z61" s="321"/>
      <c r="AA61" s="321"/>
      <c r="AB61" s="321">
        <f t="shared" si="3"/>
        <v>34</v>
      </c>
      <c r="AC61" s="321">
        <f t="shared" si="4"/>
        <v>0</v>
      </c>
      <c r="AD61" s="321"/>
    </row>
    <row r="62" spans="1:30">
      <c r="A62" s="321" t="s">
        <v>144</v>
      </c>
      <c r="B62" s="321" t="s">
        <v>169</v>
      </c>
      <c r="C62" s="321"/>
      <c r="D62" s="321"/>
      <c r="E62" s="321"/>
      <c r="F62" s="321"/>
      <c r="G62" s="321"/>
      <c r="H62" s="321">
        <v>2</v>
      </c>
      <c r="I62" s="321">
        <v>2</v>
      </c>
      <c r="J62" s="321">
        <v>2</v>
      </c>
      <c r="K62" s="321">
        <v>2</v>
      </c>
      <c r="L62" s="321">
        <v>2</v>
      </c>
      <c r="M62" s="321">
        <v>2</v>
      </c>
      <c r="N62" s="321">
        <v>2</v>
      </c>
      <c r="O62" s="321">
        <v>2</v>
      </c>
      <c r="P62" s="321">
        <v>2</v>
      </c>
      <c r="Q62" s="321">
        <v>2</v>
      </c>
      <c r="R62" s="321">
        <v>2</v>
      </c>
      <c r="S62" s="321">
        <v>2</v>
      </c>
      <c r="T62" s="321">
        <v>2</v>
      </c>
      <c r="U62" s="321">
        <v>2</v>
      </c>
      <c r="V62" s="321">
        <v>2</v>
      </c>
      <c r="W62" s="321">
        <v>2</v>
      </c>
      <c r="X62" s="321">
        <v>2</v>
      </c>
      <c r="Y62" s="321">
        <v>2</v>
      </c>
      <c r="Z62" s="321">
        <v>2</v>
      </c>
      <c r="AA62" s="321"/>
      <c r="AB62" s="321">
        <f t="shared" si="3"/>
        <v>38</v>
      </c>
      <c r="AC62" s="321">
        <f t="shared" si="4"/>
        <v>0</v>
      </c>
      <c r="AD62" s="321"/>
    </row>
    <row r="63" spans="1:30">
      <c r="A63" s="321" t="s">
        <v>146</v>
      </c>
      <c r="B63" s="321" t="s">
        <v>161</v>
      </c>
      <c r="C63" s="321"/>
      <c r="D63" s="321"/>
      <c r="E63" s="321"/>
      <c r="F63" s="321"/>
      <c r="G63" s="321"/>
      <c r="H63" s="321">
        <v>2</v>
      </c>
      <c r="I63" s="321">
        <v>2</v>
      </c>
      <c r="J63" s="321">
        <v>2</v>
      </c>
      <c r="K63" s="321">
        <v>2</v>
      </c>
      <c r="L63" s="321">
        <v>2</v>
      </c>
      <c r="M63" s="321">
        <v>2</v>
      </c>
      <c r="N63" s="321">
        <v>2</v>
      </c>
      <c r="O63" s="321">
        <v>2</v>
      </c>
      <c r="P63" s="321">
        <v>2</v>
      </c>
      <c r="Q63" s="321">
        <v>2</v>
      </c>
      <c r="R63" s="321">
        <v>2</v>
      </c>
      <c r="S63" s="321">
        <v>2</v>
      </c>
      <c r="T63" s="321">
        <v>2</v>
      </c>
      <c r="U63" s="321">
        <v>2</v>
      </c>
      <c r="V63" s="321">
        <v>2</v>
      </c>
      <c r="W63" s="321">
        <v>2</v>
      </c>
      <c r="X63" s="321">
        <v>2</v>
      </c>
      <c r="Y63" s="321">
        <v>2</v>
      </c>
      <c r="Z63" s="321"/>
      <c r="AA63" s="321"/>
      <c r="AB63" s="321">
        <f t="shared" si="3"/>
        <v>36</v>
      </c>
      <c r="AC63" s="321">
        <f t="shared" si="4"/>
        <v>0</v>
      </c>
      <c r="AD63" s="321"/>
    </row>
    <row r="64" spans="1:30">
      <c r="A64" s="321" t="s">
        <v>148</v>
      </c>
      <c r="B64" s="321" t="s">
        <v>338</v>
      </c>
      <c r="C64" s="321"/>
      <c r="D64" s="321"/>
      <c r="E64" s="321"/>
      <c r="F64" s="321"/>
      <c r="G64" s="321"/>
      <c r="H64" s="321">
        <v>1</v>
      </c>
      <c r="I64" s="321">
        <v>1</v>
      </c>
      <c r="J64" s="321">
        <v>1</v>
      </c>
      <c r="K64" s="321">
        <v>1</v>
      </c>
      <c r="L64" s="321">
        <v>1</v>
      </c>
      <c r="M64" s="321">
        <v>1</v>
      </c>
      <c r="N64" s="321">
        <v>1</v>
      </c>
      <c r="O64" s="321">
        <v>1</v>
      </c>
      <c r="P64" s="321">
        <v>1</v>
      </c>
      <c r="Q64" s="321">
        <v>1</v>
      </c>
      <c r="R64" s="321">
        <v>1</v>
      </c>
      <c r="S64" s="321">
        <v>1</v>
      </c>
      <c r="T64" s="321">
        <v>1</v>
      </c>
      <c r="U64" s="321">
        <v>1</v>
      </c>
      <c r="V64" s="321">
        <v>1</v>
      </c>
      <c r="W64" s="321">
        <v>1</v>
      </c>
      <c r="X64" s="321">
        <v>1</v>
      </c>
      <c r="Y64" s="321">
        <v>1</v>
      </c>
      <c r="Z64" s="321">
        <v>1</v>
      </c>
      <c r="AA64" s="321">
        <v>1</v>
      </c>
      <c r="AB64" s="321">
        <f t="shared" si="3"/>
        <v>20</v>
      </c>
      <c r="AC64" s="321">
        <f t="shared" si="4"/>
        <v>0</v>
      </c>
      <c r="AD64" s="321"/>
    </row>
    <row r="65" spans="1:30">
      <c r="A65" s="321" t="s">
        <v>150</v>
      </c>
      <c r="B65" s="321" t="s">
        <v>301</v>
      </c>
      <c r="C65" s="321"/>
      <c r="D65" s="321"/>
      <c r="E65" s="321"/>
      <c r="F65" s="321"/>
      <c r="G65" s="321"/>
      <c r="H65" s="321">
        <v>1</v>
      </c>
      <c r="I65" s="321">
        <v>1</v>
      </c>
      <c r="J65" s="321">
        <v>1</v>
      </c>
      <c r="K65" s="321">
        <v>1</v>
      </c>
      <c r="L65" s="321">
        <v>1</v>
      </c>
      <c r="M65" s="321">
        <v>1</v>
      </c>
      <c r="N65" s="321">
        <v>1</v>
      </c>
      <c r="O65" s="321">
        <v>1</v>
      </c>
      <c r="P65" s="321">
        <v>1</v>
      </c>
      <c r="Q65" s="321">
        <v>1</v>
      </c>
      <c r="R65" s="321">
        <v>1</v>
      </c>
      <c r="S65" s="321">
        <v>1</v>
      </c>
      <c r="T65" s="321">
        <v>1</v>
      </c>
      <c r="U65" s="321">
        <v>1</v>
      </c>
      <c r="V65" s="321">
        <v>1</v>
      </c>
      <c r="W65" s="321">
        <v>1</v>
      </c>
      <c r="X65" s="321">
        <v>1</v>
      </c>
      <c r="Y65" s="321">
        <v>1</v>
      </c>
      <c r="Z65" s="321">
        <v>1</v>
      </c>
      <c r="AA65" s="321">
        <v>1</v>
      </c>
      <c r="AB65" s="321">
        <f t="shared" si="3"/>
        <v>20</v>
      </c>
      <c r="AC65" s="321">
        <f t="shared" si="4"/>
        <v>0</v>
      </c>
      <c r="AD65" s="321"/>
    </row>
    <row r="66" spans="1:30">
      <c r="A66" s="321" t="s">
        <v>152</v>
      </c>
      <c r="B66" s="321" t="s">
        <v>339</v>
      </c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>
        <v>2</v>
      </c>
      <c r="Y66" s="321"/>
      <c r="Z66" s="321"/>
      <c r="AA66" s="321"/>
      <c r="AB66" s="321">
        <f t="shared" si="3"/>
        <v>2</v>
      </c>
      <c r="AC66" s="321">
        <f t="shared" si="4"/>
        <v>0</v>
      </c>
      <c r="AD66" s="321"/>
    </row>
    <row r="67" spans="1:30">
      <c r="A67" s="321" t="s">
        <v>154</v>
      </c>
      <c r="B67" s="321" t="s">
        <v>175</v>
      </c>
      <c r="C67" s="321"/>
      <c r="D67" s="321"/>
      <c r="E67" s="321"/>
      <c r="F67" s="321"/>
      <c r="G67" s="321"/>
      <c r="H67" s="321">
        <v>1</v>
      </c>
      <c r="I67" s="321">
        <v>1</v>
      </c>
      <c r="J67" s="321">
        <v>1</v>
      </c>
      <c r="K67" s="321">
        <v>1</v>
      </c>
      <c r="L67" s="321">
        <v>1</v>
      </c>
      <c r="M67" s="321">
        <v>1</v>
      </c>
      <c r="N67" s="321">
        <v>1</v>
      </c>
      <c r="O67" s="321">
        <v>1</v>
      </c>
      <c r="P67" s="321">
        <v>1</v>
      </c>
      <c r="Q67" s="321">
        <v>1</v>
      </c>
      <c r="R67" s="321">
        <v>1</v>
      </c>
      <c r="S67" s="321">
        <v>1</v>
      </c>
      <c r="T67" s="321">
        <v>1</v>
      </c>
      <c r="U67" s="321">
        <v>1</v>
      </c>
      <c r="V67" s="321">
        <v>1</v>
      </c>
      <c r="W67" s="321">
        <v>1</v>
      </c>
      <c r="X67" s="321">
        <v>1</v>
      </c>
      <c r="Y67" s="321">
        <v>1</v>
      </c>
      <c r="Z67" s="321">
        <v>1</v>
      </c>
      <c r="AA67" s="321"/>
      <c r="AB67" s="321">
        <f t="shared" si="3"/>
        <v>19</v>
      </c>
      <c r="AC67" s="321">
        <f t="shared" si="4"/>
        <v>0</v>
      </c>
      <c r="AD67" s="321"/>
    </row>
    <row r="68" spans="1:30">
      <c r="A68" s="321" t="s">
        <v>156</v>
      </c>
      <c r="B68" s="321" t="s">
        <v>340</v>
      </c>
      <c r="C68" s="321"/>
      <c r="D68" s="321"/>
      <c r="E68" s="321"/>
      <c r="F68" s="321"/>
      <c r="G68" s="321"/>
      <c r="H68" s="321">
        <v>1</v>
      </c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>
        <v>2</v>
      </c>
      <c r="AA68" s="321"/>
      <c r="AB68" s="321">
        <f t="shared" si="3"/>
        <v>3</v>
      </c>
      <c r="AC68" s="321">
        <f t="shared" si="4"/>
        <v>0</v>
      </c>
      <c r="AD68" s="321"/>
    </row>
    <row r="69" spans="1:30">
      <c r="A69" s="321" t="s">
        <v>158</v>
      </c>
      <c r="B69" s="321" t="s">
        <v>299</v>
      </c>
      <c r="C69" s="321"/>
      <c r="D69" s="321"/>
      <c r="E69" s="321"/>
      <c r="F69" s="321"/>
      <c r="G69" s="321"/>
      <c r="H69" s="321">
        <v>1</v>
      </c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321"/>
      <c r="AB69" s="321">
        <f t="shared" si="3"/>
        <v>1</v>
      </c>
      <c r="AC69" s="321">
        <f t="shared" si="4"/>
        <v>0</v>
      </c>
      <c r="AD69" s="321"/>
    </row>
    <row r="70" spans="1:30">
      <c r="A70" s="321" t="s">
        <v>160</v>
      </c>
      <c r="B70" s="321" t="s">
        <v>341</v>
      </c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>
        <v>2</v>
      </c>
      <c r="Z70" s="321"/>
      <c r="AA70" s="321"/>
      <c r="AB70" s="321">
        <f t="shared" si="3"/>
        <v>2</v>
      </c>
      <c r="AC70" s="321">
        <f t="shared" si="4"/>
        <v>0</v>
      </c>
      <c r="AD70" s="321"/>
    </row>
    <row r="71" spans="1:30">
      <c r="A71" s="321" t="s">
        <v>162</v>
      </c>
      <c r="B71" s="321" t="s">
        <v>305</v>
      </c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>
        <v>2</v>
      </c>
      <c r="Z71" s="321"/>
      <c r="AA71" s="321"/>
      <c r="AB71" s="321">
        <f t="shared" si="3"/>
        <v>2</v>
      </c>
      <c r="AC71" s="321">
        <f t="shared" si="4"/>
        <v>0</v>
      </c>
      <c r="AD71" s="321"/>
    </row>
    <row r="72" spans="1:30">
      <c r="A72" s="321" t="s">
        <v>164</v>
      </c>
      <c r="B72" s="321" t="s">
        <v>191</v>
      </c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  <c r="AA72" s="321">
        <v>3</v>
      </c>
      <c r="AB72" s="321">
        <f t="shared" si="3"/>
        <v>3</v>
      </c>
      <c r="AC72" s="321">
        <f t="shared" si="4"/>
        <v>0</v>
      </c>
      <c r="AD72" s="321"/>
    </row>
    <row r="73" spans="1:29">
      <c r="A73" s="321"/>
      <c r="AB73" s="321"/>
      <c r="AC73" s="321">
        <f t="shared" si="4"/>
        <v>0</v>
      </c>
    </row>
    <row r="74" spans="1:1">
      <c r="A74" s="321"/>
    </row>
    <row r="75" spans="1:28">
      <c r="A75" s="321"/>
      <c r="AB75">
        <f>SUM(AB3:AB74)</f>
        <v>1003</v>
      </c>
    </row>
    <row r="76" spans="1:1">
      <c r="A76" s="321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N11" sqref="N11"/>
    </sheetView>
  </sheetViews>
  <sheetFormatPr defaultColWidth="9" defaultRowHeight="14.25" outlineLevelCol="6"/>
  <cols>
    <col min="1" max="1" width="21" style="45" customWidth="1"/>
    <col min="2" max="2" width="28.125" style="45" customWidth="1"/>
    <col min="3" max="3" width="13.625" style="45" customWidth="1"/>
    <col min="4" max="4" width="26.5" style="45" customWidth="1"/>
    <col min="5" max="5" width="17.125" style="45" hidden="1" customWidth="1"/>
    <col min="6" max="6" width="10.5" style="45" hidden="1" customWidth="1"/>
    <col min="7" max="7" width="24.375" style="45" customWidth="1"/>
    <col min="8" max="8" width="9" style="45"/>
    <col min="9" max="9" width="10.375" style="45"/>
    <col min="10" max="16384" width="9" style="45"/>
  </cols>
  <sheetData>
    <row r="1" ht="67" customHeight="1" spans="1:4">
      <c r="A1" s="302" t="s">
        <v>342</v>
      </c>
      <c r="B1" s="264"/>
      <c r="C1" s="264"/>
      <c r="D1" s="264"/>
    </row>
    <row r="2" ht="45" customHeight="1" spans="1:4">
      <c r="A2" s="303" t="s">
        <v>343</v>
      </c>
      <c r="B2" s="304" t="s">
        <v>344</v>
      </c>
      <c r="C2" s="305" t="s">
        <v>345</v>
      </c>
      <c r="D2" s="306" t="s">
        <v>346</v>
      </c>
    </row>
    <row r="3" ht="43" customHeight="1" spans="1:6">
      <c r="A3" s="307" t="s">
        <v>347</v>
      </c>
      <c r="B3" s="268" t="s">
        <v>348</v>
      </c>
      <c r="C3" s="267" t="s">
        <v>349</v>
      </c>
      <c r="D3" s="308" t="s">
        <v>350</v>
      </c>
      <c r="E3" s="2">
        <f>1471675.7+305937.46</f>
        <v>1777613.16</v>
      </c>
      <c r="F3" s="45">
        <f>E7-E3</f>
        <v>548710.06</v>
      </c>
    </row>
    <row r="4" ht="43" customHeight="1" spans="1:4">
      <c r="A4" s="307" t="s">
        <v>351</v>
      </c>
      <c r="B4" s="309" t="s">
        <v>352</v>
      </c>
      <c r="C4" s="309"/>
      <c r="D4" s="310"/>
    </row>
    <row r="5" ht="36" customHeight="1" spans="1:7">
      <c r="A5" s="307" t="s">
        <v>353</v>
      </c>
      <c r="B5" s="311" t="s">
        <v>354</v>
      </c>
      <c r="C5" s="268" t="s">
        <v>355</v>
      </c>
      <c r="D5" s="312">
        <f>'3工程结算汇总表'!E15</f>
        <v>2944800</v>
      </c>
      <c r="E5" s="2">
        <f>604470.32+598480.54</f>
        <v>1202950.86</v>
      </c>
      <c r="G5"/>
    </row>
    <row r="6" ht="33" customHeight="1" spans="1:5">
      <c r="A6" s="307" t="s">
        <v>356</v>
      </c>
      <c r="B6" s="313" t="s">
        <v>357</v>
      </c>
      <c r="C6" s="313"/>
      <c r="D6" s="314"/>
      <c r="E6" s="2">
        <v>1123372.36</v>
      </c>
    </row>
    <row r="7" ht="37" customHeight="1" spans="1:5">
      <c r="A7" s="307" t="s">
        <v>358</v>
      </c>
      <c r="B7" s="313" t="s">
        <v>359</v>
      </c>
      <c r="C7" s="313"/>
      <c r="D7" s="314"/>
      <c r="E7" s="2">
        <f>SUM(E5:E6)</f>
        <v>2326323.22</v>
      </c>
    </row>
    <row r="8" ht="37" customHeight="1" spans="1:4">
      <c r="A8" s="307" t="s">
        <v>360</v>
      </c>
      <c r="B8" s="315" t="s">
        <v>361</v>
      </c>
      <c r="C8" s="313"/>
      <c r="D8" s="314"/>
    </row>
    <row r="9" ht="37" customHeight="1" spans="1:4">
      <c r="A9" s="307" t="s">
        <v>362</v>
      </c>
      <c r="B9" s="313" t="s">
        <v>357</v>
      </c>
      <c r="C9" s="313"/>
      <c r="D9" s="314"/>
    </row>
    <row r="10" ht="37" customHeight="1" spans="1:4">
      <c r="A10" s="307" t="s">
        <v>363</v>
      </c>
      <c r="B10" s="313" t="s">
        <v>357</v>
      </c>
      <c r="C10" s="313"/>
      <c r="D10" s="314"/>
    </row>
    <row r="11" ht="37" customHeight="1" spans="1:4">
      <c r="A11" s="307" t="s">
        <v>364</v>
      </c>
      <c r="B11" s="313" t="s">
        <v>357</v>
      </c>
      <c r="C11" s="313"/>
      <c r="D11" s="314"/>
    </row>
    <row r="12" ht="37" customHeight="1" spans="1:4">
      <c r="A12" s="307" t="s">
        <v>365</v>
      </c>
      <c r="B12" s="313" t="s">
        <v>357</v>
      </c>
      <c r="C12" s="313"/>
      <c r="D12" s="314"/>
    </row>
    <row r="13" ht="37" customHeight="1" spans="1:4">
      <c r="A13" s="307" t="s">
        <v>366</v>
      </c>
      <c r="B13" s="313" t="s">
        <v>357</v>
      </c>
      <c r="C13" s="313"/>
      <c r="D13" s="314"/>
    </row>
    <row r="14" ht="37" customHeight="1" spans="1:4">
      <c r="A14" s="316" t="s">
        <v>367</v>
      </c>
      <c r="B14" s="317" t="s">
        <v>357</v>
      </c>
      <c r="C14" s="317"/>
      <c r="D14" s="318"/>
    </row>
    <row r="15" ht="30" customHeight="1" spans="1:1">
      <c r="A15" s="319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opLeftCell="A7" workbookViewId="0">
      <selection activeCell="G17" sqref="G17"/>
    </sheetView>
  </sheetViews>
  <sheetFormatPr defaultColWidth="9" defaultRowHeight="14.25"/>
  <cols>
    <col min="1" max="1" width="6.5" style="147" customWidth="1"/>
    <col min="2" max="2" width="43.2" style="277" customWidth="1"/>
    <col min="3" max="3" width="9" style="147" customWidth="1"/>
    <col min="4" max="4" width="12.125" style="147" customWidth="1"/>
    <col min="5" max="5" width="8.125" style="147" customWidth="1"/>
    <col min="6" max="6" width="8.625" style="148" customWidth="1"/>
    <col min="7" max="7" width="12.875" style="150" customWidth="1"/>
    <col min="8" max="8" width="8.875" style="169" customWidth="1"/>
    <col min="9" max="12" width="9" style="277" customWidth="1"/>
    <col min="13" max="16384" width="9" style="45"/>
  </cols>
  <sheetData>
    <row r="1" ht="45" customHeight="1" spans="1:9">
      <c r="A1" s="278" t="s">
        <v>369</v>
      </c>
      <c r="B1" s="278"/>
      <c r="C1" s="278"/>
      <c r="D1" s="278"/>
      <c r="E1" s="278"/>
      <c r="F1" s="278"/>
      <c r="G1" s="279"/>
      <c r="H1" s="280"/>
      <c r="I1" s="300"/>
    </row>
    <row r="2" ht="31" customHeight="1" spans="1:6">
      <c r="A2" s="281" t="s">
        <v>1</v>
      </c>
      <c r="B2" s="282" t="s">
        <v>370</v>
      </c>
      <c r="C2" s="282" t="s">
        <v>371</v>
      </c>
      <c r="D2" s="282" t="s">
        <v>372</v>
      </c>
      <c r="E2" s="282" t="s">
        <v>373</v>
      </c>
      <c r="F2" s="283" t="s">
        <v>374</v>
      </c>
    </row>
    <row r="3" s="275" customFormat="1" ht="27" customHeight="1" spans="1:12">
      <c r="A3" s="284">
        <v>1</v>
      </c>
      <c r="B3" s="285" t="s">
        <v>375</v>
      </c>
      <c r="C3" s="286" t="s">
        <v>376</v>
      </c>
      <c r="D3" s="286" t="s">
        <v>377</v>
      </c>
      <c r="E3" s="287" t="s">
        <v>378</v>
      </c>
      <c r="F3" s="288"/>
      <c r="G3" s="150"/>
      <c r="H3" s="169" t="s">
        <v>379</v>
      </c>
      <c r="I3" s="169"/>
      <c r="J3" s="169"/>
      <c r="K3" s="169"/>
      <c r="L3" s="169"/>
    </row>
    <row r="4" s="275" customFormat="1" ht="27" customHeight="1" spans="1:12">
      <c r="A4" s="284">
        <v>2</v>
      </c>
      <c r="B4" s="285" t="s">
        <v>380</v>
      </c>
      <c r="C4" s="286" t="s">
        <v>376</v>
      </c>
      <c r="D4" s="286" t="s">
        <v>381</v>
      </c>
      <c r="E4" s="287" t="s">
        <v>378</v>
      </c>
      <c r="F4" s="288"/>
      <c r="G4" s="150"/>
      <c r="H4" s="169"/>
      <c r="I4" s="169"/>
      <c r="J4" s="169"/>
      <c r="K4" s="169"/>
      <c r="L4" s="169"/>
    </row>
    <row r="5" s="275" customFormat="1" ht="27" customHeight="1" spans="1:12">
      <c r="A5" s="284">
        <v>3</v>
      </c>
      <c r="B5" s="285" t="s">
        <v>382</v>
      </c>
      <c r="C5" s="286" t="s">
        <v>376</v>
      </c>
      <c r="D5" s="286" t="s">
        <v>383</v>
      </c>
      <c r="E5" s="287" t="s">
        <v>378</v>
      </c>
      <c r="F5" s="288"/>
      <c r="G5" s="150"/>
      <c r="H5" s="169" t="s">
        <v>384</v>
      </c>
      <c r="I5" s="169"/>
      <c r="J5" s="169"/>
      <c r="K5" s="169"/>
      <c r="L5" s="169"/>
    </row>
    <row r="6" ht="27" customHeight="1" spans="1:6">
      <c r="A6" s="284">
        <v>4</v>
      </c>
      <c r="B6" s="285" t="s">
        <v>385</v>
      </c>
      <c r="C6" s="286" t="s">
        <v>376</v>
      </c>
      <c r="D6" s="286" t="s">
        <v>386</v>
      </c>
      <c r="E6" s="286" t="s">
        <v>378</v>
      </c>
      <c r="F6" s="289"/>
    </row>
    <row r="7" ht="27" customHeight="1" spans="1:6">
      <c r="A7" s="284">
        <v>5</v>
      </c>
      <c r="B7" s="285" t="s">
        <v>387</v>
      </c>
      <c r="C7" s="286" t="s">
        <v>388</v>
      </c>
      <c r="D7" s="286" t="s">
        <v>389</v>
      </c>
      <c r="E7" s="287" t="s">
        <v>378</v>
      </c>
      <c r="F7" s="289"/>
    </row>
    <row r="8" ht="27" customHeight="1" spans="1:6">
      <c r="A8" s="284">
        <v>6</v>
      </c>
      <c r="B8" s="285" t="s">
        <v>390</v>
      </c>
      <c r="C8" s="286" t="s">
        <v>376</v>
      </c>
      <c r="D8" s="286" t="s">
        <v>391</v>
      </c>
      <c r="E8" s="287" t="s">
        <v>378</v>
      </c>
      <c r="F8" s="288"/>
    </row>
    <row r="9" ht="27" customHeight="1" spans="1:6">
      <c r="A9" s="284">
        <v>7</v>
      </c>
      <c r="B9" s="285" t="s">
        <v>392</v>
      </c>
      <c r="C9" s="286" t="s">
        <v>376</v>
      </c>
      <c r="D9" s="286" t="s">
        <v>393</v>
      </c>
      <c r="E9" s="287" t="s">
        <v>378</v>
      </c>
      <c r="F9" s="288"/>
    </row>
    <row r="10" ht="27" customHeight="1" spans="1:6">
      <c r="A10" s="284">
        <v>8</v>
      </c>
      <c r="B10" s="285" t="s">
        <v>394</v>
      </c>
      <c r="C10" s="286" t="s">
        <v>388</v>
      </c>
      <c r="D10" s="286" t="s">
        <v>395</v>
      </c>
      <c r="E10" s="286" t="s">
        <v>378</v>
      </c>
      <c r="F10" s="288"/>
    </row>
    <row r="11" ht="27" customHeight="1" spans="1:6">
      <c r="A11" s="284">
        <v>9</v>
      </c>
      <c r="B11" s="285" t="s">
        <v>396</v>
      </c>
      <c r="C11" s="286" t="s">
        <v>376</v>
      </c>
      <c r="D11" s="286" t="s">
        <v>397</v>
      </c>
      <c r="E11" s="287" t="s">
        <v>378</v>
      </c>
      <c r="F11" s="288"/>
    </row>
    <row r="12" ht="27" customHeight="1" spans="1:6">
      <c r="A12" s="284">
        <v>10</v>
      </c>
      <c r="B12" s="285" t="s">
        <v>398</v>
      </c>
      <c r="C12" s="286" t="s">
        <v>376</v>
      </c>
      <c r="D12" s="286" t="s">
        <v>399</v>
      </c>
      <c r="E12" s="287" t="s">
        <v>378</v>
      </c>
      <c r="F12" s="288"/>
    </row>
    <row r="13" ht="27" customHeight="1" spans="1:6">
      <c r="A13" s="284">
        <v>11</v>
      </c>
      <c r="B13" s="285" t="s">
        <v>400</v>
      </c>
      <c r="C13" s="286" t="s">
        <v>401</v>
      </c>
      <c r="D13" s="286" t="s">
        <v>402</v>
      </c>
      <c r="E13" s="287" t="s">
        <v>378</v>
      </c>
      <c r="F13" s="288"/>
    </row>
    <row r="14" ht="27" customHeight="1" spans="1:6">
      <c r="A14" s="284">
        <v>12</v>
      </c>
      <c r="B14" s="285" t="s">
        <v>403</v>
      </c>
      <c r="C14" s="286" t="s">
        <v>404</v>
      </c>
      <c r="D14" s="286" t="s">
        <v>405</v>
      </c>
      <c r="E14" s="287" t="s">
        <v>406</v>
      </c>
      <c r="F14" s="288"/>
    </row>
    <row r="15" ht="27" customHeight="1" spans="1:6">
      <c r="A15" s="284">
        <v>13</v>
      </c>
      <c r="B15" s="285" t="s">
        <v>407</v>
      </c>
      <c r="C15" s="286" t="s">
        <v>408</v>
      </c>
      <c r="D15" s="286" t="s">
        <v>409</v>
      </c>
      <c r="E15" s="287" t="s">
        <v>410</v>
      </c>
      <c r="F15" s="288"/>
    </row>
    <row r="16" ht="66" customHeight="1" spans="1:6">
      <c r="A16" s="284">
        <v>14</v>
      </c>
      <c r="B16" s="285" t="s">
        <v>411</v>
      </c>
      <c r="C16" s="286" t="s">
        <v>412</v>
      </c>
      <c r="D16" s="286" t="s">
        <v>413</v>
      </c>
      <c r="E16" s="286" t="s">
        <v>410</v>
      </c>
      <c r="F16" s="290"/>
    </row>
    <row r="17" s="43" customFormat="1" ht="68" customHeight="1" spans="1:12">
      <c r="A17" s="284">
        <v>15</v>
      </c>
      <c r="B17" s="285" t="s">
        <v>414</v>
      </c>
      <c r="C17" s="286" t="s">
        <v>415</v>
      </c>
      <c r="D17" s="286" t="s">
        <v>416</v>
      </c>
      <c r="E17" s="286" t="s">
        <v>378</v>
      </c>
      <c r="F17" s="290" t="s">
        <v>417</v>
      </c>
      <c r="G17" s="150"/>
      <c r="H17" s="169"/>
      <c r="I17" s="301"/>
      <c r="J17" s="301"/>
      <c r="K17" s="301"/>
      <c r="L17" s="301"/>
    </row>
    <row r="18" s="276" customFormat="1" ht="27" customHeight="1" spans="1:12">
      <c r="A18" s="284">
        <v>16</v>
      </c>
      <c r="B18" s="285" t="s">
        <v>418</v>
      </c>
      <c r="C18" s="286" t="s">
        <v>376</v>
      </c>
      <c r="D18" s="286" t="s">
        <v>419</v>
      </c>
      <c r="E18" s="286" t="s">
        <v>378</v>
      </c>
      <c r="F18" s="290"/>
      <c r="G18" s="150"/>
      <c r="H18" s="169"/>
      <c r="I18" s="301"/>
      <c r="J18" s="301"/>
      <c r="K18" s="301"/>
      <c r="L18" s="301"/>
    </row>
    <row r="19" s="276" customFormat="1" ht="27" customHeight="1" spans="1:12">
      <c r="A19" s="284">
        <v>17</v>
      </c>
      <c r="B19" s="285" t="s">
        <v>420</v>
      </c>
      <c r="C19" s="291" t="s">
        <v>421</v>
      </c>
      <c r="D19" s="292" t="s">
        <v>422</v>
      </c>
      <c r="E19" s="293" t="s">
        <v>378</v>
      </c>
      <c r="F19" s="290"/>
      <c r="G19" s="150"/>
      <c r="H19" s="169"/>
      <c r="I19" s="301"/>
      <c r="J19" s="301"/>
      <c r="K19" s="301"/>
      <c r="L19" s="301"/>
    </row>
    <row r="20" s="276" customFormat="1" ht="27" customHeight="1" spans="1:12">
      <c r="A20" s="284">
        <v>18</v>
      </c>
      <c r="B20" s="285" t="s">
        <v>423</v>
      </c>
      <c r="C20" s="286" t="s">
        <v>415</v>
      </c>
      <c r="D20" s="292" t="s">
        <v>424</v>
      </c>
      <c r="E20" s="293" t="s">
        <v>378</v>
      </c>
      <c r="F20" s="290"/>
      <c r="G20" s="150"/>
      <c r="H20" s="169"/>
      <c r="I20" s="301"/>
      <c r="J20" s="301"/>
      <c r="K20" s="301"/>
      <c r="L20" s="301"/>
    </row>
    <row r="21" ht="27" customHeight="1" spans="1:6">
      <c r="A21" s="284">
        <v>19</v>
      </c>
      <c r="B21" s="285" t="s">
        <v>425</v>
      </c>
      <c r="C21" s="292" t="s">
        <v>426</v>
      </c>
      <c r="D21" s="292"/>
      <c r="E21" s="293" t="s">
        <v>427</v>
      </c>
      <c r="F21" s="290"/>
    </row>
    <row r="22" ht="27" customHeight="1" spans="1:6">
      <c r="A22" s="284">
        <v>20</v>
      </c>
      <c r="B22" s="285" t="s">
        <v>428</v>
      </c>
      <c r="C22" s="292" t="s">
        <v>429</v>
      </c>
      <c r="D22" s="292"/>
      <c r="E22" s="293" t="s">
        <v>430</v>
      </c>
      <c r="F22" s="290"/>
    </row>
    <row r="23" spans="1:6">
      <c r="A23" s="294" t="s">
        <v>431</v>
      </c>
      <c r="B23" s="295"/>
      <c r="C23" s="295" t="s">
        <v>432</v>
      </c>
      <c r="D23" s="295"/>
      <c r="E23" s="295"/>
      <c r="F23" s="296"/>
    </row>
    <row r="24" spans="1:6">
      <c r="A24" s="294"/>
      <c r="B24" s="295"/>
      <c r="C24" s="295"/>
      <c r="D24" s="295"/>
      <c r="E24" s="295"/>
      <c r="F24" s="296"/>
    </row>
    <row r="25" spans="1:6">
      <c r="A25" s="294"/>
      <c r="B25" s="295"/>
      <c r="C25" s="295"/>
      <c r="D25" s="295"/>
      <c r="E25" s="295"/>
      <c r="F25" s="296"/>
    </row>
    <row r="26" spans="1:6">
      <c r="A26" s="294"/>
      <c r="B26" s="295"/>
      <c r="C26" s="295"/>
      <c r="D26" s="295"/>
      <c r="E26" s="295"/>
      <c r="F26" s="296"/>
    </row>
    <row r="27" ht="6" customHeight="1" spans="1:6">
      <c r="A27" s="294"/>
      <c r="B27" s="295"/>
      <c r="C27" s="295"/>
      <c r="D27" s="295"/>
      <c r="E27" s="295"/>
      <c r="F27" s="296"/>
    </row>
    <row r="28" ht="15" spans="1:6">
      <c r="A28" s="297"/>
      <c r="B28" s="298"/>
      <c r="C28" s="298"/>
      <c r="D28" s="298"/>
      <c r="E28" s="298"/>
      <c r="F28" s="299"/>
    </row>
  </sheetData>
  <mergeCells count="3">
    <mergeCell ref="A1:F1"/>
    <mergeCell ref="A23:B28"/>
    <mergeCell ref="C23:F28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L15" sqref="L15"/>
    </sheetView>
  </sheetViews>
  <sheetFormatPr defaultColWidth="9" defaultRowHeight="14.25" outlineLevelCol="6"/>
  <cols>
    <col min="1" max="4" width="9" style="45"/>
    <col min="5" max="5" width="10.625" style="45" customWidth="1"/>
    <col min="6" max="6" width="12.625" style="45" customWidth="1"/>
    <col min="7" max="7" width="14" style="45" customWidth="1"/>
    <col min="8" max="16384" width="9" style="45"/>
  </cols>
  <sheetData>
    <row r="1" ht="44.25" customHeight="1" spans="1:7">
      <c r="A1" s="264" t="s">
        <v>433</v>
      </c>
      <c r="B1" s="264"/>
      <c r="C1" s="264"/>
      <c r="D1" s="264"/>
      <c r="E1" s="264"/>
      <c r="F1" s="264"/>
      <c r="G1" s="264"/>
    </row>
    <row r="2" s="43" customFormat="1" ht="25.5" customHeight="1" spans="1:1">
      <c r="A2" s="43" t="s">
        <v>434</v>
      </c>
    </row>
    <row r="3" s="43" customFormat="1" ht="33" customHeight="1" spans="1:7">
      <c r="A3" s="265" t="s">
        <v>435</v>
      </c>
      <c r="B3" s="266"/>
      <c r="C3" s="266"/>
      <c r="D3" s="266"/>
      <c r="E3" s="266"/>
      <c r="F3" s="266"/>
      <c r="G3" s="266"/>
    </row>
    <row r="4" s="43" customFormat="1" ht="24" customHeight="1" spans="1:7">
      <c r="A4" s="266" t="s">
        <v>436</v>
      </c>
      <c r="B4" s="266"/>
      <c r="C4" s="266"/>
      <c r="D4" s="266"/>
      <c r="E4" s="266"/>
      <c r="F4" s="266"/>
      <c r="G4" s="266"/>
    </row>
    <row r="5" s="43" customFormat="1" ht="21" customHeight="1" spans="1:7">
      <c r="A5" s="266" t="s">
        <v>437</v>
      </c>
      <c r="B5" s="266"/>
      <c r="C5" s="266"/>
      <c r="D5" s="266"/>
      <c r="E5" s="266"/>
      <c r="F5" s="266"/>
      <c r="G5" s="266"/>
    </row>
    <row r="6" s="43" customFormat="1" ht="30" customHeight="1" spans="1:7">
      <c r="A6" s="267" t="s">
        <v>1</v>
      </c>
      <c r="B6" s="268" t="s">
        <v>343</v>
      </c>
      <c r="C6" s="268"/>
      <c r="D6" s="268"/>
      <c r="E6" s="267" t="s">
        <v>438</v>
      </c>
      <c r="F6" s="267" t="s">
        <v>439</v>
      </c>
      <c r="G6" s="267" t="s">
        <v>440</v>
      </c>
    </row>
    <row r="7" s="43" customFormat="1" ht="21" customHeight="1" spans="1:7">
      <c r="A7" s="267" t="s">
        <v>441</v>
      </c>
      <c r="B7" s="268" t="s">
        <v>442</v>
      </c>
      <c r="C7" s="268"/>
      <c r="D7" s="268"/>
      <c r="E7" s="268"/>
      <c r="F7" s="268"/>
      <c r="G7" s="269">
        <f>SUM(G8:G11)</f>
        <v>2961728.03</v>
      </c>
    </row>
    <row r="8" s="43" customFormat="1" ht="21" customHeight="1" spans="1:7">
      <c r="A8" s="267">
        <v>1.1</v>
      </c>
      <c r="B8" s="268" t="s">
        <v>443</v>
      </c>
      <c r="C8" s="268"/>
      <c r="D8" s="268"/>
      <c r="E8" s="268"/>
      <c r="F8" s="268"/>
      <c r="G8" s="269">
        <f>'4结算明细汇总表'!C3</f>
        <v>3332541.59</v>
      </c>
    </row>
    <row r="9" s="43" customFormat="1" ht="21" customHeight="1" spans="1:7">
      <c r="A9" s="267">
        <v>1.2</v>
      </c>
      <c r="B9" s="268" t="s">
        <v>444</v>
      </c>
      <c r="C9" s="268"/>
      <c r="D9" s="268"/>
      <c r="E9" s="268"/>
      <c r="F9" s="268"/>
      <c r="G9" s="269">
        <f>'4结算明细汇总表'!C14</f>
        <v>-543202.35</v>
      </c>
    </row>
    <row r="10" s="43" customFormat="1" ht="21" customHeight="1" spans="1:7">
      <c r="A10" s="267">
        <v>1.3</v>
      </c>
      <c r="B10" s="268" t="s">
        <v>445</v>
      </c>
      <c r="C10" s="268"/>
      <c r="D10" s="268"/>
      <c r="E10" s="268"/>
      <c r="F10" s="268"/>
      <c r="G10" s="269">
        <f>'4结算明细汇总表'!C22</f>
        <v>194388.79</v>
      </c>
    </row>
    <row r="11" s="43" customFormat="1" ht="21" customHeight="1" spans="1:7">
      <c r="A11" s="267">
        <v>1.4</v>
      </c>
      <c r="B11" s="268" t="s">
        <v>446</v>
      </c>
      <c r="C11" s="268"/>
      <c r="D11" s="268"/>
      <c r="E11" s="268"/>
      <c r="F11" s="268"/>
      <c r="G11" s="269">
        <f>'4结算明细汇总表'!C29</f>
        <v>-22000</v>
      </c>
    </row>
    <row r="12" s="43" customFormat="1" ht="21" customHeight="1" spans="1:7">
      <c r="A12" s="267" t="s">
        <v>447</v>
      </c>
      <c r="B12" s="268" t="s">
        <v>448</v>
      </c>
      <c r="C12" s="268"/>
      <c r="D12" s="268"/>
      <c r="E12" s="268"/>
      <c r="F12" s="268"/>
      <c r="G12" s="269">
        <f>SUM(G13:G14)</f>
        <v>-16928.03</v>
      </c>
    </row>
    <row r="13" s="43" customFormat="1" ht="21" customHeight="1" spans="1:7">
      <c r="A13" s="267">
        <v>2.1</v>
      </c>
      <c r="B13" s="268" t="s">
        <v>449</v>
      </c>
      <c r="C13" s="268"/>
      <c r="D13" s="268"/>
      <c r="E13" s="268"/>
      <c r="F13" s="268"/>
      <c r="G13" s="269">
        <f>'4结算明细汇总表'!C35</f>
        <v>-16854.38</v>
      </c>
    </row>
    <row r="14" s="43" customFormat="1" ht="21" customHeight="1" spans="1:7">
      <c r="A14" s="267">
        <v>2.2</v>
      </c>
      <c r="B14" s="268" t="s">
        <v>450</v>
      </c>
      <c r="C14" s="268"/>
      <c r="D14" s="268"/>
      <c r="E14" s="268"/>
      <c r="F14" s="268"/>
      <c r="G14" s="269">
        <f>'4结算明细汇总表'!E37</f>
        <v>-73.65</v>
      </c>
    </row>
    <row r="15" s="43" customFormat="1" ht="19" customHeight="1" spans="1:7">
      <c r="A15" s="267" t="s">
        <v>451</v>
      </c>
      <c r="B15" s="268" t="s">
        <v>452</v>
      </c>
      <c r="C15" s="268"/>
      <c r="D15" s="268" t="s">
        <v>453</v>
      </c>
      <c r="E15" s="270">
        <f>G7+G12</f>
        <v>2944800</v>
      </c>
      <c r="F15" s="270"/>
      <c r="G15" s="270"/>
    </row>
    <row r="16" s="43" customFormat="1" ht="19" customHeight="1" spans="1:7">
      <c r="A16" s="267"/>
      <c r="B16" s="268"/>
      <c r="C16" s="268"/>
      <c r="D16" s="268" t="s">
        <v>454</v>
      </c>
      <c r="E16" s="271">
        <f>E15</f>
        <v>2944800</v>
      </c>
      <c r="F16" s="271"/>
      <c r="G16" s="271"/>
    </row>
    <row r="17" s="43" customFormat="1" ht="20" customHeight="1" spans="1:7">
      <c r="A17" s="267" t="s">
        <v>455</v>
      </c>
      <c r="B17" s="268" t="s">
        <v>456</v>
      </c>
      <c r="C17" s="268"/>
      <c r="D17" s="268"/>
      <c r="E17" s="272">
        <v>0</v>
      </c>
      <c r="F17" s="272"/>
      <c r="G17" s="272"/>
    </row>
    <row r="18" s="43" customFormat="1" ht="20" customHeight="1" spans="1:7">
      <c r="A18" s="267">
        <v>4.1</v>
      </c>
      <c r="B18" s="268" t="s">
        <v>457</v>
      </c>
      <c r="C18" s="268"/>
      <c r="D18" s="268"/>
      <c r="E18" s="272">
        <v>0</v>
      </c>
      <c r="F18" s="272"/>
      <c r="G18" s="272"/>
    </row>
    <row r="19" s="43" customFormat="1" ht="20" customHeight="1" spans="1:7">
      <c r="A19" s="267">
        <v>4.2</v>
      </c>
      <c r="B19" s="268" t="s">
        <v>458</v>
      </c>
      <c r="C19" s="268"/>
      <c r="D19" s="268"/>
      <c r="E19" s="272">
        <v>0</v>
      </c>
      <c r="F19" s="272"/>
      <c r="G19" s="272"/>
    </row>
    <row r="20" s="43" customFormat="1" ht="17" customHeight="1" spans="1:7">
      <c r="A20" s="267" t="s">
        <v>459</v>
      </c>
      <c r="B20" s="268" t="s">
        <v>460</v>
      </c>
      <c r="C20" s="268"/>
      <c r="D20" s="268"/>
      <c r="E20" s="272"/>
      <c r="F20" s="272"/>
      <c r="G20" s="272"/>
    </row>
    <row r="21" s="43" customFormat="1" ht="20" customHeight="1" spans="1:7">
      <c r="A21" s="267" t="s">
        <v>461</v>
      </c>
      <c r="B21" s="268" t="s">
        <v>462</v>
      </c>
      <c r="C21" s="268"/>
      <c r="D21" s="268"/>
      <c r="E21" s="272">
        <v>0</v>
      </c>
      <c r="F21" s="272"/>
      <c r="G21" s="272"/>
    </row>
    <row r="22" s="43" customFormat="1" ht="20" customHeight="1" spans="1:7">
      <c r="A22" s="267">
        <v>5.1</v>
      </c>
      <c r="B22" s="268" t="s">
        <v>463</v>
      </c>
      <c r="C22" s="268"/>
      <c r="D22" s="268"/>
      <c r="E22" s="272">
        <v>0</v>
      </c>
      <c r="F22" s="272"/>
      <c r="G22" s="272"/>
    </row>
    <row r="23" s="43" customFormat="1" ht="20" customHeight="1" spans="1:7">
      <c r="A23" s="267">
        <v>5.2</v>
      </c>
      <c r="B23" s="268" t="s">
        <v>464</v>
      </c>
      <c r="C23" s="268"/>
      <c r="D23" s="268"/>
      <c r="E23" s="272">
        <v>0</v>
      </c>
      <c r="F23" s="272"/>
      <c r="G23" s="272"/>
    </row>
    <row r="24" s="43" customFormat="1" ht="18" customHeight="1" spans="1:7">
      <c r="A24" s="267" t="s">
        <v>465</v>
      </c>
      <c r="B24" s="268" t="s">
        <v>466</v>
      </c>
      <c r="C24" s="268" t="s">
        <v>453</v>
      </c>
      <c r="D24" s="268"/>
      <c r="E24" s="270">
        <f>E15</f>
        <v>2944800</v>
      </c>
      <c r="F24" s="270"/>
      <c r="G24" s="270"/>
    </row>
    <row r="25" s="43" customFormat="1" ht="18" customHeight="1" spans="1:7">
      <c r="A25" s="267"/>
      <c r="B25" s="268"/>
      <c r="C25" s="268" t="s">
        <v>454</v>
      </c>
      <c r="D25" s="268"/>
      <c r="E25" s="271">
        <f>E16</f>
        <v>2944800</v>
      </c>
      <c r="F25" s="271"/>
      <c r="G25" s="271"/>
    </row>
    <row r="26" s="43" customFormat="1" ht="18" customHeight="1" spans="1:7">
      <c r="A26" s="267" t="s">
        <v>467</v>
      </c>
      <c r="B26" s="268" t="s">
        <v>468</v>
      </c>
      <c r="C26" s="268" t="s">
        <v>453</v>
      </c>
      <c r="D26" s="268"/>
      <c r="E26" s="270">
        <f>E15</f>
        <v>2944800</v>
      </c>
      <c r="F26" s="270"/>
      <c r="G26" s="270"/>
    </row>
    <row r="27" s="43" customFormat="1" ht="18" customHeight="1" spans="1:7">
      <c r="A27" s="267"/>
      <c r="B27" s="268"/>
      <c r="C27" s="268" t="s">
        <v>454</v>
      </c>
      <c r="D27" s="268"/>
      <c r="E27" s="271">
        <f>E16</f>
        <v>2944800</v>
      </c>
      <c r="F27" s="271"/>
      <c r="G27" s="271"/>
    </row>
    <row r="28" spans="1:7">
      <c r="A28" s="273"/>
      <c r="B28" s="273"/>
      <c r="C28" s="273"/>
      <c r="D28" s="273"/>
      <c r="E28" s="273"/>
      <c r="F28" s="273"/>
      <c r="G28" s="273"/>
    </row>
    <row r="29" spans="1:7">
      <c r="A29" s="259" t="s">
        <v>469</v>
      </c>
      <c r="B29" s="259"/>
      <c r="C29" s="259"/>
      <c r="D29" s="259"/>
      <c r="E29" s="259"/>
      <c r="F29" s="259"/>
      <c r="G29" s="259"/>
    </row>
    <row r="30" spans="1:1">
      <c r="A30" s="260"/>
    </row>
    <row r="31" spans="1:1">
      <c r="A31" s="260"/>
    </row>
    <row r="32" spans="1:7">
      <c r="A32" s="259" t="s">
        <v>470</v>
      </c>
      <c r="B32" s="259"/>
      <c r="C32" s="259"/>
      <c r="D32" s="259"/>
      <c r="E32" s="259"/>
      <c r="F32" s="259"/>
      <c r="G32" s="259"/>
    </row>
    <row r="33" spans="1:1">
      <c r="A33" s="260"/>
    </row>
    <row r="34" ht="27" customHeight="1" spans="1:7">
      <c r="A34" s="274" t="s">
        <v>471</v>
      </c>
      <c r="B34" s="274"/>
      <c r="C34" s="274"/>
      <c r="D34" s="274"/>
      <c r="E34" s="274"/>
      <c r="F34" s="274"/>
      <c r="G34" s="274"/>
    </row>
  </sheetData>
  <mergeCells count="50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A29:G29"/>
    <mergeCell ref="A32:G32"/>
    <mergeCell ref="A34:G34"/>
    <mergeCell ref="A15:A16"/>
    <mergeCell ref="A24:A25"/>
    <mergeCell ref="A26:A27"/>
    <mergeCell ref="B24:B25"/>
    <mergeCell ref="B26:B27"/>
    <mergeCell ref="B15:C16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E37" sqref="E37"/>
    </sheetView>
  </sheetViews>
  <sheetFormatPr defaultColWidth="9" defaultRowHeight="13.5"/>
  <cols>
    <col min="1" max="1" width="8.25" style="17" customWidth="1"/>
    <col min="2" max="2" width="33.375" style="17" customWidth="1"/>
    <col min="3" max="3" width="20.2166666666667" style="17" customWidth="1"/>
    <col min="4" max="4" width="25.625" style="17" customWidth="1"/>
    <col min="5" max="5" width="20.125" style="17" customWidth="1"/>
    <col min="6" max="7" width="12.625" style="17"/>
    <col min="8" max="8" width="11.5" style="17"/>
    <col min="9" max="16384" width="9" style="17"/>
  </cols>
  <sheetData>
    <row r="1" ht="40" customHeight="1" spans="1:4">
      <c r="A1" s="221" t="s">
        <v>472</v>
      </c>
      <c r="B1" s="222"/>
      <c r="C1" s="223"/>
      <c r="D1" s="222"/>
    </row>
    <row r="2" ht="29" customHeight="1" spans="1:4">
      <c r="A2" s="224" t="s">
        <v>1</v>
      </c>
      <c r="B2" s="225" t="s">
        <v>343</v>
      </c>
      <c r="C2" s="226" t="s">
        <v>473</v>
      </c>
      <c r="D2" s="227" t="s">
        <v>374</v>
      </c>
    </row>
    <row r="3" ht="30" customHeight="1" spans="1:4">
      <c r="A3" s="228" t="s">
        <v>441</v>
      </c>
      <c r="B3" s="229" t="s">
        <v>443</v>
      </c>
      <c r="C3" s="230">
        <f>C4+C10</f>
        <v>3332541.59</v>
      </c>
      <c r="D3" s="231" t="s">
        <v>474</v>
      </c>
    </row>
    <row r="4" s="216" customFormat="1" ht="30" customHeight="1" spans="1:4">
      <c r="A4" s="228">
        <v>1</v>
      </c>
      <c r="B4" s="229" t="s">
        <v>475</v>
      </c>
      <c r="C4" s="230">
        <f>SUM(C5:C9)</f>
        <v>3483142.83</v>
      </c>
      <c r="D4" s="232"/>
    </row>
    <row r="5" customFormat="1" ht="30" customHeight="1" spans="1:4">
      <c r="A5" s="233">
        <v>1.1</v>
      </c>
      <c r="B5" s="234" t="s">
        <v>476</v>
      </c>
      <c r="C5" s="235">
        <v>1915000</v>
      </c>
      <c r="D5" s="236" t="s">
        <v>477</v>
      </c>
    </row>
    <row r="6" customFormat="1" ht="30" customHeight="1" spans="1:4">
      <c r="A6" s="233">
        <v>1.2</v>
      </c>
      <c r="B6" s="234" t="s">
        <v>478</v>
      </c>
      <c r="C6" s="235">
        <f>'绿化苗木-依实结算'!F134</f>
        <v>983142.83</v>
      </c>
      <c r="D6" s="236" t="s">
        <v>479</v>
      </c>
    </row>
    <row r="7" customFormat="1" ht="30" customHeight="1" spans="1:4">
      <c r="A7" s="233">
        <v>1.3</v>
      </c>
      <c r="B7" s="234" t="s">
        <v>480</v>
      </c>
      <c r="C7" s="235">
        <v>84000</v>
      </c>
      <c r="D7" s="236" t="s">
        <v>477</v>
      </c>
    </row>
    <row r="8" customFormat="1" ht="30" customHeight="1" spans="1:4">
      <c r="A8" s="233">
        <v>1.4</v>
      </c>
      <c r="B8" s="234" t="s">
        <v>481</v>
      </c>
      <c r="C8" s="235">
        <v>450000</v>
      </c>
      <c r="D8" s="236" t="s">
        <v>477</v>
      </c>
    </row>
    <row r="9" customFormat="1" ht="30" customHeight="1" spans="1:4">
      <c r="A9" s="233">
        <v>1.5</v>
      </c>
      <c r="B9" s="234" t="s">
        <v>482</v>
      </c>
      <c r="C9" s="235">
        <v>51000</v>
      </c>
      <c r="D9" s="236" t="s">
        <v>477</v>
      </c>
    </row>
    <row r="10" s="216" customFormat="1" ht="30" customHeight="1" spans="1:4">
      <c r="A10" s="237">
        <v>2</v>
      </c>
      <c r="B10" s="229" t="s">
        <v>483</v>
      </c>
      <c r="C10" s="230">
        <f>SUM(C11:C13)</f>
        <v>-150601.24</v>
      </c>
      <c r="D10" s="238"/>
    </row>
    <row r="11" customFormat="1" ht="30" customHeight="1" spans="1:4">
      <c r="A11" s="233">
        <v>2.1</v>
      </c>
      <c r="B11" s="234" t="s">
        <v>476</v>
      </c>
      <c r="C11" s="235">
        <f>'土建类(合同内调整项)'!H19</f>
        <v>-70613.47</v>
      </c>
      <c r="D11" s="236"/>
    </row>
    <row r="12" customFormat="1" ht="30" customHeight="1" spans="1:4">
      <c r="A12" s="233">
        <v>2.2</v>
      </c>
      <c r="B12" s="234" t="s">
        <v>480</v>
      </c>
      <c r="C12" s="235">
        <f>'软装摆件(合同内调整项)'!H9</f>
        <v>-23400</v>
      </c>
      <c r="D12" s="236"/>
    </row>
    <row r="13" customFormat="1" ht="30" customHeight="1" spans="1:4">
      <c r="A13" s="233">
        <v>2.3</v>
      </c>
      <c r="B13" s="234" t="s">
        <v>481</v>
      </c>
      <c r="C13" s="235">
        <f>'安装类(合同内调整项）'!H46</f>
        <v>-56587.77</v>
      </c>
      <c r="D13" s="236"/>
    </row>
    <row r="14" s="217" customFormat="1" ht="30" customHeight="1" spans="1:4">
      <c r="A14" s="228" t="s">
        <v>447</v>
      </c>
      <c r="B14" s="239" t="s">
        <v>444</v>
      </c>
      <c r="C14" s="230">
        <f>C15+C16+C17+C21</f>
        <v>-543202.35</v>
      </c>
      <c r="D14" s="240"/>
    </row>
    <row r="15" s="218" customFormat="1" ht="30" customHeight="1" spans="1:4">
      <c r="A15" s="241">
        <v>1</v>
      </c>
      <c r="B15" s="234" t="s">
        <v>476</v>
      </c>
      <c r="C15" s="235">
        <f>'土建类(设计变更）'!H147</f>
        <v>-502346.77</v>
      </c>
      <c r="D15" s="242"/>
    </row>
    <row r="16" s="218" customFormat="1" ht="30" customHeight="1" spans="1:4">
      <c r="A16" s="241">
        <v>2</v>
      </c>
      <c r="B16" s="234" t="s">
        <v>480</v>
      </c>
      <c r="C16" s="235">
        <f>'软装摆件(设计变更金额)'!H7</f>
        <v>1191.48</v>
      </c>
      <c r="D16" s="242"/>
    </row>
    <row r="17" s="218" customFormat="1" ht="30" customHeight="1" spans="1:4">
      <c r="A17" s="241">
        <v>3</v>
      </c>
      <c r="B17" s="234" t="s">
        <v>484</v>
      </c>
      <c r="C17" s="235">
        <f>SUM(C18:C20)</f>
        <v>-42037.01</v>
      </c>
      <c r="D17" s="242"/>
    </row>
    <row r="18" s="218" customFormat="1" ht="30" customHeight="1" spans="1:4">
      <c r="A18" s="241">
        <v>3.1</v>
      </c>
      <c r="B18" s="234" t="s">
        <v>485</v>
      </c>
      <c r="C18" s="235">
        <f>'安装类 (变更1104-2)'!H67</f>
        <v>-48184</v>
      </c>
      <c r="D18" s="242"/>
    </row>
    <row r="19" s="218" customFormat="1" ht="30" customHeight="1" spans="1:4">
      <c r="A19" s="241">
        <v>3.2</v>
      </c>
      <c r="B19" s="234" t="s">
        <v>486</v>
      </c>
      <c r="C19" s="235">
        <f>'安装类(变更1104-3)'!H15</f>
        <v>-1049.04</v>
      </c>
      <c r="D19" s="242"/>
    </row>
    <row r="20" s="218" customFormat="1" ht="30" customHeight="1" spans="1:4">
      <c r="A20" s="241">
        <v>3.3</v>
      </c>
      <c r="B20" s="234" t="s">
        <v>487</v>
      </c>
      <c r="C20" s="235">
        <f>'增加化粪池（变更单SSWY-BG056)'!G8</f>
        <v>7196.03</v>
      </c>
      <c r="D20" s="242"/>
    </row>
    <row r="21" s="218" customFormat="1" ht="30" customHeight="1" spans="1:4">
      <c r="A21" s="241">
        <v>4</v>
      </c>
      <c r="B21" s="234" t="s">
        <v>482</v>
      </c>
      <c r="C21" s="235">
        <f>'雾森系统(变更1104-3)'!H8</f>
        <v>-10.05</v>
      </c>
      <c r="D21" s="242"/>
    </row>
    <row r="22" s="219" customFormat="1" ht="39" customHeight="1" spans="1:4">
      <c r="A22" s="228" t="s">
        <v>451</v>
      </c>
      <c r="B22" s="239" t="s">
        <v>445</v>
      </c>
      <c r="C22" s="243">
        <f>SUM(C23:C28)</f>
        <v>194388.79</v>
      </c>
      <c r="D22" s="244" t="s">
        <v>488</v>
      </c>
    </row>
    <row r="23" s="17" customFormat="1" ht="39" customHeight="1" spans="1:5">
      <c r="A23" s="245">
        <v>1</v>
      </c>
      <c r="B23" s="246" t="s">
        <v>489</v>
      </c>
      <c r="C23" s="247">
        <f>4500*0+4500*(1-0.31%)</f>
        <v>4486.05</v>
      </c>
      <c r="D23" s="248" t="s">
        <v>490</v>
      </c>
      <c r="E23" s="219"/>
    </row>
    <row r="24" s="17" customFormat="1" ht="39" customHeight="1" spans="1:5">
      <c r="A24" s="245">
        <v>2</v>
      </c>
      <c r="B24" s="246" t="s">
        <v>491</v>
      </c>
      <c r="C24" s="247">
        <f>19100*0+19100*(1-1.41%)</f>
        <v>18830.69</v>
      </c>
      <c r="D24" s="248" t="s">
        <v>492</v>
      </c>
      <c r="E24" s="219"/>
    </row>
    <row r="25" s="17" customFormat="1" ht="39" customHeight="1" spans="1:5">
      <c r="A25" s="245">
        <v>3</v>
      </c>
      <c r="B25" s="246" t="s">
        <v>493</v>
      </c>
      <c r="C25" s="247">
        <f>42400*0+42400*(1-1.41%)</f>
        <v>41802.16</v>
      </c>
      <c r="D25" s="248" t="s">
        <v>494</v>
      </c>
      <c r="E25" s="219"/>
    </row>
    <row r="26" s="17" customFormat="1" ht="90" customHeight="1" spans="1:5">
      <c r="A26" s="245">
        <v>4</v>
      </c>
      <c r="B26" s="246" t="s">
        <v>495</v>
      </c>
      <c r="C26" s="247">
        <f>32000*0+32000*(1-0.31%)</f>
        <v>31900.8</v>
      </c>
      <c r="D26" s="248" t="s">
        <v>496</v>
      </c>
      <c r="E26" s="219"/>
    </row>
    <row r="27" s="17" customFormat="1" ht="39" customHeight="1" spans="1:5">
      <c r="A27" s="245">
        <v>5</v>
      </c>
      <c r="B27" s="246" t="s">
        <v>497</v>
      </c>
      <c r="C27" s="247">
        <f>53400*0+53400*(1-0.33%)</f>
        <v>53223.78</v>
      </c>
      <c r="D27" s="248" t="s">
        <v>498</v>
      </c>
      <c r="E27" s="219"/>
    </row>
    <row r="28" s="17" customFormat="1" ht="52" customHeight="1" spans="1:8">
      <c r="A28" s="245">
        <v>6</v>
      </c>
      <c r="B28" s="246" t="s">
        <v>499</v>
      </c>
      <c r="C28" s="247">
        <f>44291.47*0+44291.47*(1-0.33%)</f>
        <v>44145.31</v>
      </c>
      <c r="D28" s="248" t="s">
        <v>500</v>
      </c>
      <c r="E28" s="219"/>
      <c r="F28" s="249"/>
      <c r="G28" s="250"/>
      <c r="H28" s="249"/>
    </row>
    <row r="29" ht="38" customHeight="1" spans="1:8">
      <c r="A29" s="228" t="s">
        <v>455</v>
      </c>
      <c r="B29" s="239" t="s">
        <v>501</v>
      </c>
      <c r="C29" s="243">
        <f>SUM(C30:C33)</f>
        <v>-22000</v>
      </c>
      <c r="D29" s="251" t="s">
        <v>502</v>
      </c>
      <c r="F29" s="249"/>
      <c r="G29" s="249"/>
      <c r="H29" s="249"/>
    </row>
    <row r="30" s="218" customFormat="1" ht="21" customHeight="1" spans="1:8">
      <c r="A30" s="245">
        <v>1</v>
      </c>
      <c r="B30" s="246" t="s">
        <v>503</v>
      </c>
      <c r="C30" s="247">
        <v>-2000</v>
      </c>
      <c r="D30" s="252"/>
      <c r="F30" s="249"/>
      <c r="G30" s="249"/>
      <c r="H30" s="249"/>
    </row>
    <row r="31" s="218" customFormat="1" ht="21" customHeight="1" spans="1:4">
      <c r="A31" s="245">
        <v>2</v>
      </c>
      <c r="B31" s="246" t="s">
        <v>504</v>
      </c>
      <c r="C31" s="247">
        <v>-5000</v>
      </c>
      <c r="D31" s="252"/>
    </row>
    <row r="32" s="218" customFormat="1" ht="21" customHeight="1" spans="1:4">
      <c r="A32" s="245">
        <v>3</v>
      </c>
      <c r="B32" s="246" t="s">
        <v>505</v>
      </c>
      <c r="C32" s="247">
        <v>-5000</v>
      </c>
      <c r="D32" s="248"/>
    </row>
    <row r="33" s="220" customFormat="1" ht="21" customHeight="1" spans="1:6">
      <c r="A33" s="245">
        <v>4</v>
      </c>
      <c r="B33" s="246" t="s">
        <v>506</v>
      </c>
      <c r="C33" s="247">
        <v>-10000</v>
      </c>
      <c r="D33" s="248"/>
      <c r="F33" s="218"/>
    </row>
    <row r="34" ht="34" customHeight="1" spans="1:8">
      <c r="A34" s="228" t="s">
        <v>461</v>
      </c>
      <c r="B34" s="239" t="s">
        <v>507</v>
      </c>
      <c r="C34" s="243">
        <f>C3+C14+C22+C29</f>
        <v>2961728.03</v>
      </c>
      <c r="D34" s="253"/>
      <c r="F34" s="18">
        <f>3326889.22+C22</f>
        <v>3521278.01</v>
      </c>
      <c r="G34" s="18"/>
      <c r="H34" s="18"/>
    </row>
    <row r="35" customFormat="1" ht="34" customHeight="1" spans="1:9">
      <c r="A35" s="228" t="s">
        <v>465</v>
      </c>
      <c r="B35" s="239" t="s">
        <v>449</v>
      </c>
      <c r="C35" s="243">
        <f>(C34-F35)*3%</f>
        <v>-16854.38</v>
      </c>
      <c r="D35" s="253"/>
      <c r="E35" t="s">
        <v>508</v>
      </c>
      <c r="F35" s="254">
        <v>3523540.6</v>
      </c>
      <c r="G35" s="254" t="s">
        <v>509</v>
      </c>
      <c r="H35" s="254">
        <f>C34*5%</f>
        <v>148086.4</v>
      </c>
      <c r="I35" s="263"/>
    </row>
    <row r="36" customFormat="1" ht="34" customHeight="1" spans="1:8">
      <c r="A36" s="228" t="s">
        <v>467</v>
      </c>
      <c r="B36" s="239" t="s">
        <v>510</v>
      </c>
      <c r="C36" s="243">
        <f>C34+C35</f>
        <v>2944873.65</v>
      </c>
      <c r="D36" s="253"/>
      <c r="E36" t="s">
        <v>511</v>
      </c>
      <c r="F36" s="254">
        <f>F35-C34</f>
        <v>561812.57</v>
      </c>
      <c r="G36" s="254"/>
      <c r="H36" s="254"/>
    </row>
    <row r="37" s="17" customFormat="1" ht="34" customHeight="1" spans="1:5">
      <c r="A37" s="255" t="s">
        <v>512</v>
      </c>
      <c r="B37" s="256" t="s">
        <v>513</v>
      </c>
      <c r="C37" s="257">
        <v>2944800</v>
      </c>
      <c r="D37" s="258" t="s">
        <v>514</v>
      </c>
      <c r="E37" s="18">
        <f>C37-C36</f>
        <v>-73.65</v>
      </c>
    </row>
    <row r="38" s="45" customFormat="1" ht="14.25" spans="1:4">
      <c r="A38" s="259" t="s">
        <v>469</v>
      </c>
      <c r="B38" s="259"/>
      <c r="C38" s="259"/>
      <c r="D38" s="259"/>
    </row>
    <row r="39" s="45" customFormat="1" ht="14.25" spans="1:1">
      <c r="A39" s="260"/>
    </row>
    <row r="40" s="45" customFormat="1" ht="14.25" spans="1:1">
      <c r="A40" s="260"/>
    </row>
    <row r="41" s="45" customFormat="1" ht="14.25" spans="1:4">
      <c r="A41" s="259" t="s">
        <v>470</v>
      </c>
      <c r="B41" s="259"/>
      <c r="C41" s="259"/>
      <c r="D41" s="259"/>
    </row>
    <row r="42" s="45" customFormat="1" ht="14.25" spans="1:1">
      <c r="A42" s="260"/>
    </row>
    <row r="43" ht="14.25" spans="1:4">
      <c r="A43" s="261"/>
      <c r="B43" s="261"/>
      <c r="C43" s="262"/>
      <c r="D43" s="261"/>
    </row>
  </sheetData>
  <mergeCells count="3">
    <mergeCell ref="A1:D1"/>
    <mergeCell ref="A38:D38"/>
    <mergeCell ref="A41:D41"/>
  </mergeCells>
  <printOptions horizontalCentered="1"/>
  <pageMargins left="0.118055555555556" right="0.118055555555556" top="0.0784722222222222" bottom="0.156944444444444" header="0.298611111111111" footer="0.0388888888888889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M10" sqref="M10"/>
    </sheetView>
  </sheetViews>
  <sheetFormatPr defaultColWidth="9" defaultRowHeight="11.25"/>
  <cols>
    <col min="1" max="1" width="4" style="200" customWidth="1"/>
    <col min="2" max="2" width="8.625" style="202" customWidth="1"/>
    <col min="3" max="3" width="25.25" style="203" customWidth="1"/>
    <col min="4" max="4" width="6" style="200" customWidth="1"/>
    <col min="5" max="5" width="9.625" style="204" customWidth="1"/>
    <col min="6" max="6" width="8" style="200" customWidth="1"/>
    <col min="7" max="7" width="8.75" style="200" customWidth="1"/>
    <col min="8" max="8" width="9.875" style="204" customWidth="1"/>
    <col min="9" max="9" width="10.125" style="202" customWidth="1"/>
    <col min="10" max="10" width="13.375" style="202" customWidth="1"/>
    <col min="11" max="11" width="11.5" style="202" customWidth="1"/>
    <col min="12" max="12" width="11.5" style="202"/>
    <col min="13" max="13" width="13.75" style="200"/>
    <col min="14" max="15" width="9" style="202"/>
    <col min="16" max="16384" width="9" style="200"/>
  </cols>
  <sheetData>
    <row r="1" ht="18" customHeight="1" spans="1:9">
      <c r="A1" s="205" t="s">
        <v>515</v>
      </c>
      <c r="B1" s="205"/>
      <c r="C1" s="205"/>
      <c r="D1" s="205"/>
      <c r="E1" s="205"/>
      <c r="F1" s="205"/>
      <c r="G1" s="205"/>
      <c r="H1" s="205"/>
      <c r="I1" s="205"/>
    </row>
    <row r="2" spans="1:9">
      <c r="A2" s="206" t="s">
        <v>1</v>
      </c>
      <c r="B2" s="207" t="s">
        <v>343</v>
      </c>
      <c r="C2" s="207" t="s">
        <v>516</v>
      </c>
      <c r="D2" s="208" t="s">
        <v>517</v>
      </c>
      <c r="E2" s="209" t="s">
        <v>518</v>
      </c>
      <c r="F2" s="208" t="s">
        <v>519</v>
      </c>
      <c r="G2" s="209"/>
      <c r="H2" s="208" t="s">
        <v>520</v>
      </c>
      <c r="I2" s="212" t="s">
        <v>374</v>
      </c>
    </row>
    <row r="3" spans="1:9">
      <c r="A3" s="183" t="s">
        <v>1</v>
      </c>
      <c r="B3" s="8"/>
      <c r="C3" s="8"/>
      <c r="D3" s="184"/>
      <c r="E3" s="9"/>
      <c r="F3" s="184"/>
      <c r="G3" s="9" t="s">
        <v>521</v>
      </c>
      <c r="H3" s="184"/>
      <c r="I3" s="193"/>
    </row>
    <row r="4" s="200" customFormat="1" ht="32" customHeight="1" spans="1:15">
      <c r="A4" s="161" t="s">
        <v>441</v>
      </c>
      <c r="B4" s="158" t="s">
        <v>522</v>
      </c>
      <c r="C4" s="158"/>
      <c r="D4" s="12"/>
      <c r="E4" s="158"/>
      <c r="F4" s="12"/>
      <c r="G4" s="160"/>
      <c r="H4" s="159"/>
      <c r="I4" s="168"/>
      <c r="J4" s="202"/>
      <c r="K4" s="135"/>
      <c r="L4" s="202"/>
      <c r="N4" s="202"/>
      <c r="O4" s="202"/>
    </row>
    <row r="5" s="200" customFormat="1" ht="45" spans="1:15">
      <c r="A5" s="161">
        <v>1</v>
      </c>
      <c r="B5" s="12" t="s">
        <v>523</v>
      </c>
      <c r="C5" s="156" t="s">
        <v>524</v>
      </c>
      <c r="D5" s="210" t="s">
        <v>525</v>
      </c>
      <c r="E5" s="158">
        <f>690.32-928.19</f>
        <v>-237.87</v>
      </c>
      <c r="F5" s="159">
        <v>0.63</v>
      </c>
      <c r="G5" s="158"/>
      <c r="H5" s="159">
        <f t="shared" ref="H5:H15" si="0">E5*F5</f>
        <v>-149.86</v>
      </c>
      <c r="I5" s="168" t="s">
        <v>526</v>
      </c>
      <c r="J5" s="202"/>
      <c r="K5" s="135"/>
      <c r="L5" s="202"/>
      <c r="N5" s="202"/>
      <c r="O5" s="202"/>
    </row>
    <row r="6" s="200" customFormat="1" ht="78.75" spans="1:15">
      <c r="A6" s="161">
        <v>2</v>
      </c>
      <c r="B6" s="10" t="s">
        <v>527</v>
      </c>
      <c r="C6" s="156" t="s">
        <v>528</v>
      </c>
      <c r="D6" s="157" t="s">
        <v>525</v>
      </c>
      <c r="E6" s="158">
        <f>52.37-67.64</f>
        <v>-15.27</v>
      </c>
      <c r="F6" s="159">
        <v>312.77</v>
      </c>
      <c r="G6" s="158">
        <v>269</v>
      </c>
      <c r="H6" s="159">
        <f t="shared" si="0"/>
        <v>-4776</v>
      </c>
      <c r="I6" s="168" t="s">
        <v>526</v>
      </c>
      <c r="J6" s="202"/>
      <c r="K6" s="135"/>
      <c r="L6" s="202"/>
      <c r="N6" s="202"/>
      <c r="O6" s="202"/>
    </row>
    <row r="7" s="200" customFormat="1" ht="78.75" spans="1:15">
      <c r="A7" s="161">
        <v>3</v>
      </c>
      <c r="B7" s="10" t="s">
        <v>529</v>
      </c>
      <c r="C7" s="156" t="s">
        <v>530</v>
      </c>
      <c r="D7" s="157" t="s">
        <v>531</v>
      </c>
      <c r="E7" s="158">
        <f>9.68-50.75</f>
        <v>-41.07</v>
      </c>
      <c r="F7" s="162">
        <v>866</v>
      </c>
      <c r="G7" s="160">
        <v>630</v>
      </c>
      <c r="H7" s="159">
        <f t="shared" si="0"/>
        <v>-35566.62</v>
      </c>
      <c r="I7" s="168" t="s">
        <v>526</v>
      </c>
      <c r="J7" s="202"/>
      <c r="K7" s="135"/>
      <c r="L7" s="202"/>
      <c r="N7" s="202"/>
      <c r="O7" s="202"/>
    </row>
    <row r="8" s="200" customFormat="1" ht="78.75" spans="1:15">
      <c r="A8" s="161">
        <v>4</v>
      </c>
      <c r="B8" s="10" t="s">
        <v>532</v>
      </c>
      <c r="C8" s="156" t="s">
        <v>533</v>
      </c>
      <c r="D8" s="157" t="s">
        <v>525</v>
      </c>
      <c r="E8" s="158">
        <f>-45.9</f>
        <v>-45.9</v>
      </c>
      <c r="F8" s="159">
        <v>750</v>
      </c>
      <c r="G8" s="158">
        <v>630</v>
      </c>
      <c r="H8" s="159">
        <f t="shared" si="0"/>
        <v>-34425</v>
      </c>
      <c r="I8" s="213" t="s">
        <v>534</v>
      </c>
      <c r="J8" s="202"/>
      <c r="K8" s="135"/>
      <c r="L8" s="202"/>
      <c r="N8" s="202"/>
      <c r="O8" s="202"/>
    </row>
    <row r="9" s="200" customFormat="1" ht="56.25" spans="1:15">
      <c r="A9" s="161">
        <v>5</v>
      </c>
      <c r="B9" s="12" t="s">
        <v>535</v>
      </c>
      <c r="C9" s="156" t="s">
        <v>536</v>
      </c>
      <c r="D9" s="12" t="s">
        <v>531</v>
      </c>
      <c r="E9" s="158">
        <f>207.82-239.12</f>
        <v>-31.3</v>
      </c>
      <c r="F9" s="13">
        <v>908</v>
      </c>
      <c r="G9" s="158">
        <v>620</v>
      </c>
      <c r="H9" s="159">
        <f t="shared" si="0"/>
        <v>-28420.4</v>
      </c>
      <c r="I9" s="168" t="s">
        <v>526</v>
      </c>
      <c r="J9" s="202"/>
      <c r="K9" s="135"/>
      <c r="L9" s="202"/>
      <c r="N9" s="202"/>
      <c r="O9" s="202"/>
    </row>
    <row r="10" ht="45" spans="1:9">
      <c r="A10" s="161">
        <v>6</v>
      </c>
      <c r="B10" s="10" t="s">
        <v>523</v>
      </c>
      <c r="C10" s="156" t="s">
        <v>524</v>
      </c>
      <c r="D10" s="157" t="s">
        <v>525</v>
      </c>
      <c r="E10" s="158">
        <f>716.84-830.05</f>
        <v>-113.21</v>
      </c>
      <c r="F10" s="159">
        <v>0.63</v>
      </c>
      <c r="G10" s="158"/>
      <c r="H10" s="159">
        <f t="shared" si="0"/>
        <v>-71.32</v>
      </c>
      <c r="I10" s="168" t="s">
        <v>526</v>
      </c>
    </row>
    <row r="11" ht="33.75" spans="1:9">
      <c r="A11" s="161">
        <v>7</v>
      </c>
      <c r="B11" s="10" t="s">
        <v>537</v>
      </c>
      <c r="C11" s="156" t="s">
        <v>538</v>
      </c>
      <c r="D11" s="157" t="s">
        <v>525</v>
      </c>
      <c r="E11" s="158">
        <f>-0.3*1.2</f>
        <v>-0.36</v>
      </c>
      <c r="F11" s="159">
        <v>48.9</v>
      </c>
      <c r="G11" s="158"/>
      <c r="H11" s="159">
        <f t="shared" si="0"/>
        <v>-17.6</v>
      </c>
      <c r="I11" s="213" t="s">
        <v>539</v>
      </c>
    </row>
    <row r="12" ht="56.25" spans="1:9">
      <c r="A12" s="161">
        <v>8</v>
      </c>
      <c r="B12" s="10" t="s">
        <v>540</v>
      </c>
      <c r="C12" s="156" t="s">
        <v>541</v>
      </c>
      <c r="D12" s="157" t="s">
        <v>525</v>
      </c>
      <c r="E12" s="158">
        <f>90.78-100.98</f>
        <v>-10.2</v>
      </c>
      <c r="F12" s="159">
        <v>190</v>
      </c>
      <c r="G12" s="160">
        <v>145</v>
      </c>
      <c r="H12" s="159">
        <f t="shared" si="0"/>
        <v>-1938</v>
      </c>
      <c r="I12" s="168" t="s">
        <v>526</v>
      </c>
    </row>
    <row r="13" ht="56.25" spans="1:9">
      <c r="A13" s="161">
        <v>9</v>
      </c>
      <c r="B13" s="10" t="s">
        <v>542</v>
      </c>
      <c r="C13" s="156" t="s">
        <v>543</v>
      </c>
      <c r="D13" s="157" t="s">
        <v>531</v>
      </c>
      <c r="E13" s="158">
        <v>-37.91</v>
      </c>
      <c r="F13" s="162">
        <v>3.38</v>
      </c>
      <c r="G13" s="160"/>
      <c r="H13" s="159">
        <f t="shared" si="0"/>
        <v>-128.14</v>
      </c>
      <c r="I13" s="168" t="s">
        <v>526</v>
      </c>
    </row>
    <row r="14" ht="78.75" spans="1:9">
      <c r="A14" s="161">
        <v>10</v>
      </c>
      <c r="B14" s="12" t="s">
        <v>544</v>
      </c>
      <c r="C14" s="156" t="s">
        <v>545</v>
      </c>
      <c r="D14" s="12" t="s">
        <v>531</v>
      </c>
      <c r="E14" s="158">
        <v>-26.54</v>
      </c>
      <c r="F14" s="162">
        <v>11.05</v>
      </c>
      <c r="G14" s="160"/>
      <c r="H14" s="159">
        <f t="shared" si="0"/>
        <v>-293.27</v>
      </c>
      <c r="I14" s="168" t="s">
        <v>526</v>
      </c>
    </row>
    <row r="15" ht="22.5" spans="1:9">
      <c r="A15" s="161">
        <v>11</v>
      </c>
      <c r="B15" s="10" t="s">
        <v>546</v>
      </c>
      <c r="C15" s="156" t="s">
        <v>547</v>
      </c>
      <c r="D15" s="157" t="s">
        <v>531</v>
      </c>
      <c r="E15" s="158">
        <v>-4.37</v>
      </c>
      <c r="F15" s="162">
        <v>380</v>
      </c>
      <c r="G15" s="160">
        <v>348</v>
      </c>
      <c r="H15" s="159">
        <f t="shared" si="0"/>
        <v>-1660.6</v>
      </c>
      <c r="I15" s="168" t="s">
        <v>526</v>
      </c>
    </row>
    <row r="16" ht="56.25" spans="1:9">
      <c r="A16" s="161">
        <v>12</v>
      </c>
      <c r="B16" s="10" t="s">
        <v>548</v>
      </c>
      <c r="C16" s="156" t="s">
        <v>549</v>
      </c>
      <c r="D16" s="157" t="s">
        <v>531</v>
      </c>
      <c r="E16" s="158">
        <v>-1.76</v>
      </c>
      <c r="F16" s="162">
        <v>565</v>
      </c>
      <c r="G16" s="160">
        <v>520</v>
      </c>
      <c r="H16" s="159">
        <v>-996.66</v>
      </c>
      <c r="I16" s="168" t="s">
        <v>526</v>
      </c>
    </row>
    <row r="17" ht="45" spans="1:9">
      <c r="A17" s="161">
        <v>13</v>
      </c>
      <c r="B17" s="10" t="s">
        <v>550</v>
      </c>
      <c r="C17" s="156" t="s">
        <v>551</v>
      </c>
      <c r="D17" s="157" t="s">
        <v>525</v>
      </c>
      <c r="E17" s="160">
        <f>1.8*3</f>
        <v>5.4</v>
      </c>
      <c r="F17" s="162">
        <v>1450</v>
      </c>
      <c r="G17" s="160">
        <v>1400</v>
      </c>
      <c r="H17" s="162">
        <f>E17*F17</f>
        <v>7830</v>
      </c>
      <c r="I17" s="168" t="s">
        <v>526</v>
      </c>
    </row>
    <row r="18" ht="45" spans="1:9">
      <c r="A18" s="161">
        <v>14</v>
      </c>
      <c r="B18" s="10" t="s">
        <v>552</v>
      </c>
      <c r="C18" s="156" t="s">
        <v>553</v>
      </c>
      <c r="D18" s="157" t="s">
        <v>554</v>
      </c>
      <c r="E18" s="160">
        <v>2</v>
      </c>
      <c r="F18" s="162">
        <v>15000</v>
      </c>
      <c r="G18" s="160"/>
      <c r="H18" s="162">
        <f>E18*F18</f>
        <v>30000</v>
      </c>
      <c r="I18" s="168" t="s">
        <v>555</v>
      </c>
    </row>
    <row r="19" s="201" customFormat="1" ht="34" customHeight="1" spans="1:15">
      <c r="A19" s="189" t="s">
        <v>447</v>
      </c>
      <c r="B19" s="190" t="s">
        <v>556</v>
      </c>
      <c r="C19" s="211"/>
      <c r="D19" s="191"/>
      <c r="E19" s="192"/>
      <c r="F19" s="191"/>
      <c r="G19" s="191"/>
      <c r="H19" s="192">
        <f>SUM(H5:H18)</f>
        <v>-70613.47</v>
      </c>
      <c r="I19" s="214"/>
      <c r="J19" s="215"/>
      <c r="K19" s="215"/>
      <c r="L19" s="215"/>
      <c r="N19" s="215"/>
      <c r="O19" s="215"/>
    </row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ageMargins left="0.393055555555556" right="0.156944444444444" top="0.196527777777778" bottom="0.354166666666667" header="0.5" footer="0.0388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土建类(合同内调整项)</vt:lpstr>
      <vt:lpstr>软装摆件(合同内调整项)</vt:lpstr>
      <vt:lpstr>安装类(合同内调整项）</vt:lpstr>
      <vt:lpstr>土建类(设计变更）</vt:lpstr>
      <vt:lpstr>绿化苗木-依实结算</vt:lpstr>
      <vt:lpstr>软装摆件(设计变更金额)</vt:lpstr>
      <vt:lpstr>安装类 (变更1104-2)</vt:lpstr>
      <vt:lpstr>安装类(变更1104-3)</vt:lpstr>
      <vt:lpstr>增加化粪池（变更单SSWY-BG056)</vt:lpstr>
      <vt:lpstr>雾森系统(变更1104-3)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鱼丸与九二</cp:lastModifiedBy>
  <dcterms:created xsi:type="dcterms:W3CDTF">2009-08-21T07:16:00Z</dcterms:created>
  <cp:lastPrinted>2019-03-25T03:18:00Z</cp:lastPrinted>
  <dcterms:modified xsi:type="dcterms:W3CDTF">2022-04-22T02:20:49Z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