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99"/>
  </bookViews>
  <sheets>
    <sheet name="汇总表" sheetId="5" r:id="rId1"/>
    <sheet name="土建" sheetId="18" r:id="rId2"/>
    <sheet name="电气" sheetId="16" r:id="rId3"/>
    <sheet name="给排水 " sheetId="17" r:id="rId4"/>
    <sheet name="乔木" sheetId="19" r:id="rId5"/>
    <sheet name="灌木" sheetId="20" r:id="rId6"/>
    <sheet name="地被" sheetId="21" r:id="rId7"/>
  </sheets>
  <definedNames>
    <definedName name="_xlnm.Print_Area" localSheetId="0">汇总表!$A$1:$D$9</definedName>
  </definedNames>
  <calcPr calcId="144525"/>
</workbook>
</file>

<file path=xl/sharedStrings.xml><?xml version="1.0" encoding="utf-8"?>
<sst xmlns="http://schemas.openxmlformats.org/spreadsheetml/2006/main" count="654" uniqueCount="308">
  <si>
    <t>宜阳山水文苑项目景观施工工程变更造价汇总表（单位：元）（根据2022.04.20图纸调整）</t>
  </si>
  <si>
    <t>序号</t>
  </si>
  <si>
    <t>分类项目名称</t>
  </si>
  <si>
    <t>造价（元）</t>
  </si>
  <si>
    <t>说明</t>
  </si>
  <si>
    <t>硬质景观部分</t>
  </si>
  <si>
    <t>固定总价包干，详见后附工程量清单明细</t>
  </si>
  <si>
    <t>绿植苗木部分</t>
  </si>
  <si>
    <t>固定综合单价包干，详见后附工程量清单明细</t>
  </si>
  <si>
    <t>电气部分</t>
  </si>
  <si>
    <t>给排水部分</t>
  </si>
  <si>
    <t>雾森系统部分</t>
  </si>
  <si>
    <t>/</t>
  </si>
  <si>
    <t>雨污水部分</t>
  </si>
  <si>
    <t>合计(元)</t>
  </si>
  <si>
    <t>宜阳山水文苑项目硬质景观清单及计价表</t>
  </si>
  <si>
    <t>项目名称</t>
  </si>
  <si>
    <t>项目特征描述</t>
  </si>
  <si>
    <t>计量
单位</t>
  </si>
  <si>
    <t>工程量</t>
  </si>
  <si>
    <t>金额（元）</t>
  </si>
  <si>
    <t>综合单价（元）</t>
  </si>
  <si>
    <t>合价</t>
  </si>
  <si>
    <t>备注</t>
  </si>
  <si>
    <t>主要材料品牌</t>
  </si>
  <si>
    <t>其中：主材</t>
  </si>
  <si>
    <t>车位铺装（BG-1.1~1.4）</t>
  </si>
  <si>
    <t>做法由植草砖地面变更为压膜地面，面积也相应减少</t>
  </si>
  <si>
    <t>素土夯实</t>
  </si>
  <si>
    <t>1.素土夯实，夯实度≥93%
2.其它说明：其它满足规范和设计图纸要求</t>
  </si>
  <si>
    <t>m2</t>
  </si>
  <si>
    <t>灰土垫层</t>
  </si>
  <si>
    <t>1.150厚灰土垫层
2.其它说明：其它满足规范和设计图纸要求</t>
  </si>
  <si>
    <t>m3</t>
  </si>
  <si>
    <t>砼垫层</t>
  </si>
  <si>
    <t>1.混凝土强度等级:100厚C20混凝土垫层，长度小于6m，缝宽10
2.混凝土拌合料要求：符合规范要求
3.模板安拆费用计入综合单价，支模方式综合考虑
4.其它说明：其它满足规范和设计图纸要求</t>
  </si>
  <si>
    <t>压膜地坪</t>
  </si>
  <si>
    <t>1.2~4厚压膜地坪
2.其它说明：其它满足规范和设计图纸要求</t>
  </si>
  <si>
    <t>地面铺装</t>
  </si>
  <si>
    <t>1.80厚250*190植草砖
2.其他说明：其它满足规范和设计图纸要求</t>
  </si>
  <si>
    <t>东入口南侧调整（BG-2.1~2.3）</t>
  </si>
  <si>
    <t>种植池调整，增加成品岗亭平台</t>
  </si>
  <si>
    <t>PC砖仿荔枝面芝麻黑荔枝面</t>
  </si>
  <si>
    <t>1.15厚PC砖，仿荔枝面芝麻黑荔枝面
2.30厚1：3无碱水泥砂浆结合层
3.其它满足规范和设计图纸要求</t>
  </si>
  <si>
    <t>荔枝面芝麻黑花岗岩</t>
  </si>
  <si>
    <t>1.25厚300*150荔枝面芝麻黑花岗岩
2.30厚1：3无碱水泥砂浆结合层
3.其它满足规范和设计图纸要求</t>
  </si>
  <si>
    <t>碎石垫层</t>
  </si>
  <si>
    <t>1.80厚级配碎石垫层
2.其它说明：其它满足规范和设计图纸要求</t>
  </si>
  <si>
    <t>1.混凝土强度等级:100厚C20混凝土
2.混凝土拌合料要求：符合规范要求
3.模板安拆费用计入综合单价，支模方式综合考虑
4.其它满足规范和设计图纸要求</t>
  </si>
  <si>
    <t>GD-1.4台阶节点2</t>
  </si>
  <si>
    <t>1.素土夯实，压实系数≥0.93
2.其它满足规范和设计图纸要求</t>
  </si>
  <si>
    <t>1.100厚级配碎石垫层
2.其它说明：其它满足规范和设计图纸要求</t>
  </si>
  <si>
    <t>砼台阶</t>
  </si>
  <si>
    <t>1.混凝土强度等级:C20混凝土
2.混凝土拌合料要求：符合规范要求
3.模板安拆费用计入综合单价，支模方式综合考虑
4.其它说明：其它满足规范和设计图纸要求</t>
  </si>
  <si>
    <t>台阶铺装</t>
  </si>
  <si>
    <t>1.50厚荔枝面芝麻灰花岗岩，倒角10*10
2.30厚1：2.5无碱水泥砂浆结合层
3.其它满足规范和设计图纸要求</t>
  </si>
  <si>
    <t>1.25厚荔枝面芝麻灰花岗岩
2.30厚1：2.5无碱水泥砂浆结合层
3.其它满足规范和设计图纸要求</t>
  </si>
  <si>
    <t>GD-1.5花池节点1</t>
  </si>
  <si>
    <t>挖土方</t>
  </si>
  <si>
    <t>1.土壤类别：综合
2.挖土深度：详见图纸设计 
3.弃土运距：自行考虑</t>
  </si>
  <si>
    <t>1.混凝土强度等级:100厚C15混凝土
2.混凝土拌合料要求：符合规范要求
3.模板安拆费用计入综合单价，支模方式综合考虑
4.其它说明：其它满足规范和设计图纸要求</t>
  </si>
  <si>
    <t>砖基础</t>
  </si>
  <si>
    <t>1.砖品种、规格、强度等级：MU7.5普通砖
2.基础类型：砖基础
3.砂浆强度等级：M7.5水泥砂浆
4.其它说明：其他满足规范和图纸设计要求</t>
  </si>
  <si>
    <t>防潮层</t>
  </si>
  <si>
    <t>1.20厚1:2.5水泥砂浆内掺5%防水粉
2.其它说明：其他满足规范和图纸设计要求</t>
  </si>
  <si>
    <t>压顶</t>
  </si>
  <si>
    <t>1.混凝土强度等级:100厚C20混凝土
2.混凝土拌合料要求：符合规范要求
3.模板安拆费用计入综合单价，支模方式综合考虑
4.其它说明：其它满足规范和设计图纸要求</t>
  </si>
  <si>
    <t>现浇构件钢筋</t>
  </si>
  <si>
    <t>1.现浇构件带肋钢筋HPB400以内  直径≤10mm
2.含钢筋搭接
3.其它说明：其它满足规范和设计图纸要求</t>
  </si>
  <si>
    <t>t</t>
  </si>
  <si>
    <t>花池顶面铺装</t>
  </si>
  <si>
    <t>1.50厚荔枝面芝麻灰花岗岩
2.20厚1：2.5无碱水泥砂浆结合层
3.其它满足规范和设计图纸要求</t>
  </si>
  <si>
    <t>花池侧面铺装</t>
  </si>
  <si>
    <t>1.25厚荔枝面芝麻灰花岗岩
2.20厚1：2.5无碱水泥砂浆结合层
3.其它满足规范和设计图纸要求</t>
  </si>
  <si>
    <t>东入口北侧消防门调整（BG-3.1）</t>
  </si>
  <si>
    <t>增加1.5m宽子母门，预留电子门禁。（原消防门设计尺寸为1m，也有门禁系统）</t>
  </si>
  <si>
    <t>项</t>
  </si>
  <si>
    <t>消防门一</t>
  </si>
  <si>
    <t>1.钢材规格:热镀锌矩形钢管70*50*5+热镀锌矩形钢管30*2，含预埋件。
2.外喷深咖色氟碳漆，含成品门轴、成品门栓、成品钢轮。
3.运距自行考虑
4.其他说明详见图纸设计及规范</t>
  </si>
  <si>
    <t>消防门</t>
  </si>
  <si>
    <t>在原设计的基础上新增1个1.5m宽的门</t>
  </si>
  <si>
    <t>消防门二</t>
  </si>
  <si>
    <t>在原设计的基础上由1.05m宽的门变更为1.5m宽的门</t>
  </si>
  <si>
    <t>成品岗亭</t>
  </si>
  <si>
    <t>1.规格尺寸：2.5m*3m
2.材质：底座8公分的镀锌管。顶部白色部分是镂空造型。中间的装饰条和顶部材质是镀锌板的，颜色为深咖的汽车烤漆。
配置的是半透明实厚6MM灰玻，里面内置保温隔热板 ，彩铝窗。
整体内部主要材质是1.5镀锌板钢结构，
防火保温隔热层，pvc吊顶，地面是防滑铝板 上铺仿大理石地板，内部暗走的线路、插座、空调插座   控制开关、灯等。</t>
  </si>
  <si>
    <t>南大门</t>
  </si>
  <si>
    <t>大门牌匾由4.8m*1.4m变更3.86*1.1，且大门镂空造型变更</t>
  </si>
  <si>
    <t>牌匾</t>
  </si>
  <si>
    <t>1.山水文苑牌匾4.8m*1.4m
2.2厚不锈钢板电镀紫铜，不锈钢字体logo电镀黄铜
3.口100x5镀锌钢管，口100x5镀锌钢管，口50x4镀锌钢管
4.其他说明详见图纸设计及规范</t>
  </si>
  <si>
    <t>1.山水文苑牌匾3.86*1.1
2.1.2厚不锈钢板电镀紫铜，不锈钢字体logo电镀黄铜
3.口100x4镀锌钢管，口100x4镀锌钢管，口50x1.5镀锌钢管
4.其他说明详见图纸设计及规范</t>
  </si>
  <si>
    <t>铁艺门</t>
  </si>
  <si>
    <t>1.铁艺门，口200x150x5镀锌钢管、口150x100x5镀锌钢管、口60x4镀锌钢管、口20x1.5镀锌钢管
2.深咖色氟碳漆饰面
3.含门轴、门把手、门栓、地插等五金
4.含铁艺门纹
5.其他说明详见图纸设计及规范</t>
  </si>
  <si>
    <t>1.在原设计的基础上，镂空造型纹样由镀锌钢管变更为1.5厚镀锌钢板</t>
  </si>
  <si>
    <t>合计</t>
  </si>
  <si>
    <r>
      <rPr>
        <sz val="10"/>
        <rFont val="宋体"/>
        <charset val="1"/>
      </rPr>
      <t>第</t>
    </r>
    <r>
      <rPr>
        <sz val="10"/>
        <rFont val="Arial"/>
        <charset val="1"/>
      </rPr>
      <t>1</t>
    </r>
    <r>
      <rPr>
        <sz val="10"/>
        <rFont val="宋体"/>
        <charset val="1"/>
      </rPr>
      <t>项</t>
    </r>
    <r>
      <rPr>
        <sz val="10"/>
        <rFont val="Arial"/>
        <charset val="1"/>
      </rPr>
      <t>~</t>
    </r>
    <r>
      <rPr>
        <sz val="10"/>
        <rFont val="宋体"/>
        <charset val="1"/>
      </rPr>
      <t>第4项</t>
    </r>
  </si>
  <si>
    <t>宜阳山水文苑项目景观电气清单与计价表（根据2022.01.10图纸调整）</t>
  </si>
  <si>
    <t>变更工程量</t>
  </si>
  <si>
    <t>景观电气</t>
  </si>
  <si>
    <t>配管</t>
  </si>
  <si>
    <t>1、名称：穿线管
2、规格：PE32
3、敷设方式:埋地敷设
4、未详尽处满足图纸设计、相关规范要求</t>
  </si>
  <si>
    <t>m</t>
  </si>
  <si>
    <t>联塑</t>
  </si>
  <si>
    <t>电缆</t>
  </si>
  <si>
    <t>1、名称：电缆
2、规格：YJV-3*6
3、敷设方式:穿管埋地敷设
4、电缆头制安及相关试验等
5、未详尽处满足图纸设计、相关规范要求</t>
  </si>
  <si>
    <t>郑三</t>
  </si>
  <si>
    <t>庭院灯</t>
  </si>
  <si>
    <t>1、名称:M1庭院灯
2、规格：70w LED 220V 3000K IP65 H=3500mm
3、含灯具基础、预埋基础螺栓、接地、调试等
4、详见景观详图
5、未详尽处满足图纸设计、相关规范要求</t>
  </si>
  <si>
    <t>套</t>
  </si>
  <si>
    <t>欧普</t>
  </si>
  <si>
    <t>草坪灯</t>
  </si>
  <si>
    <t>1、名称:M2草坪灯
2、规格：15w LED 220V 3000K IP65 H=600mm
3、含灯具基础、预埋基础螺栓、接地、调试等
4、详见景观详图
5、未详尽处满足图纸设计、相关规范要求</t>
  </si>
  <si>
    <t>接线井</t>
  </si>
  <si>
    <t>1、名称:手孔井
2、规格：500*500*500
3、具体做法参照图集08D800-7，直通和转角式P62
4、未详尽处满足图纸设计、相关规范要求</t>
  </si>
  <si>
    <t>座</t>
  </si>
  <si>
    <t>挖沟槽土方</t>
  </si>
  <si>
    <t>1、名称:土方的开挖
2、含穿线管、配电箱基础、灯具基础、手孔井及变压器井土方</t>
  </si>
  <si>
    <t>回填方</t>
  </si>
  <si>
    <t>1、名称:土方的回填
2、含穿线管、配电箱基础、灯具基础、手孔井及变压器井土方</t>
  </si>
  <si>
    <t>合计（元）</t>
  </si>
  <si>
    <t>注：1.综合单价中包含：人工费、材料费、机械费、措施费、安全文明施工费、扬尘治理增加费、疫情增加费、规费、管理费、利润、税金(增值税专用发票)、风险、调试、材料检测检验费等一切与之相关全部费用。
    2.若投标人对清单存在疑问，请在招标文件约定的期限内提出，经招标人确认后补发或修改此项清单。若无异议，本次清单无论是否存在缺项、漏项、工程量偏差，均视为乙方已综合考虑在固定合同总价内。</t>
  </si>
  <si>
    <t>宜阳山水文苑项目景观给排水清单与计价（根据2022.01.10图纸调整）</t>
  </si>
  <si>
    <t>灌溉给水</t>
  </si>
  <si>
    <t>给水管</t>
  </si>
  <si>
    <t>1、名称：PE给水管
2、规格：De90
3、连接方式：热熔连接
4、压力等级:1.25Mpa
5、压力试验及吹、洗设计要求:
  满足规范及设计要求
6、未详尽处满足图纸设计、相关规范要求</t>
  </si>
  <si>
    <t>1、名称：PE给水管
2、规格：De75
3、连接方式：热熔连接
4、压力等级:1.25Mpa
5、压力试验及吹、洗设计要求:
  满足规范及设计要求
6、未详尽处满足图纸设计、相关规范要求</t>
  </si>
  <si>
    <t>1、名称：PE给水管
2、规格：De63
3、连接方式：热熔连接
4、压力等级:1.25Mpa
5、压力试验及吹、洗设计要求:
  满足规范及设计要求
6、未详尽处满足图纸设计、相关规范要求</t>
  </si>
  <si>
    <t>1、名称：PE给水管
2、规格：De50
3、连接方式：热熔连接
4、压力等级:1.25Mpa
5、压力试验及吹、洗设计要求:
  满足规范及设计要求
6、未详尽处满足图纸设计、相关规范要求</t>
  </si>
  <si>
    <t>1、名称：PE给水管
2、规格：De32
3、连接方式：热熔连接
4、压力等级:1.25Mpa
5、压力试验及吹、洗设计要求:
  满足规范及设计要求
6、未详尽处满足图纸设计、相关规范要求</t>
  </si>
  <si>
    <t>1、名称:土方的开挖
2、未详尽处满足图纸设计、相关规范要求</t>
  </si>
  <si>
    <t>1、名称:土方的回填
2、未详尽处满足图纸设计、相关规范要求</t>
  </si>
  <si>
    <t>景观雨水</t>
  </si>
  <si>
    <t>回填土</t>
  </si>
  <si>
    <t>HDPE双壁波纹管</t>
  </si>
  <si>
    <t>1.安装部位:室外
2.介质:雨水
3.材质、规格:HDPE双壁波纹管（环刚度SN4）De160
4.连接形式:双向承插弹性密封橡胶圈连接
5.管道基础：200mm砂垫层
6.清单中已考虑与此项工作相关的一切费用</t>
  </si>
  <si>
    <t>中财</t>
  </si>
  <si>
    <t>1.安装部位:室外
2.介质:雨水
3.材质、规格:PE管De110
4.连接形式:详见图纸设计
5.管道基础：200mm砂垫层
6.清单中已考虑与此项工作相关的一切费用</t>
  </si>
  <si>
    <t>室外排水地漏DN100</t>
  </si>
  <si>
    <t>1.名称:室外排水地漏
2.规格：DN100
3.清单中已考虑与此项工作相关的一切费用</t>
  </si>
  <si>
    <t>个</t>
  </si>
  <si>
    <t>高分子雨水篦子排水口</t>
  </si>
  <si>
    <t>1.名称:高分子雨水篦子排水口
2.做法详园建
3.清单中已考虑与此项工作相关的一切费用</t>
  </si>
  <si>
    <t>乔木数量统计表</t>
  </si>
  <si>
    <t>名称</t>
  </si>
  <si>
    <t>规格</t>
  </si>
  <si>
    <t>变更前数量</t>
  </si>
  <si>
    <t>变更后数量</t>
  </si>
  <si>
    <t>增减</t>
  </si>
  <si>
    <t>单位</t>
  </si>
  <si>
    <t>单价（元）</t>
  </si>
  <si>
    <t>胸（地）径(cm)</t>
  </si>
  <si>
    <t>高度(m)</t>
  </si>
  <si>
    <t>冠幅(m)</t>
  </si>
  <si>
    <t>枝下高(m)</t>
  </si>
  <si>
    <t>丛生朴树</t>
  </si>
  <si>
    <t>— —</t>
  </si>
  <si>
    <t>9.0-10.0</t>
  </si>
  <si>
    <t>5.0-5.5</t>
  </si>
  <si>
    <t>株</t>
  </si>
  <si>
    <t>国槐A</t>
  </si>
  <si>
    <t>23-25</t>
  </si>
  <si>
    <t>8.0-9.0</t>
  </si>
  <si>
    <t>4.0-4.5</t>
  </si>
  <si>
    <t>2.5-3</t>
  </si>
  <si>
    <t>国槐B</t>
  </si>
  <si>
    <t>18-20</t>
  </si>
  <si>
    <t>7.0-8.0</t>
  </si>
  <si>
    <t>3.5-4.0</t>
  </si>
  <si>
    <t>2-2.5</t>
  </si>
  <si>
    <t>丛生五角枫</t>
  </si>
  <si>
    <t>4.5-5.0</t>
  </si>
  <si>
    <t>银杏</t>
  </si>
  <si>
    <t>栾树</t>
  </si>
  <si>
    <t>20-22</t>
  </si>
  <si>
    <t>7-8</t>
  </si>
  <si>
    <t>4-4.5</t>
  </si>
  <si>
    <t>乌桕</t>
  </si>
  <si>
    <t>16-18</t>
  </si>
  <si>
    <t>6.0-7.0</t>
  </si>
  <si>
    <t>3.0-3.5</t>
  </si>
  <si>
    <t>1.5-2</t>
  </si>
  <si>
    <t>北美海棠</t>
  </si>
  <si>
    <t>D12-13</t>
  </si>
  <si>
    <t>2.5-3.0</t>
  </si>
  <si>
    <t>＜0.8</t>
  </si>
  <si>
    <t>日本晚樱</t>
  </si>
  <si>
    <t>紫玉兰</t>
  </si>
  <si>
    <t>12-13</t>
  </si>
  <si>
    <t>＜1</t>
  </si>
  <si>
    <t>红叶李</t>
  </si>
  <si>
    <t>D7-8</t>
  </si>
  <si>
    <t>2.0-2.5</t>
  </si>
  <si>
    <t>＜0.5</t>
  </si>
  <si>
    <t>红梅</t>
  </si>
  <si>
    <t>鸡爪槭</t>
  </si>
  <si>
    <t>D9-10</t>
  </si>
  <si>
    <t>山杏A</t>
  </si>
  <si>
    <t>D18-20</t>
  </si>
  <si>
    <r>
      <rPr>
        <sz val="10"/>
        <rFont val="宋体"/>
        <charset val="134"/>
      </rPr>
      <t>山杏</t>
    </r>
    <r>
      <rPr>
        <sz val="10"/>
        <rFont val="Arial"/>
        <charset val="0"/>
      </rPr>
      <t>B</t>
    </r>
  </si>
  <si>
    <t>D13-14</t>
  </si>
  <si>
    <r>
      <rPr>
        <sz val="10"/>
        <rFont val="宋体"/>
        <charset val="134"/>
      </rPr>
      <t>山杏</t>
    </r>
    <r>
      <rPr>
        <sz val="10"/>
        <rFont val="Arial"/>
        <charset val="0"/>
      </rPr>
      <t>C</t>
    </r>
  </si>
  <si>
    <t>D8-9</t>
  </si>
  <si>
    <t>山楂</t>
  </si>
  <si>
    <t>10-12</t>
  </si>
  <si>
    <t>3.5-4</t>
  </si>
  <si>
    <t>3-3.5</t>
  </si>
  <si>
    <t>0.8-1.2</t>
  </si>
  <si>
    <t>花石榴</t>
  </si>
  <si>
    <t>树状月季</t>
  </si>
  <si>
    <t>1.5-1.8</t>
  </si>
  <si>
    <t>1.0-1.2</t>
  </si>
  <si>
    <t>丛生紫薇</t>
  </si>
  <si>
    <t>红枫</t>
  </si>
  <si>
    <t>大叶女贞</t>
  </si>
  <si>
    <t>5-5.5</t>
  </si>
  <si>
    <t>广玉兰</t>
  </si>
  <si>
    <t>14-15</t>
  </si>
  <si>
    <t>桂花A</t>
  </si>
  <si>
    <t>4.5-5</t>
  </si>
  <si>
    <t>桂花B</t>
  </si>
  <si>
    <t>桂花C</t>
  </si>
  <si>
    <t>椤木石楠</t>
  </si>
  <si>
    <t>原丛生朴树</t>
  </si>
  <si>
    <t>原丛生石楠</t>
  </si>
  <si>
    <t>原丛生红叶李</t>
  </si>
  <si>
    <t>原北美海棠</t>
  </si>
  <si>
    <t>原国槐</t>
  </si>
  <si>
    <t>原大叶女贞</t>
  </si>
  <si>
    <t>原白蜡A</t>
  </si>
  <si>
    <t>原白蜡B</t>
  </si>
  <si>
    <t>原笼子桂花</t>
  </si>
  <si>
    <t>原红枫</t>
  </si>
  <si>
    <t>原花石榴</t>
  </si>
  <si>
    <t>原造型罗汉松</t>
  </si>
  <si>
    <t>刚竹</t>
  </si>
  <si>
    <t>3-4</t>
  </si>
  <si>
    <t>5.0-6.0</t>
  </si>
  <si>
    <t>自然冠幅</t>
  </si>
  <si>
    <t>小计（元）</t>
  </si>
  <si>
    <t>灌木数量统计表</t>
  </si>
  <si>
    <t>高度(cm)</t>
  </si>
  <si>
    <t>冠幅(cm)</t>
  </si>
  <si>
    <t>丛生腊梅</t>
  </si>
  <si>
    <t>220-250</t>
  </si>
  <si>
    <t>200-220</t>
  </si>
  <si>
    <t>丛生木槿</t>
  </si>
  <si>
    <t>180-200</t>
  </si>
  <si>
    <t>150-180</t>
  </si>
  <si>
    <t>丛生紫荆</t>
  </si>
  <si>
    <t>榆叶梅</t>
  </si>
  <si>
    <t>大叶黄杨球A</t>
  </si>
  <si>
    <t>大叶黄杨球B</t>
  </si>
  <si>
    <t>大叶黄杨球C</t>
  </si>
  <si>
    <t>海桐球A</t>
  </si>
  <si>
    <t>海桐球B</t>
  </si>
  <si>
    <t>海桐球C</t>
  </si>
  <si>
    <t>红叶石楠球A</t>
  </si>
  <si>
    <t>红叶石楠球B</t>
  </si>
  <si>
    <t>结香</t>
  </si>
  <si>
    <t>100-120</t>
  </si>
  <si>
    <t>红花继木球</t>
  </si>
  <si>
    <t>金森女贞球</t>
  </si>
  <si>
    <r>
      <rPr>
        <sz val="10"/>
        <rFont val="宋体"/>
        <charset val="134"/>
      </rPr>
      <t>瓜子黄杨球</t>
    </r>
    <r>
      <rPr>
        <sz val="10"/>
        <rFont val="Arial"/>
        <charset val="0"/>
      </rPr>
      <t>A</t>
    </r>
  </si>
  <si>
    <t>瓜子黄杨球B</t>
  </si>
  <si>
    <t>地被数量统计表</t>
  </si>
  <si>
    <t>变更前面积</t>
  </si>
  <si>
    <t>变更后面积</t>
  </si>
  <si>
    <r>
      <rPr>
        <sz val="10"/>
        <rFont val="宋体"/>
        <charset val="134"/>
      </rPr>
      <t>高度</t>
    </r>
    <r>
      <rPr>
        <sz val="10"/>
        <rFont val="Arial"/>
        <charset val="0"/>
      </rPr>
      <t>(cm)</t>
    </r>
  </si>
  <si>
    <r>
      <rPr>
        <sz val="10"/>
        <rFont val="宋体"/>
        <charset val="134"/>
      </rPr>
      <t>冠幅</t>
    </r>
    <r>
      <rPr>
        <sz val="10"/>
        <rFont val="Arial"/>
        <charset val="0"/>
      </rPr>
      <t>(cm)</t>
    </r>
  </si>
  <si>
    <t>密度</t>
  </si>
  <si>
    <t>北海道黄杨</t>
  </si>
  <si>
    <r>
      <rPr>
        <sz val="10"/>
        <rFont val="宋体"/>
        <charset val="134"/>
      </rPr>
      <t>修剪后成型高度</t>
    </r>
    <r>
      <rPr>
        <sz val="10"/>
        <rFont val="Arial"/>
        <charset val="0"/>
      </rPr>
      <t>120</t>
    </r>
  </si>
  <si>
    <t>30-35</t>
  </si>
  <si>
    <r>
      <rPr>
        <sz val="10"/>
        <rFont val="Arial"/>
        <charset val="0"/>
      </rPr>
      <t>15</t>
    </r>
    <r>
      <rPr>
        <sz val="10"/>
        <rFont val="宋体"/>
        <charset val="134"/>
      </rPr>
      <t>株</t>
    </r>
    <r>
      <rPr>
        <sz val="10"/>
        <rFont val="Arial"/>
        <charset val="0"/>
      </rPr>
      <t>/m</t>
    </r>
  </si>
  <si>
    <t>八角金盘</t>
  </si>
  <si>
    <t>55-60</t>
  </si>
  <si>
    <t>35-40</t>
  </si>
  <si>
    <r>
      <rPr>
        <sz val="10"/>
        <rFont val="Arial"/>
        <charset val="0"/>
      </rPr>
      <t>25</t>
    </r>
    <r>
      <rPr>
        <sz val="10"/>
        <rFont val="宋体"/>
        <charset val="134"/>
      </rPr>
      <t>株</t>
    </r>
    <r>
      <rPr>
        <sz val="10"/>
        <rFont val="Arial"/>
        <charset val="0"/>
      </rPr>
      <t>/m2</t>
    </r>
  </si>
  <si>
    <t>m²</t>
  </si>
  <si>
    <t>海桐</t>
  </si>
  <si>
    <t>50-60</t>
  </si>
  <si>
    <t>30-40</t>
  </si>
  <si>
    <r>
      <rPr>
        <sz val="10"/>
        <rFont val="Arial"/>
        <charset val="0"/>
      </rPr>
      <t>36</t>
    </r>
    <r>
      <rPr>
        <sz val="10"/>
        <rFont val="宋体"/>
        <charset val="134"/>
      </rPr>
      <t>株</t>
    </r>
    <r>
      <rPr>
        <sz val="10"/>
        <rFont val="Arial"/>
        <charset val="0"/>
      </rPr>
      <t>/m2</t>
    </r>
  </si>
  <si>
    <t>洒金珊瑚</t>
  </si>
  <si>
    <t>40-50</t>
  </si>
  <si>
    <t>25-30</t>
  </si>
  <si>
    <r>
      <rPr>
        <sz val="10"/>
        <rFont val="Arial"/>
        <charset val="0"/>
      </rPr>
      <t>49</t>
    </r>
    <r>
      <rPr>
        <sz val="10"/>
        <rFont val="宋体"/>
        <charset val="134"/>
      </rPr>
      <t>株</t>
    </r>
    <r>
      <rPr>
        <sz val="10"/>
        <rFont val="Arial"/>
        <charset val="0"/>
      </rPr>
      <t>/m2</t>
    </r>
  </si>
  <si>
    <t>大叶黄杨</t>
  </si>
  <si>
    <t>红叶石楠</t>
  </si>
  <si>
    <t>20-25</t>
  </si>
  <si>
    <t>金边黄杨</t>
  </si>
  <si>
    <t>瓜子黄杨</t>
  </si>
  <si>
    <t>20-30</t>
  </si>
  <si>
    <r>
      <rPr>
        <sz val="10"/>
        <rFont val="Arial"/>
        <charset val="0"/>
      </rPr>
      <t>64</t>
    </r>
    <r>
      <rPr>
        <sz val="10"/>
        <rFont val="宋体"/>
        <charset val="134"/>
      </rPr>
      <t>株</t>
    </r>
    <r>
      <rPr>
        <sz val="10"/>
        <rFont val="Arial"/>
        <charset val="0"/>
      </rPr>
      <t>/m2</t>
    </r>
  </si>
  <si>
    <t>金森女贞</t>
  </si>
  <si>
    <t>毛鹃</t>
  </si>
  <si>
    <t>红花继木</t>
  </si>
  <si>
    <t>佛甲草</t>
  </si>
  <si>
    <t>10-15</t>
  </si>
  <si>
    <t>满铺</t>
  </si>
  <si>
    <t>兰花三七</t>
  </si>
  <si>
    <t>10-20</t>
  </si>
  <si>
    <t>——</t>
  </si>
  <si>
    <t>金边麦冬</t>
  </si>
  <si>
    <t>草坪（混播草）</t>
  </si>
  <si>
    <t>私家花园假草坪</t>
  </si>
  <si>
    <t>凌霄</t>
  </si>
  <si>
    <t>藤条长度150-200</t>
  </si>
  <si>
    <r>
      <rPr>
        <sz val="10"/>
        <rFont val="Arial"/>
        <charset val="0"/>
      </rPr>
      <t>1</t>
    </r>
    <r>
      <rPr>
        <sz val="10"/>
        <rFont val="宋体"/>
        <charset val="134"/>
      </rPr>
      <t>株</t>
    </r>
    <r>
      <rPr>
        <sz val="10"/>
        <rFont val="Arial"/>
        <charset val="0"/>
      </rPr>
      <t>/m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</si>
</sst>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0.000_ "/>
  </numFmts>
  <fonts count="44">
    <font>
      <sz val="10"/>
      <name val="Arial"/>
      <charset val="1"/>
    </font>
    <font>
      <sz val="10"/>
      <name val="Arial"/>
      <charset val="0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8"/>
      <name val="Arial"/>
      <charset val="134"/>
    </font>
    <font>
      <b/>
      <sz val="9"/>
      <name val="宋体"/>
      <charset val="134"/>
    </font>
    <font>
      <sz val="8"/>
      <name val="宋体"/>
      <charset val="134"/>
      <scheme val="minor"/>
    </font>
    <font>
      <b/>
      <sz val="11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  <scheme val="minor"/>
    </font>
    <font>
      <sz val="9"/>
      <name val="Arial"/>
      <charset val="134"/>
    </font>
    <font>
      <b/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"/>
    </font>
    <font>
      <b/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theme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theme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medium">
        <color auto="1"/>
      </right>
      <top style="thin">
        <color theme="1"/>
      </top>
      <bottom/>
      <diagonal/>
    </border>
    <border>
      <left style="thin">
        <color theme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theme="1"/>
      </top>
      <bottom style="thin">
        <color auto="1"/>
      </bottom>
      <diagonal/>
    </border>
    <border>
      <left style="thin">
        <color theme="1"/>
      </left>
      <right/>
      <top style="medium">
        <color theme="1"/>
      </top>
      <bottom style="thin">
        <color auto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 style="thin">
        <color theme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24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6" fillId="5" borderId="32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19" borderId="34" applyNumberFormat="0" applyFon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5" applyNumberFormat="0" applyFill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9" fillId="4" borderId="37" applyNumberFormat="0" applyAlignment="0" applyProtection="0">
      <alignment vertical="center"/>
    </xf>
    <xf numFmtId="0" fontId="25" fillId="4" borderId="32" applyNumberFormat="0" applyAlignment="0" applyProtection="0">
      <alignment vertical="center"/>
    </xf>
    <xf numFmtId="0" fontId="40" fillId="28" borderId="38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43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52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/>
    <xf numFmtId="0" fontId="4" fillId="0" borderId="3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3" xfId="0" applyBorder="1"/>
    <xf numFmtId="0" fontId="1" fillId="0" borderId="0" xfId="0" applyFont="1" applyFill="1" applyBorder="1" applyAlignment="1"/>
    <xf numFmtId="0" fontId="3" fillId="0" borderId="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0" fontId="7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7" fillId="0" borderId="3" xfId="55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/>
    <xf numFmtId="0" fontId="10" fillId="0" borderId="21" xfId="0" applyFont="1" applyFill="1" applyBorder="1" applyAlignment="1">
      <alignment horizontal="center"/>
    </xf>
    <xf numFmtId="176" fontId="10" fillId="0" borderId="3" xfId="0" applyNumberFormat="1" applyFont="1" applyFill="1" applyBorder="1" applyAlignment="1"/>
    <xf numFmtId="176" fontId="9" fillId="0" borderId="21" xfId="0" applyNumberFormat="1" applyFont="1" applyFill="1" applyBorder="1" applyAlignment="1">
      <alignment horizontal="center"/>
    </xf>
    <xf numFmtId="176" fontId="9" fillId="0" borderId="21" xfId="0" applyNumberFormat="1" applyFont="1" applyFill="1" applyBorder="1" applyAlignment="1">
      <alignment horizontal="center" wrapText="1"/>
    </xf>
    <xf numFmtId="176" fontId="10" fillId="0" borderId="5" xfId="0" applyNumberFormat="1" applyFont="1" applyFill="1" applyBorder="1" applyAlignment="1"/>
    <xf numFmtId="176" fontId="10" fillId="0" borderId="22" xfId="0" applyNumberFormat="1" applyFont="1" applyFill="1" applyBorder="1" applyAlignment="1">
      <alignment horizontal="center"/>
    </xf>
    <xf numFmtId="176" fontId="11" fillId="0" borderId="3" xfId="0" applyNumberFormat="1" applyFont="1" applyFill="1" applyBorder="1" applyAlignment="1">
      <alignment horizontal="left" vertical="center" wrapText="1"/>
    </xf>
    <xf numFmtId="176" fontId="5" fillId="0" borderId="0" xfId="0" applyNumberFormat="1" applyFont="1" applyFill="1" applyAlignment="1">
      <alignment vertical="center"/>
    </xf>
    <xf numFmtId="176" fontId="7" fillId="0" borderId="3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7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176" fontId="17" fillId="0" borderId="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/>
    <xf numFmtId="0" fontId="0" fillId="0" borderId="21" xfId="0" applyFont="1" applyFill="1" applyBorder="1" applyAlignment="1"/>
    <xf numFmtId="0" fontId="3" fillId="0" borderId="21" xfId="0" applyFont="1" applyFill="1" applyBorder="1" applyAlignment="1" applyProtection="1">
      <protection locked="0"/>
    </xf>
    <xf numFmtId="0" fontId="0" fillId="0" borderId="21" xfId="0" applyFont="1" applyFill="1" applyBorder="1" applyAlignment="1" applyProtection="1">
      <protection locked="0"/>
    </xf>
    <xf numFmtId="0" fontId="15" fillId="0" borderId="5" xfId="0" applyFont="1" applyFill="1" applyBorder="1" applyAlignment="1"/>
    <xf numFmtId="0" fontId="3" fillId="0" borderId="21" xfId="0" applyFont="1" applyFill="1" applyBorder="1" applyAlignment="1" applyProtection="1">
      <alignment wrapText="1"/>
      <protection locked="0"/>
    </xf>
    <xf numFmtId="0" fontId="15" fillId="0" borderId="28" xfId="0" applyFont="1" applyFill="1" applyBorder="1" applyAlignment="1"/>
    <xf numFmtId="0" fontId="0" fillId="0" borderId="31" xfId="0" applyFont="1" applyFill="1" applyBorder="1" applyAlignment="1"/>
    <xf numFmtId="0" fontId="18" fillId="0" borderId="0" xfId="0" applyFont="1" applyFill="1" applyProtection="1"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 wrapText="1"/>
    </xf>
    <xf numFmtId="176" fontId="7" fillId="2" borderId="3" xfId="0" applyNumberFormat="1" applyFont="1" applyFill="1" applyBorder="1" applyAlignment="1" applyProtection="1">
      <alignment horizontal="center" vertical="center" wrapText="1"/>
    </xf>
    <xf numFmtId="176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</xf>
    <xf numFmtId="176" fontId="7" fillId="0" borderId="3" xfId="0" applyNumberFormat="1" applyFont="1" applyFill="1" applyBorder="1" applyAlignment="1" applyProtection="1">
      <alignment horizontal="center" vertical="center" wrapText="1"/>
    </xf>
    <xf numFmtId="176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/>
    <xf numFmtId="176" fontId="0" fillId="0" borderId="3" xfId="0" applyNumberFormat="1" applyBorder="1"/>
    <xf numFmtId="0" fontId="18" fillId="2" borderId="3" xfId="0" applyFont="1" applyFill="1" applyBorder="1" applyAlignment="1" applyProtection="1">
      <alignment vertical="center" wrapText="1"/>
      <protection locked="0"/>
    </xf>
    <xf numFmtId="0" fontId="18" fillId="0" borderId="3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176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 53" xfId="39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3232" xfId="51"/>
    <cellStyle name="常规 2" xfId="52"/>
    <cellStyle name="常规 3" xfId="53"/>
    <cellStyle name="常规 5" xfId="54"/>
    <cellStyle name="常规 7" xfId="55"/>
    <cellStyle name="常规_蓝湖郡调拨单统计" xfId="56"/>
  </cellStyles>
  <tableStyles count="0" defaultTableStyle="TableStyleMedium9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30480</xdr:colOff>
      <xdr:row>38</xdr:row>
      <xdr:rowOff>22225</xdr:rowOff>
    </xdr:from>
    <xdr:to>
      <xdr:col>10</xdr:col>
      <xdr:colOff>69215</xdr:colOff>
      <xdr:row>38</xdr:row>
      <xdr:rowOff>900430</xdr:rowOff>
    </xdr:to>
    <xdr:pic>
      <xdr:nvPicPr>
        <xdr:cNvPr id="2" name="图片 1" descr="1844a4854de92753cc2ef5a339880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53400" y="19008090"/>
          <a:ext cx="1257935" cy="878205"/>
        </a:xfrm>
        <a:prstGeom prst="rect">
          <a:avLst/>
        </a:prstGeom>
      </xdr:spPr>
    </xdr:pic>
    <xdr:clientData/>
  </xdr:twoCellAnchor>
  <xdr:twoCellAnchor editAs="oneCell">
    <xdr:from>
      <xdr:col>7</xdr:col>
      <xdr:colOff>845820</xdr:colOff>
      <xdr:row>38</xdr:row>
      <xdr:rowOff>861060</xdr:rowOff>
    </xdr:from>
    <xdr:to>
      <xdr:col>10</xdr:col>
      <xdr:colOff>17145</xdr:colOff>
      <xdr:row>38</xdr:row>
      <xdr:rowOff>1941195</xdr:rowOff>
    </xdr:to>
    <xdr:pic>
      <xdr:nvPicPr>
        <xdr:cNvPr id="3" name="图片 2" descr="2522f199a81cabf8f8b19ab59fdf14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84820" y="19846925"/>
          <a:ext cx="1274445" cy="1080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view="pageBreakPreview" zoomScaleNormal="100" workbookViewId="0">
      <selection activeCell="C3" sqref="C3"/>
    </sheetView>
  </sheetViews>
  <sheetFormatPr defaultColWidth="10.287037037037" defaultRowHeight="15.6" outlineLevelCol="4"/>
  <cols>
    <col min="1" max="1" width="13.8611111111111" style="138" customWidth="1"/>
    <col min="2" max="2" width="29.287037037037" style="138" customWidth="1"/>
    <col min="3" max="3" width="20.8611111111111" style="139" customWidth="1"/>
    <col min="4" max="4" width="47.712962962963" style="138" customWidth="1"/>
    <col min="5" max="5" width="14.5740740740741" style="138"/>
    <col min="6" max="6" width="14.4259259259259" style="138"/>
    <col min="7" max="7" width="10.287037037037" style="138"/>
    <col min="8" max="8" width="10.712962962963" style="138"/>
    <col min="9" max="16384" width="10.287037037037" style="138"/>
  </cols>
  <sheetData>
    <row r="1" ht="81" customHeight="1" spans="1:4">
      <c r="A1" s="75" t="s">
        <v>0</v>
      </c>
      <c r="B1" s="75"/>
      <c r="C1" s="140"/>
      <c r="D1" s="75"/>
    </row>
    <row r="2" ht="57" customHeight="1" spans="1:5">
      <c r="A2" s="141" t="s">
        <v>1</v>
      </c>
      <c r="B2" s="141" t="s">
        <v>2</v>
      </c>
      <c r="C2" s="142" t="s">
        <v>3</v>
      </c>
      <c r="D2" s="141" t="s">
        <v>4</v>
      </c>
      <c r="E2" s="143"/>
    </row>
    <row r="3" ht="54" customHeight="1" spans="1:4">
      <c r="A3" s="144">
        <v>1</v>
      </c>
      <c r="B3" s="145" t="s">
        <v>5</v>
      </c>
      <c r="C3" s="146">
        <f>土建!H45</f>
        <v>34342.4534861</v>
      </c>
      <c r="D3" s="144" t="s">
        <v>6</v>
      </c>
    </row>
    <row r="4" ht="54" customHeight="1" spans="1:5">
      <c r="A4" s="144">
        <v>2</v>
      </c>
      <c r="B4" s="145" t="s">
        <v>7</v>
      </c>
      <c r="C4" s="146">
        <f>乔木!L44+灌木!J21+地被!K21</f>
        <v>-155018.4</v>
      </c>
      <c r="D4" s="144" t="s">
        <v>8</v>
      </c>
      <c r="E4" s="147"/>
    </row>
    <row r="5" ht="54" customHeight="1" spans="1:5">
      <c r="A5" s="144">
        <v>3</v>
      </c>
      <c r="B5" s="148" t="s">
        <v>9</v>
      </c>
      <c r="C5" s="149">
        <f>电气!H13</f>
        <v>-8001.916</v>
      </c>
      <c r="D5" s="144" t="s">
        <v>6</v>
      </c>
      <c r="E5" s="147"/>
    </row>
    <row r="6" ht="54" customHeight="1" spans="1:5">
      <c r="A6" s="144">
        <v>4</v>
      </c>
      <c r="B6" s="148" t="s">
        <v>10</v>
      </c>
      <c r="C6" s="149">
        <f>'给排水 '!H20</f>
        <v>30104.7237</v>
      </c>
      <c r="D6" s="144" t="s">
        <v>6</v>
      </c>
      <c r="E6" s="147"/>
    </row>
    <row r="7" ht="54" customHeight="1" spans="1:5">
      <c r="A7" s="144">
        <v>5</v>
      </c>
      <c r="B7" s="148" t="s">
        <v>11</v>
      </c>
      <c r="C7" s="149" t="s">
        <v>12</v>
      </c>
      <c r="D7" s="144" t="s">
        <v>6</v>
      </c>
      <c r="E7" s="147"/>
    </row>
    <row r="8" ht="54" customHeight="1" spans="1:5">
      <c r="A8" s="144">
        <v>6</v>
      </c>
      <c r="B8" s="148" t="s">
        <v>13</v>
      </c>
      <c r="C8" s="149" t="s">
        <v>12</v>
      </c>
      <c r="D8" s="144" t="s">
        <v>6</v>
      </c>
      <c r="E8" s="147"/>
    </row>
    <row r="9" ht="57" customHeight="1" spans="1:5">
      <c r="A9" s="150" t="s">
        <v>14</v>
      </c>
      <c r="B9" s="151"/>
      <c r="C9" s="149">
        <f>SUM(C3:C8)</f>
        <v>-98573.1388139</v>
      </c>
      <c r="D9" s="144"/>
      <c r="E9" s="143"/>
    </row>
  </sheetData>
  <sheetProtection selectLockedCells="1"/>
  <mergeCells count="2">
    <mergeCell ref="A1:D1"/>
    <mergeCell ref="A9:B9"/>
  </mergeCells>
  <pageMargins left="0.75" right="0.75" top="1" bottom="1" header="0.5" footer="0.5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opLeftCell="A40" workbookViewId="0">
      <selection activeCell="E43" sqref="E43"/>
    </sheetView>
  </sheetViews>
  <sheetFormatPr defaultColWidth="8.88888888888889" defaultRowHeight="13.2"/>
  <cols>
    <col min="2" max="2" width="19.1111111111111" customWidth="1"/>
    <col min="3" max="3" width="38.7777777777778" customWidth="1"/>
    <col min="5" max="5" width="9.44444444444444"/>
    <col min="6" max="6" width="10.7777777777778"/>
    <col min="7" max="7" width="9.66666666666667"/>
    <col min="8" max="8" width="12.8888888888889"/>
  </cols>
  <sheetData>
    <row r="1" s="112" customFormat="1" ht="30" customHeight="1" spans="1:10">
      <c r="A1" s="114" t="s">
        <v>15</v>
      </c>
      <c r="B1" s="114"/>
      <c r="C1" s="114"/>
      <c r="D1" s="114"/>
      <c r="E1" s="114"/>
      <c r="F1" s="115"/>
      <c r="G1" s="115"/>
      <c r="H1" s="116"/>
      <c r="I1" s="115"/>
      <c r="J1" s="115"/>
    </row>
    <row r="2" s="113" customFormat="1" ht="18" customHeight="1" spans="1:10">
      <c r="A2" s="117" t="s">
        <v>1</v>
      </c>
      <c r="B2" s="117" t="s">
        <v>16</v>
      </c>
      <c r="C2" s="117" t="s">
        <v>17</v>
      </c>
      <c r="D2" s="117" t="s">
        <v>18</v>
      </c>
      <c r="E2" s="117" t="s">
        <v>19</v>
      </c>
      <c r="F2" s="118" t="s">
        <v>20</v>
      </c>
      <c r="G2" s="118"/>
      <c r="H2" s="119"/>
      <c r="I2" s="118"/>
      <c r="J2" s="118"/>
    </row>
    <row r="3" s="113" customFormat="1" ht="18" customHeight="1" spans="1:10">
      <c r="A3" s="117"/>
      <c r="B3" s="117"/>
      <c r="C3" s="117"/>
      <c r="D3" s="117"/>
      <c r="E3" s="117"/>
      <c r="F3" s="118" t="s">
        <v>21</v>
      </c>
      <c r="G3" s="118"/>
      <c r="H3" s="119" t="s">
        <v>22</v>
      </c>
      <c r="I3" s="118" t="s">
        <v>23</v>
      </c>
      <c r="J3" s="118" t="s">
        <v>24</v>
      </c>
    </row>
    <row r="4" s="113" customFormat="1" ht="18.95" customHeight="1" spans="1:10">
      <c r="A4" s="117"/>
      <c r="B4" s="117"/>
      <c r="C4" s="117"/>
      <c r="D4" s="117"/>
      <c r="E4" s="117"/>
      <c r="F4" s="118"/>
      <c r="G4" s="118" t="s">
        <v>25</v>
      </c>
      <c r="H4" s="119"/>
      <c r="I4" s="118"/>
      <c r="J4" s="118"/>
    </row>
    <row r="5" s="112" customFormat="1" ht="39.95" customHeight="1" outlineLevel="2" spans="1:10">
      <c r="A5" s="120">
        <v>1</v>
      </c>
      <c r="B5" s="121" t="s">
        <v>26</v>
      </c>
      <c r="C5" s="121" t="s">
        <v>27</v>
      </c>
      <c r="D5" s="120"/>
      <c r="E5" s="122"/>
      <c r="F5" s="123"/>
      <c r="G5" s="124"/>
      <c r="H5" s="125"/>
      <c r="I5" s="126"/>
      <c r="J5" s="136"/>
    </row>
    <row r="6" s="112" customFormat="1" ht="27" customHeight="1" outlineLevel="2" spans="1:10">
      <c r="A6" s="120"/>
      <c r="B6" s="121" t="s">
        <v>28</v>
      </c>
      <c r="C6" s="121" t="s">
        <v>29</v>
      </c>
      <c r="D6" s="120" t="s">
        <v>30</v>
      </c>
      <c r="E6" s="122">
        <f>E9</f>
        <v>1168.8249</v>
      </c>
      <c r="F6" s="123">
        <v>1.8</v>
      </c>
      <c r="G6" s="126"/>
      <c r="H6" s="125">
        <f t="shared" ref="H6:H15" si="0">E6*F6</f>
        <v>2103.88482</v>
      </c>
      <c r="I6" s="136"/>
      <c r="J6" s="136"/>
    </row>
    <row r="7" s="112" customFormat="1" ht="27" customHeight="1" outlineLevel="2" spans="1:10">
      <c r="A7" s="120"/>
      <c r="B7" s="121" t="s">
        <v>31</v>
      </c>
      <c r="C7" s="121" t="s">
        <v>32</v>
      </c>
      <c r="D7" s="120" t="s">
        <v>33</v>
      </c>
      <c r="E7" s="122">
        <f>E6*0.15</f>
        <v>175.323735</v>
      </c>
      <c r="F7" s="123">
        <v>250</v>
      </c>
      <c r="G7" s="123"/>
      <c r="H7" s="125">
        <f t="shared" si="0"/>
        <v>43830.93375</v>
      </c>
      <c r="I7" s="136"/>
      <c r="J7" s="136"/>
    </row>
    <row r="8" s="112" customFormat="1" ht="62" customHeight="1" outlineLevel="2" spans="1:10">
      <c r="A8" s="120"/>
      <c r="B8" s="121" t="s">
        <v>34</v>
      </c>
      <c r="C8" s="121" t="s">
        <v>35</v>
      </c>
      <c r="D8" s="120" t="s">
        <v>33</v>
      </c>
      <c r="E8" s="122">
        <f>E6*0.1</f>
        <v>116.88249</v>
      </c>
      <c r="F8" s="123">
        <v>677.37</v>
      </c>
      <c r="G8" s="123"/>
      <c r="H8" s="125">
        <f t="shared" si="0"/>
        <v>79172.6922513</v>
      </c>
      <c r="I8" s="136"/>
      <c r="J8" s="136"/>
    </row>
    <row r="9" s="112" customFormat="1" ht="44.1" customHeight="1" outlineLevel="2" spans="1:10">
      <c r="A9" s="120"/>
      <c r="B9" s="121" t="s">
        <v>36</v>
      </c>
      <c r="C9" s="121" t="s">
        <v>37</v>
      </c>
      <c r="D9" s="120" t="s">
        <v>30</v>
      </c>
      <c r="E9" s="122">
        <f>(5.855+38.361+119.539+5.668+51.11)*5.3</f>
        <v>1168.8249</v>
      </c>
      <c r="F9" s="123">
        <v>30</v>
      </c>
      <c r="G9" s="124"/>
      <c r="H9" s="125">
        <f t="shared" si="0"/>
        <v>35064.747</v>
      </c>
      <c r="I9" s="126"/>
      <c r="J9" s="136"/>
    </row>
    <row r="10" s="112" customFormat="1" ht="27.95" customHeight="1" outlineLevel="2" spans="1:10">
      <c r="A10" s="120"/>
      <c r="B10" s="121" t="s">
        <v>38</v>
      </c>
      <c r="C10" s="121" t="s">
        <v>39</v>
      </c>
      <c r="D10" s="120" t="s">
        <v>30</v>
      </c>
      <c r="E10" s="122">
        <v>-1385.78</v>
      </c>
      <c r="F10" s="123">
        <v>103.33</v>
      </c>
      <c r="G10" s="123"/>
      <c r="H10" s="125">
        <f t="shared" si="0"/>
        <v>-143192.6474</v>
      </c>
      <c r="I10" s="136"/>
      <c r="J10" s="136"/>
    </row>
    <row r="11" s="112" customFormat="1" ht="39.95" customHeight="1" outlineLevel="1" spans="1:10">
      <c r="A11" s="117">
        <v>2</v>
      </c>
      <c r="B11" s="127" t="s">
        <v>40</v>
      </c>
      <c r="C11" s="127" t="s">
        <v>41</v>
      </c>
      <c r="D11" s="117"/>
      <c r="E11" s="128"/>
      <c r="F11" s="129"/>
      <c r="G11" s="130"/>
      <c r="H11" s="131">
        <f t="shared" si="0"/>
        <v>0</v>
      </c>
      <c r="I11" s="118"/>
      <c r="J11" s="137"/>
    </row>
    <row r="12" s="112" customFormat="1" ht="38.1" customHeight="1" outlineLevel="2" spans="1:10">
      <c r="A12" s="117"/>
      <c r="B12" s="127" t="s">
        <v>42</v>
      </c>
      <c r="C12" s="127" t="s">
        <v>43</v>
      </c>
      <c r="D12" s="117" t="s">
        <v>30</v>
      </c>
      <c r="E12" s="128">
        <v>10</v>
      </c>
      <c r="F12" s="129">
        <v>165.49</v>
      </c>
      <c r="G12" s="130"/>
      <c r="H12" s="131">
        <f t="shared" si="0"/>
        <v>1654.9</v>
      </c>
      <c r="I12" s="118"/>
      <c r="J12" s="137"/>
    </row>
    <row r="13" s="112" customFormat="1" ht="45.95" customHeight="1" outlineLevel="2" spans="1:10">
      <c r="A13" s="117"/>
      <c r="B13" s="127" t="s">
        <v>44</v>
      </c>
      <c r="C13" s="127" t="s">
        <v>45</v>
      </c>
      <c r="D13" s="117" t="s">
        <v>30</v>
      </c>
      <c r="E13" s="128">
        <v>2.4</v>
      </c>
      <c r="F13" s="129">
        <v>301.05</v>
      </c>
      <c r="G13" s="129"/>
      <c r="H13" s="131">
        <f t="shared" si="0"/>
        <v>722.52</v>
      </c>
      <c r="I13" s="118"/>
      <c r="J13" s="137"/>
    </row>
    <row r="14" s="112" customFormat="1" ht="35.1" customHeight="1" outlineLevel="2" spans="1:10">
      <c r="A14" s="117"/>
      <c r="B14" s="127" t="s">
        <v>46</v>
      </c>
      <c r="C14" s="127" t="s">
        <v>47</v>
      </c>
      <c r="D14" s="117" t="s">
        <v>33</v>
      </c>
      <c r="E14" s="128">
        <f>12.4*0.08</f>
        <v>0.992</v>
      </c>
      <c r="F14" s="129">
        <f>F10</f>
        <v>103.33</v>
      </c>
      <c r="G14" s="129"/>
      <c r="H14" s="131">
        <f t="shared" si="0"/>
        <v>102.50336</v>
      </c>
      <c r="I14" s="118"/>
      <c r="J14" s="137"/>
    </row>
    <row r="15" s="112" customFormat="1" ht="45.95" customHeight="1" outlineLevel="2" spans="1:10">
      <c r="A15" s="117"/>
      <c r="B15" s="127" t="s">
        <v>34</v>
      </c>
      <c r="C15" s="127" t="s">
        <v>48</v>
      </c>
      <c r="D15" s="117" t="s">
        <v>33</v>
      </c>
      <c r="E15" s="128">
        <f>12.4*0.1</f>
        <v>1.24</v>
      </c>
      <c r="F15" s="129">
        <v>677.37</v>
      </c>
      <c r="G15" s="129"/>
      <c r="H15" s="131">
        <f t="shared" si="0"/>
        <v>839.9388</v>
      </c>
      <c r="I15" s="118"/>
      <c r="J15" s="137"/>
    </row>
    <row r="17" s="112" customFormat="1" ht="39.95" customHeight="1" outlineLevel="1" spans="1:10">
      <c r="A17" s="117"/>
      <c r="B17" s="127" t="s">
        <v>49</v>
      </c>
      <c r="C17" s="127"/>
      <c r="D17" s="117"/>
      <c r="E17" s="128"/>
      <c r="F17" s="129"/>
      <c r="G17" s="130"/>
      <c r="H17" s="131">
        <f t="shared" ref="H17:H33" si="1">E17*F17</f>
        <v>0</v>
      </c>
      <c r="I17" s="118"/>
      <c r="J17" s="137"/>
    </row>
    <row r="18" s="112" customFormat="1" ht="30.95" customHeight="1" outlineLevel="2" spans="1:10">
      <c r="A18" s="117"/>
      <c r="B18" s="127" t="s">
        <v>28</v>
      </c>
      <c r="C18" s="127" t="s">
        <v>50</v>
      </c>
      <c r="D18" s="117" t="s">
        <v>30</v>
      </c>
      <c r="E18" s="128">
        <f>-(1.89-1.8*0.3)</f>
        <v>-1.35</v>
      </c>
      <c r="F18" s="129">
        <v>1.8</v>
      </c>
      <c r="G18" s="130"/>
      <c r="H18" s="131">
        <f t="shared" si="1"/>
        <v>-2.43</v>
      </c>
      <c r="I18" s="118"/>
      <c r="J18" s="137"/>
    </row>
    <row r="19" s="112" customFormat="1" ht="30.95" customHeight="1" outlineLevel="2" spans="1:10">
      <c r="A19" s="117"/>
      <c r="B19" s="127" t="s">
        <v>46</v>
      </c>
      <c r="C19" s="127" t="s">
        <v>51</v>
      </c>
      <c r="D19" s="117" t="s">
        <v>33</v>
      </c>
      <c r="E19" s="128">
        <f>-(1.89-1.8*0.3)*0.1</f>
        <v>-0.135</v>
      </c>
      <c r="F19" s="129">
        <v>343.51</v>
      </c>
      <c r="G19" s="130"/>
      <c r="H19" s="131">
        <f t="shared" si="1"/>
        <v>-46.37385</v>
      </c>
      <c r="I19" s="118"/>
      <c r="J19" s="137"/>
    </row>
    <row r="20" s="112" customFormat="1" ht="51" customHeight="1" outlineLevel="2" spans="1:10">
      <c r="A20" s="117"/>
      <c r="B20" s="127" t="s">
        <v>52</v>
      </c>
      <c r="C20" s="127" t="s">
        <v>53</v>
      </c>
      <c r="D20" s="117" t="s">
        <v>30</v>
      </c>
      <c r="E20" s="128">
        <f>-(1.89-1.8*0.3)</f>
        <v>-1.35</v>
      </c>
      <c r="F20" s="129">
        <v>192.01</v>
      </c>
      <c r="G20" s="130"/>
      <c r="H20" s="131">
        <f t="shared" si="1"/>
        <v>-259.2135</v>
      </c>
      <c r="I20" s="118"/>
      <c r="J20" s="137"/>
    </row>
    <row r="21" s="112" customFormat="1" ht="39.95" customHeight="1" outlineLevel="2" spans="1:10">
      <c r="A21" s="117"/>
      <c r="B21" s="127" t="s">
        <v>54</v>
      </c>
      <c r="C21" s="127" t="s">
        <v>55</v>
      </c>
      <c r="D21" s="117" t="s">
        <v>30</v>
      </c>
      <c r="E21" s="128">
        <f>-(1.89-1.8*0.3)</f>
        <v>-1.35</v>
      </c>
      <c r="F21" s="129">
        <v>352.7</v>
      </c>
      <c r="G21" s="130"/>
      <c r="H21" s="131">
        <f t="shared" si="1"/>
        <v>-476.145</v>
      </c>
      <c r="I21" s="118"/>
      <c r="J21" s="137"/>
    </row>
    <row r="22" s="112" customFormat="1" ht="33" customHeight="1" outlineLevel="2" spans="1:10">
      <c r="A22" s="117"/>
      <c r="B22" s="127" t="s">
        <v>54</v>
      </c>
      <c r="C22" s="127" t="s">
        <v>56</v>
      </c>
      <c r="D22" s="117" t="s">
        <v>30</v>
      </c>
      <c r="E22" s="128">
        <f>-(0.81-0.15*1.8)</f>
        <v>-0.54</v>
      </c>
      <c r="F22" s="129">
        <v>319.47</v>
      </c>
      <c r="G22" s="130"/>
      <c r="H22" s="131">
        <f t="shared" si="1"/>
        <v>-172.5138</v>
      </c>
      <c r="I22" s="118"/>
      <c r="J22" s="137"/>
    </row>
    <row r="23" s="112" customFormat="1" ht="30" customHeight="1" outlineLevel="1" spans="1:10">
      <c r="A23" s="117"/>
      <c r="B23" s="127" t="s">
        <v>57</v>
      </c>
      <c r="C23" s="127"/>
      <c r="D23" s="117"/>
      <c r="E23" s="128"/>
      <c r="F23" s="129"/>
      <c r="G23" s="130"/>
      <c r="H23" s="131">
        <f t="shared" si="1"/>
        <v>0</v>
      </c>
      <c r="I23" s="118"/>
      <c r="J23" s="137"/>
    </row>
    <row r="24" s="112" customFormat="1" ht="39.95" customHeight="1" outlineLevel="1" spans="1:10">
      <c r="A24" s="117"/>
      <c r="B24" s="127" t="s">
        <v>58</v>
      </c>
      <c r="C24" s="127" t="s">
        <v>59</v>
      </c>
      <c r="D24" s="117" t="s">
        <v>33</v>
      </c>
      <c r="E24" s="128">
        <f>-1.16*0.7*(11.4-3.5)</f>
        <v>-6.4148</v>
      </c>
      <c r="F24" s="129">
        <v>16.78</v>
      </c>
      <c r="G24" s="130"/>
      <c r="H24" s="131">
        <f t="shared" si="1"/>
        <v>-107.640344</v>
      </c>
      <c r="I24" s="118"/>
      <c r="J24" s="137"/>
    </row>
    <row r="25" s="112" customFormat="1" ht="39.95" customHeight="1" outlineLevel="1" spans="1:10">
      <c r="A25" s="117"/>
      <c r="B25" s="127" t="s">
        <v>28</v>
      </c>
      <c r="C25" s="127" t="s">
        <v>50</v>
      </c>
      <c r="D25" s="117" t="s">
        <v>30</v>
      </c>
      <c r="E25" s="128">
        <f>-1.16*(11.4-3.5)</f>
        <v>-9.164</v>
      </c>
      <c r="F25" s="129">
        <v>1.8</v>
      </c>
      <c r="G25" s="130"/>
      <c r="H25" s="131">
        <f t="shared" si="1"/>
        <v>-16.4952</v>
      </c>
      <c r="I25" s="118"/>
      <c r="J25" s="137"/>
    </row>
    <row r="26" s="112" customFormat="1" ht="33.95" customHeight="1" outlineLevel="1" spans="1:10">
      <c r="A26" s="117"/>
      <c r="B26" s="127" t="s">
        <v>31</v>
      </c>
      <c r="C26" s="127" t="s">
        <v>32</v>
      </c>
      <c r="D26" s="117" t="s">
        <v>33</v>
      </c>
      <c r="E26" s="128">
        <f>-0.76*1.15*(11.4-3.5)</f>
        <v>-6.9046</v>
      </c>
      <c r="F26" s="129">
        <v>250</v>
      </c>
      <c r="G26" s="130"/>
      <c r="H26" s="131">
        <f t="shared" si="1"/>
        <v>-1726.15</v>
      </c>
      <c r="I26" s="118"/>
      <c r="J26" s="137"/>
    </row>
    <row r="27" s="112" customFormat="1" ht="51" customHeight="1" outlineLevel="1" spans="1:10">
      <c r="A27" s="117"/>
      <c r="B27" s="127" t="s">
        <v>34</v>
      </c>
      <c r="C27" s="127" t="s">
        <v>60</v>
      </c>
      <c r="D27" s="117" t="s">
        <v>33</v>
      </c>
      <c r="E27" s="128">
        <f>-0.56*0.1*(11.4-3.5)</f>
        <v>-0.4424</v>
      </c>
      <c r="F27" s="129">
        <v>686.59</v>
      </c>
      <c r="G27" s="130"/>
      <c r="H27" s="131">
        <f t="shared" si="1"/>
        <v>-303.747416</v>
      </c>
      <c r="I27" s="118"/>
      <c r="J27" s="137"/>
    </row>
    <row r="28" s="112" customFormat="1" ht="51" customHeight="1" outlineLevel="1" spans="1:10">
      <c r="A28" s="117"/>
      <c r="B28" s="127" t="s">
        <v>61</v>
      </c>
      <c r="C28" s="127" t="s">
        <v>62</v>
      </c>
      <c r="D28" s="117" t="s">
        <v>33</v>
      </c>
      <c r="E28" s="128">
        <f>-(0.46*0.24+0.36*0.12)*(11.4-3.5)</f>
        <v>-1.21344</v>
      </c>
      <c r="F28" s="129">
        <v>635.73</v>
      </c>
      <c r="G28" s="130"/>
      <c r="H28" s="131">
        <f t="shared" si="1"/>
        <v>-771.4202112</v>
      </c>
      <c r="I28" s="118"/>
      <c r="J28" s="137"/>
    </row>
    <row r="29" s="112" customFormat="1" ht="27.95" customHeight="1" outlineLevel="1" spans="1:10">
      <c r="A29" s="117"/>
      <c r="B29" s="127" t="s">
        <v>63</v>
      </c>
      <c r="C29" s="127" t="s">
        <v>64</v>
      </c>
      <c r="D29" s="117" t="s">
        <v>30</v>
      </c>
      <c r="E29" s="128">
        <f>-(11.4-3.5)*0.24</f>
        <v>-1.896</v>
      </c>
      <c r="F29" s="129">
        <v>62.87</v>
      </c>
      <c r="G29" s="130"/>
      <c r="H29" s="131">
        <f t="shared" si="1"/>
        <v>-119.20152</v>
      </c>
      <c r="I29" s="118"/>
      <c r="J29" s="137"/>
    </row>
    <row r="30" s="112" customFormat="1" ht="48" customHeight="1" outlineLevel="1" spans="1:10">
      <c r="A30" s="117"/>
      <c r="B30" s="127" t="s">
        <v>65</v>
      </c>
      <c r="C30" s="127" t="s">
        <v>66</v>
      </c>
      <c r="D30" s="117" t="s">
        <v>33</v>
      </c>
      <c r="E30" s="128">
        <f>-0.24*0.1*(11.4-3.5)</f>
        <v>-0.1896</v>
      </c>
      <c r="F30" s="129">
        <v>989.14</v>
      </c>
      <c r="G30" s="130"/>
      <c r="H30" s="131">
        <f t="shared" si="1"/>
        <v>-187.540944</v>
      </c>
      <c r="I30" s="118"/>
      <c r="J30" s="137"/>
    </row>
    <row r="31" s="112" customFormat="1" ht="44.1" customHeight="1" outlineLevel="1" spans="1:10">
      <c r="A31" s="117"/>
      <c r="B31" s="127" t="s">
        <v>67</v>
      </c>
      <c r="C31" s="127" t="s">
        <v>68</v>
      </c>
      <c r="D31" s="117" t="s">
        <v>69</v>
      </c>
      <c r="E31" s="132">
        <f>-0.008</f>
        <v>-0.008</v>
      </c>
      <c r="F31" s="129">
        <v>6721.27</v>
      </c>
      <c r="G31" s="130"/>
      <c r="H31" s="131">
        <f t="shared" si="1"/>
        <v>-53.77016</v>
      </c>
      <c r="I31" s="118"/>
      <c r="J31" s="137"/>
    </row>
    <row r="32" s="112" customFormat="1" ht="39.95" customHeight="1" outlineLevel="1" spans="1:10">
      <c r="A32" s="117"/>
      <c r="B32" s="127" t="s">
        <v>70</v>
      </c>
      <c r="C32" s="127" t="s">
        <v>71</v>
      </c>
      <c r="D32" s="117" t="s">
        <v>30</v>
      </c>
      <c r="E32" s="128">
        <f>-0.3*(11.4-3.5)</f>
        <v>-2.37</v>
      </c>
      <c r="F32" s="129">
        <v>223.42</v>
      </c>
      <c r="G32" s="130"/>
      <c r="H32" s="131">
        <f t="shared" si="1"/>
        <v>-529.5054</v>
      </c>
      <c r="I32" s="118"/>
      <c r="J32" s="137"/>
    </row>
    <row r="33" s="112" customFormat="1" ht="33" customHeight="1" outlineLevel="1" spans="1:10">
      <c r="A33" s="117"/>
      <c r="B33" s="127" t="s">
        <v>72</v>
      </c>
      <c r="C33" s="127" t="s">
        <v>73</v>
      </c>
      <c r="D33" s="117" t="s">
        <v>30</v>
      </c>
      <c r="E33" s="128">
        <f>-0.65*(11.4-3.5)</f>
        <v>-5.135</v>
      </c>
      <c r="F33" s="129">
        <v>249.05</v>
      </c>
      <c r="G33" s="130"/>
      <c r="H33" s="131">
        <f t="shared" si="1"/>
        <v>-1278.87175</v>
      </c>
      <c r="I33" s="118"/>
      <c r="J33" s="137"/>
    </row>
    <row r="34" s="112" customFormat="1" ht="44.1" customHeight="1" outlineLevel="2" spans="1:10">
      <c r="A34" s="117">
        <v>3</v>
      </c>
      <c r="B34" s="127" t="s">
        <v>74</v>
      </c>
      <c r="C34" s="127" t="s">
        <v>75</v>
      </c>
      <c r="D34" s="133" t="s">
        <v>76</v>
      </c>
      <c r="E34" s="128">
        <v>0</v>
      </c>
      <c r="F34" s="129"/>
      <c r="G34" s="130"/>
      <c r="H34" s="131">
        <v>0</v>
      </c>
      <c r="I34" s="118"/>
      <c r="J34" s="137"/>
    </row>
    <row r="35" s="112" customFormat="1" ht="66" customHeight="1" outlineLevel="1" spans="1:10">
      <c r="A35" s="117"/>
      <c r="B35" s="127" t="s">
        <v>77</v>
      </c>
      <c r="C35" s="127" t="s">
        <v>78</v>
      </c>
      <c r="D35" s="117" t="s">
        <v>30</v>
      </c>
      <c r="E35" s="128">
        <f>-4.1*2.2</f>
        <v>-9.02</v>
      </c>
      <c r="F35" s="129">
        <v>675</v>
      </c>
      <c r="G35" s="130"/>
      <c r="H35" s="131">
        <f>E35*F35</f>
        <v>-6088.5</v>
      </c>
      <c r="I35" s="137"/>
      <c r="J35" s="137"/>
    </row>
    <row r="36" s="112" customFormat="1" ht="63" customHeight="1" outlineLevel="1" spans="1:10">
      <c r="A36" s="117"/>
      <c r="B36" s="127" t="s">
        <v>79</v>
      </c>
      <c r="C36" s="127" t="s">
        <v>80</v>
      </c>
      <c r="D36" s="117" t="s">
        <v>30</v>
      </c>
      <c r="E36" s="128">
        <f>9.02</f>
        <v>9.02</v>
      </c>
      <c r="F36" s="129">
        <v>750</v>
      </c>
      <c r="G36" s="130"/>
      <c r="H36" s="131">
        <f>E36*F36</f>
        <v>6765</v>
      </c>
      <c r="I36" s="137"/>
      <c r="J36" s="137"/>
    </row>
    <row r="37" s="112" customFormat="1" ht="63" customHeight="1" outlineLevel="1" spans="1:10">
      <c r="A37" s="117"/>
      <c r="B37" s="127" t="s">
        <v>81</v>
      </c>
      <c r="C37" s="127" t="s">
        <v>78</v>
      </c>
      <c r="D37" s="117" t="s">
        <v>30</v>
      </c>
      <c r="E37" s="128">
        <f>-4.1*2.2</f>
        <v>-9.02</v>
      </c>
      <c r="F37" s="129">
        <v>675</v>
      </c>
      <c r="G37" s="130"/>
      <c r="H37" s="131">
        <f>E37*F37</f>
        <v>-6088.5</v>
      </c>
      <c r="I37" s="137"/>
      <c r="J37" s="137"/>
    </row>
    <row r="38" s="112" customFormat="1" ht="63" customHeight="1" outlineLevel="1" spans="1:10">
      <c r="A38" s="117"/>
      <c r="B38" s="127" t="s">
        <v>79</v>
      </c>
      <c r="C38" s="127" t="s">
        <v>82</v>
      </c>
      <c r="D38" s="117" t="s">
        <v>30</v>
      </c>
      <c r="E38" s="128">
        <f>9.02</f>
        <v>9.02</v>
      </c>
      <c r="F38" s="129">
        <v>700</v>
      </c>
      <c r="G38" s="130"/>
      <c r="H38" s="131">
        <f>E38*F38</f>
        <v>6314</v>
      </c>
      <c r="I38" s="137"/>
      <c r="J38" s="137"/>
    </row>
    <row r="39" s="112" customFormat="1" ht="159" customHeight="1" outlineLevel="2" spans="1:10">
      <c r="A39" s="117"/>
      <c r="B39" s="127" t="s">
        <v>83</v>
      </c>
      <c r="C39" s="127" t="s">
        <v>84</v>
      </c>
      <c r="D39" s="133" t="s">
        <v>76</v>
      </c>
      <c r="E39" s="128">
        <v>1</v>
      </c>
      <c r="F39" s="129">
        <v>25000</v>
      </c>
      <c r="G39" s="130"/>
      <c r="H39" s="131">
        <v>25000</v>
      </c>
      <c r="I39" s="118"/>
      <c r="J39" s="137"/>
    </row>
    <row r="40" s="112" customFormat="1" ht="44.1" customHeight="1" outlineLevel="2" spans="1:10">
      <c r="A40" s="117">
        <v>4</v>
      </c>
      <c r="B40" s="127" t="s">
        <v>85</v>
      </c>
      <c r="C40" s="127" t="s">
        <v>86</v>
      </c>
      <c r="D40" s="133"/>
      <c r="E40" s="128"/>
      <c r="F40" s="129"/>
      <c r="G40" s="130"/>
      <c r="H40" s="131"/>
      <c r="I40" s="118"/>
      <c r="J40" s="137"/>
    </row>
    <row r="41" s="112" customFormat="1" ht="75.95" customHeight="1" outlineLevel="2" spans="1:12">
      <c r="A41" s="117"/>
      <c r="B41" s="127" t="s">
        <v>87</v>
      </c>
      <c r="C41" s="127" t="s">
        <v>88</v>
      </c>
      <c r="D41" s="117" t="s">
        <v>30</v>
      </c>
      <c r="E41" s="128">
        <f>-6.72*0</f>
        <v>0</v>
      </c>
      <c r="F41" s="129">
        <v>9300</v>
      </c>
      <c r="G41" s="129"/>
      <c r="H41" s="131">
        <f t="shared" ref="H41:H44" si="2">E41*F41</f>
        <v>0</v>
      </c>
      <c r="I41" s="137"/>
      <c r="J41" s="137"/>
      <c r="L41" s="113"/>
    </row>
    <row r="42" s="112" customFormat="1" ht="75.95" customHeight="1" outlineLevel="2" spans="1:12">
      <c r="A42" s="117"/>
      <c r="B42" s="127" t="s">
        <v>87</v>
      </c>
      <c r="C42" s="127" t="s">
        <v>89</v>
      </c>
      <c r="D42" s="117" t="s">
        <v>30</v>
      </c>
      <c r="E42" s="128">
        <f>4.246*0</f>
        <v>0</v>
      </c>
      <c r="F42" s="129">
        <v>8300</v>
      </c>
      <c r="G42" s="129"/>
      <c r="H42" s="131">
        <f t="shared" si="2"/>
        <v>0</v>
      </c>
      <c r="I42" s="137"/>
      <c r="J42" s="137"/>
      <c r="L42" s="113"/>
    </row>
    <row r="43" s="112" customFormat="1" ht="87" customHeight="1" outlineLevel="2" spans="1:12">
      <c r="A43" s="117"/>
      <c r="B43" s="127" t="s">
        <v>90</v>
      </c>
      <c r="C43" s="127" t="s">
        <v>91</v>
      </c>
      <c r="D43" s="117" t="s">
        <v>30</v>
      </c>
      <c r="E43" s="128">
        <v>-29.04</v>
      </c>
      <c r="F43" s="129">
        <v>1200</v>
      </c>
      <c r="G43" s="129"/>
      <c r="H43" s="131">
        <f t="shared" si="2"/>
        <v>-34848</v>
      </c>
      <c r="I43" s="137"/>
      <c r="J43" s="137"/>
      <c r="L43" s="113"/>
    </row>
    <row r="44" s="112" customFormat="1" ht="46" customHeight="1" outlineLevel="2" spans="1:12">
      <c r="A44" s="117"/>
      <c r="B44" s="127" t="s">
        <v>90</v>
      </c>
      <c r="C44" s="127" t="s">
        <v>92</v>
      </c>
      <c r="D44" s="117" t="s">
        <v>30</v>
      </c>
      <c r="E44" s="128">
        <v>29.04</v>
      </c>
      <c r="F44" s="129">
        <v>1000</v>
      </c>
      <c r="G44" s="129"/>
      <c r="H44" s="131">
        <f t="shared" si="2"/>
        <v>29040</v>
      </c>
      <c r="I44" s="137"/>
      <c r="J44" s="137"/>
      <c r="L44" s="113"/>
    </row>
    <row r="45" ht="32" customHeight="1" spans="1:10">
      <c r="A45" s="134" t="s">
        <v>93</v>
      </c>
      <c r="B45" s="134" t="s">
        <v>94</v>
      </c>
      <c r="C45" s="12"/>
      <c r="D45" s="133" t="s">
        <v>76</v>
      </c>
      <c r="E45" s="12"/>
      <c r="F45" s="12"/>
      <c r="G45" s="12"/>
      <c r="H45" s="135">
        <f>SUM(H5:H44)</f>
        <v>34342.4534861</v>
      </c>
      <c r="I45" s="12"/>
      <c r="J45" s="12"/>
    </row>
  </sheetData>
  <mergeCells count="11">
    <mergeCell ref="A1:J1"/>
    <mergeCell ref="F2:J2"/>
    <mergeCell ref="F3:G3"/>
    <mergeCell ref="A2:A4"/>
    <mergeCell ref="B2:B4"/>
    <mergeCell ref="C2:C4"/>
    <mergeCell ref="D2:D4"/>
    <mergeCell ref="E2:E4"/>
    <mergeCell ref="H3:H4"/>
    <mergeCell ref="I3:I4"/>
    <mergeCell ref="J3:J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view="pageBreakPreview" zoomScale="130" zoomScaleNormal="115" workbookViewId="0">
      <pane xSplit="4" ySplit="5" topLeftCell="E6" activePane="bottomRight" state="frozen"/>
      <selection/>
      <selection pane="topRight"/>
      <selection pane="bottomLeft"/>
      <selection pane="bottomRight" activeCell="A1" sqref="A1:J1"/>
    </sheetView>
  </sheetViews>
  <sheetFormatPr defaultColWidth="10.287037037037" defaultRowHeight="15.6"/>
  <cols>
    <col min="1" max="2" width="10.287037037037" style="27"/>
    <col min="3" max="3" width="26.1388888888889" style="27" customWidth="1"/>
    <col min="4" max="4" width="8" style="27" customWidth="1"/>
    <col min="5" max="5" width="10.712962962963" style="27"/>
    <col min="6" max="7" width="10.287037037037" style="27"/>
    <col min="8" max="8" width="14.712962962963" style="27"/>
    <col min="9" max="16384" width="10.287037037037" style="27"/>
  </cols>
  <sheetData>
    <row r="1" ht="21.15" spans="1:10">
      <c r="A1" s="75" t="s">
        <v>95</v>
      </c>
      <c r="B1" s="75"/>
      <c r="C1" s="75"/>
      <c r="D1" s="75"/>
      <c r="E1" s="75"/>
      <c r="F1" s="75"/>
      <c r="G1" s="75"/>
      <c r="H1" s="75"/>
      <c r="I1" s="75"/>
      <c r="J1" s="75"/>
    </row>
    <row r="2" ht="24" customHeight="1" spans="1:10">
      <c r="A2" s="76" t="s">
        <v>1</v>
      </c>
      <c r="B2" s="77" t="s">
        <v>16</v>
      </c>
      <c r="C2" s="77" t="s">
        <v>17</v>
      </c>
      <c r="D2" s="77" t="s">
        <v>18</v>
      </c>
      <c r="E2" s="33" t="s">
        <v>96</v>
      </c>
      <c r="F2" s="77" t="s">
        <v>20</v>
      </c>
      <c r="G2" s="78"/>
      <c r="H2" s="78"/>
      <c r="I2" s="78"/>
      <c r="J2" s="99"/>
    </row>
    <row r="3" ht="24" customHeight="1" spans="1:10">
      <c r="A3" s="79"/>
      <c r="B3" s="80"/>
      <c r="C3" s="80"/>
      <c r="D3" s="80"/>
      <c r="E3" s="37"/>
      <c r="F3" s="38" t="s">
        <v>21</v>
      </c>
      <c r="G3" s="38"/>
      <c r="H3" s="81" t="s">
        <v>22</v>
      </c>
      <c r="I3" s="100" t="s">
        <v>23</v>
      </c>
      <c r="J3" s="101" t="s">
        <v>24</v>
      </c>
    </row>
    <row r="4" ht="24" customHeight="1" spans="1:10">
      <c r="A4" s="82"/>
      <c r="B4" s="83"/>
      <c r="C4" s="83"/>
      <c r="D4" s="83"/>
      <c r="E4" s="40"/>
      <c r="F4" s="38"/>
      <c r="G4" s="38" t="s">
        <v>25</v>
      </c>
      <c r="H4" s="84"/>
      <c r="I4" s="102"/>
      <c r="J4" s="103"/>
    </row>
    <row r="5" ht="23.1" customHeight="1" spans="1:10">
      <c r="A5" s="85"/>
      <c r="B5" s="86" t="s">
        <v>97</v>
      </c>
      <c r="C5" s="86"/>
      <c r="D5" s="87"/>
      <c r="E5" s="87"/>
      <c r="F5" s="88"/>
      <c r="G5" s="89"/>
      <c r="H5" s="88"/>
      <c r="I5" s="104"/>
      <c r="J5" s="105"/>
    </row>
    <row r="6" ht="60" spans="1:10">
      <c r="A6" s="85">
        <v>6</v>
      </c>
      <c r="B6" s="90" t="s">
        <v>98</v>
      </c>
      <c r="C6" s="90" t="s">
        <v>99</v>
      </c>
      <c r="D6" s="91" t="s">
        <v>100</v>
      </c>
      <c r="E6" s="91">
        <f>-24*12</f>
        <v>-288</v>
      </c>
      <c r="F6" s="92">
        <v>14.19</v>
      </c>
      <c r="G6" s="93">
        <v>5.81</v>
      </c>
      <c r="H6" s="88">
        <f>E6*F6</f>
        <v>-4086.72</v>
      </c>
      <c r="I6" s="104"/>
      <c r="J6" s="106" t="s">
        <v>101</v>
      </c>
    </row>
    <row r="7" ht="72" spans="1:10">
      <c r="A7" s="85">
        <v>11</v>
      </c>
      <c r="B7" s="90" t="s">
        <v>102</v>
      </c>
      <c r="C7" s="90" t="s">
        <v>103</v>
      </c>
      <c r="D7" s="91" t="s">
        <v>100</v>
      </c>
      <c r="E7" s="91">
        <f>-24*12</f>
        <v>-288</v>
      </c>
      <c r="F7" s="92">
        <v>21.35</v>
      </c>
      <c r="G7" s="94">
        <v>17.5</v>
      </c>
      <c r="H7" s="88">
        <f t="shared" ref="H7:H12" si="0">E7*F7</f>
        <v>-6148.8</v>
      </c>
      <c r="I7" s="104"/>
      <c r="J7" s="106" t="s">
        <v>104</v>
      </c>
    </row>
    <row r="8" ht="96" spans="1:10">
      <c r="A8" s="85">
        <v>16</v>
      </c>
      <c r="B8" s="90" t="s">
        <v>105</v>
      </c>
      <c r="C8" s="90" t="s">
        <v>106</v>
      </c>
      <c r="D8" s="91" t="s">
        <v>107</v>
      </c>
      <c r="E8" s="91">
        <v>-2</v>
      </c>
      <c r="F8" s="92">
        <f>G8+188.89</f>
        <v>1458.89</v>
      </c>
      <c r="G8" s="94">
        <v>1270</v>
      </c>
      <c r="H8" s="88">
        <f t="shared" si="0"/>
        <v>-2917.78</v>
      </c>
      <c r="I8" s="104"/>
      <c r="J8" s="106" t="s">
        <v>108</v>
      </c>
    </row>
    <row r="9" ht="96" spans="1:10">
      <c r="A9" s="85">
        <v>17</v>
      </c>
      <c r="B9" s="90" t="s">
        <v>109</v>
      </c>
      <c r="C9" s="90" t="s">
        <v>110</v>
      </c>
      <c r="D9" s="91" t="s">
        <v>107</v>
      </c>
      <c r="E9" s="91">
        <v>-10</v>
      </c>
      <c r="F9" s="92">
        <f>G9+140.26</f>
        <v>430.26</v>
      </c>
      <c r="G9" s="94">
        <v>290</v>
      </c>
      <c r="H9" s="88">
        <f t="shared" si="0"/>
        <v>-4302.6</v>
      </c>
      <c r="I9" s="104"/>
      <c r="J9" s="106" t="s">
        <v>108</v>
      </c>
    </row>
    <row r="10" ht="60.95" customHeight="1" spans="1:10">
      <c r="A10" s="85">
        <v>32</v>
      </c>
      <c r="B10" s="86" t="s">
        <v>111</v>
      </c>
      <c r="C10" s="86" t="s">
        <v>112</v>
      </c>
      <c r="D10" s="87" t="s">
        <v>113</v>
      </c>
      <c r="E10" s="87">
        <v>14</v>
      </c>
      <c r="F10" s="92">
        <v>750</v>
      </c>
      <c r="G10" s="93"/>
      <c r="H10" s="88">
        <f t="shared" si="0"/>
        <v>10500</v>
      </c>
      <c r="I10" s="104"/>
      <c r="J10" s="107"/>
    </row>
    <row r="11" ht="60.95" customHeight="1" spans="1:10">
      <c r="A11" s="85">
        <v>33</v>
      </c>
      <c r="B11" s="86" t="s">
        <v>114</v>
      </c>
      <c r="C11" s="86" t="s">
        <v>115</v>
      </c>
      <c r="D11" s="87" t="s">
        <v>33</v>
      </c>
      <c r="E11" s="87">
        <v>-46.08</v>
      </c>
      <c r="F11" s="92">
        <v>14.06</v>
      </c>
      <c r="G11" s="93"/>
      <c r="H11" s="88">
        <f t="shared" si="0"/>
        <v>-647.8848</v>
      </c>
      <c r="I11" s="108"/>
      <c r="J11" s="109"/>
    </row>
    <row r="12" ht="60.95" customHeight="1" spans="1:10">
      <c r="A12" s="85">
        <v>34</v>
      </c>
      <c r="B12" s="86" t="s">
        <v>116</v>
      </c>
      <c r="C12" s="86" t="s">
        <v>117</v>
      </c>
      <c r="D12" s="87" t="s">
        <v>33</v>
      </c>
      <c r="E12" s="87">
        <v>-46.08</v>
      </c>
      <c r="F12" s="92">
        <v>8.64</v>
      </c>
      <c r="G12" s="93"/>
      <c r="H12" s="88">
        <f t="shared" si="0"/>
        <v>-398.1312</v>
      </c>
      <c r="I12" s="108"/>
      <c r="J12" s="109"/>
    </row>
    <row r="13" ht="44.1" customHeight="1" spans="1:10">
      <c r="A13" s="95" t="s">
        <v>118</v>
      </c>
      <c r="B13" s="96"/>
      <c r="C13" s="96"/>
      <c r="D13" s="96"/>
      <c r="E13" s="96"/>
      <c r="F13" s="96"/>
      <c r="G13" s="96"/>
      <c r="H13" s="97">
        <f>SUM(H6:H12)</f>
        <v>-8001.916</v>
      </c>
      <c r="I13" s="110"/>
      <c r="J13" s="111"/>
    </row>
    <row r="14" ht="72.95" customHeight="1" spans="1:10">
      <c r="A14" s="58" t="s">
        <v>119</v>
      </c>
      <c r="B14" s="58"/>
      <c r="C14" s="58"/>
      <c r="D14" s="58"/>
      <c r="E14" s="58"/>
      <c r="F14" s="58"/>
      <c r="G14" s="58"/>
      <c r="H14" s="58"/>
      <c r="I14" s="58"/>
      <c r="J14" s="58"/>
    </row>
    <row r="15" ht="44.1" customHeight="1"/>
    <row r="21" spans="5:5">
      <c r="E21" s="98"/>
    </row>
    <row r="22" spans="5:5">
      <c r="E22" s="98"/>
    </row>
    <row r="23" spans="5:5">
      <c r="E23" s="98"/>
    </row>
  </sheetData>
  <mergeCells count="14">
    <mergeCell ref="A1:J1"/>
    <mergeCell ref="F2:J2"/>
    <mergeCell ref="F3:G3"/>
    <mergeCell ref="B5:C5"/>
    <mergeCell ref="A13:G13"/>
    <mergeCell ref="A14:J14"/>
    <mergeCell ref="A2:A4"/>
    <mergeCell ref="B2:B4"/>
    <mergeCell ref="C2:C4"/>
    <mergeCell ref="D2:D4"/>
    <mergeCell ref="E2:E4"/>
    <mergeCell ref="H3:H4"/>
    <mergeCell ref="I3:I4"/>
    <mergeCell ref="J3:J4"/>
  </mergeCells>
  <pageMargins left="0.75" right="0.75" top="1" bottom="1" header="0.5" footer="0.5"/>
  <pageSetup paperSize="9" scale="72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1"/>
  <sheetViews>
    <sheetView view="pageBreakPreview" zoomScale="130" zoomScaleNormal="145" workbookViewId="0">
      <selection activeCell="A1" sqref="A1:J1"/>
    </sheetView>
  </sheetViews>
  <sheetFormatPr defaultColWidth="9.13888888888889" defaultRowHeight="13.2"/>
  <cols>
    <col min="1" max="1" width="4.86111111111111" style="28" customWidth="1"/>
    <col min="2" max="2" width="13.1388888888889" style="28" customWidth="1"/>
    <col min="3" max="3" width="35.1388888888889" style="28" customWidth="1"/>
    <col min="4" max="4" width="5.57407407407407" style="28" customWidth="1"/>
    <col min="5" max="5" width="9.71296296296296" style="28" customWidth="1"/>
    <col min="6" max="6" width="9.71296296296296" style="29" customWidth="1"/>
    <col min="7" max="7" width="13.712962962963" style="29" customWidth="1"/>
    <col min="8" max="8" width="15.4259259259259" style="29" customWidth="1"/>
    <col min="9" max="9" width="9.13888888888889" style="28"/>
    <col min="10" max="10" width="12" style="29" customWidth="1"/>
    <col min="11" max="16384" width="9.13888888888889" style="28"/>
  </cols>
  <sheetData>
    <row r="1" ht="39" customHeight="1" spans="1:10">
      <c r="A1" s="30" t="s">
        <v>120</v>
      </c>
      <c r="B1" s="30"/>
      <c r="C1" s="30"/>
      <c r="D1" s="30"/>
      <c r="E1" s="30"/>
      <c r="F1" s="30"/>
      <c r="G1" s="30"/>
      <c r="H1" s="30"/>
      <c r="I1" s="30"/>
      <c r="J1" s="30"/>
    </row>
    <row r="2" ht="14.25" customHeight="1" spans="1:10">
      <c r="A2" s="31" t="s">
        <v>1</v>
      </c>
      <c r="B2" s="32" t="s">
        <v>16</v>
      </c>
      <c r="C2" s="32" t="s">
        <v>17</v>
      </c>
      <c r="D2" s="32" t="s">
        <v>18</v>
      </c>
      <c r="E2" s="33" t="s">
        <v>96</v>
      </c>
      <c r="F2" s="32" t="s">
        <v>20</v>
      </c>
      <c r="G2" s="34"/>
      <c r="H2" s="34"/>
      <c r="I2" s="34"/>
      <c r="J2" s="59"/>
    </row>
    <row r="3" ht="15.6" customHeight="1" spans="1:10">
      <c r="A3" s="35"/>
      <c r="B3" s="36"/>
      <c r="C3" s="36"/>
      <c r="D3" s="36"/>
      <c r="E3" s="37"/>
      <c r="F3" s="38" t="s">
        <v>21</v>
      </c>
      <c r="G3" s="38"/>
      <c r="H3" s="39" t="s">
        <v>22</v>
      </c>
      <c r="I3" s="60" t="s">
        <v>23</v>
      </c>
      <c r="J3" s="61" t="s">
        <v>24</v>
      </c>
    </row>
    <row r="4" ht="14.1" customHeight="1" spans="1:10">
      <c r="A4" s="35"/>
      <c r="B4" s="36"/>
      <c r="C4" s="36"/>
      <c r="D4" s="36"/>
      <c r="E4" s="40"/>
      <c r="F4" s="41"/>
      <c r="G4" s="41" t="s">
        <v>25</v>
      </c>
      <c r="H4" s="39"/>
      <c r="I4" s="60"/>
      <c r="J4" s="62"/>
    </row>
    <row r="5" ht="22.7" customHeight="1" spans="1:10">
      <c r="A5" s="42"/>
      <c r="B5" s="43" t="s">
        <v>121</v>
      </c>
      <c r="C5" s="43"/>
      <c r="D5" s="44"/>
      <c r="E5" s="44"/>
      <c r="F5" s="45"/>
      <c r="G5" s="45"/>
      <c r="H5" s="46"/>
      <c r="I5" s="63"/>
      <c r="J5" s="64"/>
    </row>
    <row r="6" ht="87.2" customHeight="1" outlineLevel="1" spans="1:10">
      <c r="A6" s="42">
        <v>2</v>
      </c>
      <c r="B6" s="43" t="s">
        <v>122</v>
      </c>
      <c r="C6" s="43" t="s">
        <v>123</v>
      </c>
      <c r="D6" s="44" t="s">
        <v>100</v>
      </c>
      <c r="E6" s="45">
        <f>-62.34+58.72</f>
        <v>-3.62</v>
      </c>
      <c r="F6" s="46">
        <v>65.08</v>
      </c>
      <c r="G6" s="46">
        <v>42.76</v>
      </c>
      <c r="H6" s="46">
        <f>E6*F6</f>
        <v>-235.5896</v>
      </c>
      <c r="I6" s="65"/>
      <c r="J6" s="66" t="s">
        <v>101</v>
      </c>
    </row>
    <row r="7" ht="87.2" customHeight="1" outlineLevel="1" spans="1:10">
      <c r="A7" s="42">
        <v>3</v>
      </c>
      <c r="B7" s="43" t="s">
        <v>122</v>
      </c>
      <c r="C7" s="43" t="s">
        <v>124</v>
      </c>
      <c r="D7" s="44" t="s">
        <v>100</v>
      </c>
      <c r="E7" s="45">
        <f>-97.1+86.44</f>
        <v>-10.66</v>
      </c>
      <c r="F7" s="46">
        <v>49.56</v>
      </c>
      <c r="G7" s="46">
        <v>29.71</v>
      </c>
      <c r="H7" s="46">
        <f t="shared" ref="H7:H19" si="0">E7*F7</f>
        <v>-528.3096</v>
      </c>
      <c r="I7" s="65"/>
      <c r="J7" s="66" t="s">
        <v>101</v>
      </c>
    </row>
    <row r="8" ht="87.2" customHeight="1" outlineLevel="1" spans="1:10">
      <c r="A8" s="42">
        <v>4</v>
      </c>
      <c r="B8" s="43" t="s">
        <v>122</v>
      </c>
      <c r="C8" s="43" t="s">
        <v>125</v>
      </c>
      <c r="D8" s="44" t="s">
        <v>100</v>
      </c>
      <c r="E8" s="45">
        <f>-117.92+201.99</f>
        <v>84.07</v>
      </c>
      <c r="F8" s="46">
        <v>42.51</v>
      </c>
      <c r="G8" s="46">
        <v>21.96</v>
      </c>
      <c r="H8" s="46">
        <f t="shared" si="0"/>
        <v>3573.8157</v>
      </c>
      <c r="I8" s="65"/>
      <c r="J8" s="66" t="s">
        <v>101</v>
      </c>
    </row>
    <row r="9" ht="87.2" customHeight="1" outlineLevel="1" spans="1:10">
      <c r="A9" s="42">
        <v>5</v>
      </c>
      <c r="B9" s="43" t="s">
        <v>122</v>
      </c>
      <c r="C9" s="43" t="s">
        <v>126</v>
      </c>
      <c r="D9" s="44" t="s">
        <v>100</v>
      </c>
      <c r="E9" s="45">
        <f>-84.94+140.35</f>
        <v>55.41</v>
      </c>
      <c r="F9" s="46">
        <v>29.99</v>
      </c>
      <c r="G9" s="46">
        <v>13.83</v>
      </c>
      <c r="H9" s="46">
        <f t="shared" si="0"/>
        <v>1661.7459</v>
      </c>
      <c r="I9" s="65"/>
      <c r="J9" s="66" t="s">
        <v>101</v>
      </c>
    </row>
    <row r="10" ht="87.2" customHeight="1" outlineLevel="1" spans="1:10">
      <c r="A10" s="42">
        <v>7</v>
      </c>
      <c r="B10" s="43" t="s">
        <v>122</v>
      </c>
      <c r="C10" s="43" t="s">
        <v>127</v>
      </c>
      <c r="D10" s="44" t="s">
        <v>100</v>
      </c>
      <c r="E10" s="45">
        <f>-673.91+485.83</f>
        <v>-188.08</v>
      </c>
      <c r="F10" s="46">
        <v>18.48</v>
      </c>
      <c r="G10" s="46">
        <v>5.81</v>
      </c>
      <c r="H10" s="46">
        <f t="shared" si="0"/>
        <v>-3475.7184</v>
      </c>
      <c r="I10" s="65"/>
      <c r="J10" s="66" t="s">
        <v>101</v>
      </c>
    </row>
    <row r="11" s="27" customFormat="1" ht="26.1" customHeight="1" outlineLevel="1" spans="1:10">
      <c r="A11" s="42">
        <v>17</v>
      </c>
      <c r="B11" s="43" t="s">
        <v>114</v>
      </c>
      <c r="C11" s="43" t="s">
        <v>128</v>
      </c>
      <c r="D11" s="44" t="s">
        <v>33</v>
      </c>
      <c r="E11" s="45">
        <v>-10.06</v>
      </c>
      <c r="F11" s="46">
        <v>16.78</v>
      </c>
      <c r="G11" s="46"/>
      <c r="H11" s="46">
        <f t="shared" si="0"/>
        <v>-168.8068</v>
      </c>
      <c r="I11" s="65"/>
      <c r="J11" s="67"/>
    </row>
    <row r="12" s="27" customFormat="1" ht="24.95" customHeight="1" outlineLevel="1" spans="1:10">
      <c r="A12" s="42">
        <v>18</v>
      </c>
      <c r="B12" s="43" t="s">
        <v>116</v>
      </c>
      <c r="C12" s="43" t="s">
        <v>129</v>
      </c>
      <c r="D12" s="44" t="s">
        <v>33</v>
      </c>
      <c r="E12" s="45">
        <v>-10.06</v>
      </c>
      <c r="F12" s="47">
        <v>8.64</v>
      </c>
      <c r="G12" s="47"/>
      <c r="H12" s="46">
        <f t="shared" si="0"/>
        <v>-86.9184</v>
      </c>
      <c r="I12" s="68"/>
      <c r="J12" s="69"/>
    </row>
    <row r="13" s="27" customFormat="1" ht="23.1" customHeight="1" spans="1:10">
      <c r="A13" s="48"/>
      <c r="B13" s="48" t="s">
        <v>130</v>
      </c>
      <c r="C13" s="48"/>
      <c r="D13" s="48"/>
      <c r="E13" s="49"/>
      <c r="F13" s="49"/>
      <c r="G13" s="49"/>
      <c r="H13" s="46">
        <f t="shared" si="0"/>
        <v>0</v>
      </c>
      <c r="I13" s="70"/>
      <c r="J13" s="71"/>
    </row>
    <row r="14" s="27" customFormat="1" ht="36" customHeight="1" spans="1:252">
      <c r="A14" s="50">
        <v>1</v>
      </c>
      <c r="B14" s="50" t="s">
        <v>58</v>
      </c>
      <c r="C14" s="50" t="s">
        <v>128</v>
      </c>
      <c r="D14" s="50" t="s">
        <v>33</v>
      </c>
      <c r="E14" s="51">
        <v>25.08</v>
      </c>
      <c r="F14" s="51">
        <f>F11</f>
        <v>16.78</v>
      </c>
      <c r="G14" s="51"/>
      <c r="H14" s="46">
        <f t="shared" si="0"/>
        <v>420.8424</v>
      </c>
      <c r="I14" s="72"/>
      <c r="J14" s="73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4"/>
      <c r="HS14" s="74"/>
      <c r="HT14" s="74"/>
      <c r="HU14" s="74"/>
      <c r="HV14" s="74"/>
      <c r="HW14" s="74"/>
      <c r="HX14" s="74"/>
      <c r="HY14" s="74"/>
      <c r="HZ14" s="74"/>
      <c r="IA14" s="74"/>
      <c r="IB14" s="74"/>
      <c r="IC14" s="74"/>
      <c r="ID14" s="74"/>
      <c r="IE14" s="74"/>
      <c r="IF14" s="74"/>
      <c r="IG14" s="74"/>
      <c r="IH14" s="74"/>
      <c r="II14" s="74"/>
      <c r="IJ14" s="74"/>
      <c r="IK14" s="74"/>
      <c r="IL14" s="74"/>
      <c r="IM14" s="74"/>
      <c r="IN14" s="74"/>
      <c r="IO14" s="74"/>
      <c r="IP14" s="74"/>
      <c r="IQ14" s="74"/>
      <c r="IR14" s="74"/>
    </row>
    <row r="15" s="27" customFormat="1" ht="33.95" customHeight="1" spans="1:252">
      <c r="A15" s="50">
        <v>2</v>
      </c>
      <c r="B15" s="50" t="s">
        <v>131</v>
      </c>
      <c r="C15" s="50" t="s">
        <v>129</v>
      </c>
      <c r="D15" s="50" t="s">
        <v>33</v>
      </c>
      <c r="E15" s="51">
        <v>25.08</v>
      </c>
      <c r="F15" s="51">
        <v>8.64</v>
      </c>
      <c r="G15" s="51"/>
      <c r="H15" s="46">
        <f t="shared" si="0"/>
        <v>216.6912</v>
      </c>
      <c r="I15" s="72"/>
      <c r="J15" s="73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</row>
    <row r="16" s="27" customFormat="1" ht="65.1" customHeight="1" spans="1:252">
      <c r="A16" s="50">
        <v>3</v>
      </c>
      <c r="B16" s="52" t="s">
        <v>132</v>
      </c>
      <c r="C16" s="53" t="s">
        <v>133</v>
      </c>
      <c r="D16" s="50" t="s">
        <v>100</v>
      </c>
      <c r="E16" s="51">
        <f>-797.57+1074.95-134*0.9</f>
        <v>156.78</v>
      </c>
      <c r="F16" s="51">
        <v>61.53</v>
      </c>
      <c r="G16" s="51">
        <v>19</v>
      </c>
      <c r="H16" s="46">
        <f t="shared" si="0"/>
        <v>9646.6734</v>
      </c>
      <c r="I16" s="72" t="s">
        <v>134</v>
      </c>
      <c r="J16" s="73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4"/>
      <c r="HS16" s="74"/>
      <c r="HT16" s="74"/>
      <c r="HU16" s="74"/>
      <c r="HV16" s="74"/>
      <c r="HW16" s="74"/>
      <c r="HX16" s="74"/>
      <c r="HY16" s="74"/>
      <c r="HZ16" s="74"/>
      <c r="IA16" s="74"/>
      <c r="IB16" s="74"/>
      <c r="IC16" s="74"/>
      <c r="ID16" s="74"/>
      <c r="IE16" s="74"/>
      <c r="IF16" s="74"/>
      <c r="IG16" s="74"/>
      <c r="IH16" s="74"/>
      <c r="II16" s="74"/>
      <c r="IJ16" s="74"/>
      <c r="IK16" s="74"/>
      <c r="IL16" s="74"/>
      <c r="IM16" s="74"/>
      <c r="IN16" s="74"/>
      <c r="IO16" s="74"/>
      <c r="IP16" s="74"/>
      <c r="IQ16" s="74"/>
      <c r="IR16" s="74"/>
    </row>
    <row r="17" s="27" customFormat="1" ht="63" customHeight="1" spans="1:10">
      <c r="A17" s="50">
        <v>4</v>
      </c>
      <c r="B17" s="52" t="s">
        <v>132</v>
      </c>
      <c r="C17" s="53" t="s">
        <v>135</v>
      </c>
      <c r="D17" s="50" t="s">
        <v>100</v>
      </c>
      <c r="E17" s="51">
        <f>-134.03+129.64</f>
        <v>-4.39000000000001</v>
      </c>
      <c r="F17" s="51">
        <v>41.39</v>
      </c>
      <c r="G17" s="51">
        <v>12.5</v>
      </c>
      <c r="H17" s="46">
        <f t="shared" si="0"/>
        <v>-181.702100000001</v>
      </c>
      <c r="I17" s="72"/>
      <c r="J17" s="71"/>
    </row>
    <row r="18" s="27" customFormat="1" ht="35.1" customHeight="1" spans="1:252">
      <c r="A18" s="50">
        <v>7</v>
      </c>
      <c r="B18" s="54" t="s">
        <v>136</v>
      </c>
      <c r="C18" s="53" t="s">
        <v>137</v>
      </c>
      <c r="D18" s="50" t="s">
        <v>138</v>
      </c>
      <c r="E18" s="51">
        <f>-10+19</f>
        <v>9</v>
      </c>
      <c r="F18" s="51">
        <v>43</v>
      </c>
      <c r="G18" s="51">
        <v>29</v>
      </c>
      <c r="H18" s="46">
        <f t="shared" si="0"/>
        <v>387</v>
      </c>
      <c r="I18" s="72"/>
      <c r="J18" s="73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  <c r="GS18" s="74"/>
      <c r="GT18" s="74"/>
      <c r="GU18" s="74"/>
      <c r="GV18" s="74"/>
      <c r="GW18" s="74"/>
      <c r="GX18" s="74"/>
      <c r="GY18" s="74"/>
      <c r="GZ18" s="74"/>
      <c r="HA18" s="74"/>
      <c r="HB18" s="74"/>
      <c r="HC18" s="74"/>
      <c r="HD18" s="74"/>
      <c r="HE18" s="74"/>
      <c r="HF18" s="74"/>
      <c r="HG18" s="74"/>
      <c r="HH18" s="74"/>
      <c r="HI18" s="74"/>
      <c r="HJ18" s="74"/>
      <c r="HK18" s="74"/>
      <c r="HL18" s="74"/>
      <c r="HM18" s="74"/>
      <c r="HN18" s="74"/>
      <c r="HO18" s="74"/>
      <c r="HP18" s="74"/>
      <c r="HQ18" s="74"/>
      <c r="HR18" s="74"/>
      <c r="HS18" s="74"/>
      <c r="HT18" s="74"/>
      <c r="HU18" s="74"/>
      <c r="HV18" s="74"/>
      <c r="HW18" s="74"/>
      <c r="HX18" s="74"/>
      <c r="HY18" s="74"/>
      <c r="HZ18" s="74"/>
      <c r="IA18" s="74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</row>
    <row r="19" s="27" customFormat="1" ht="49" customHeight="1" spans="1:252">
      <c r="A19" s="50">
        <v>8</v>
      </c>
      <c r="B19" s="54" t="s">
        <v>139</v>
      </c>
      <c r="C19" s="53" t="s">
        <v>140</v>
      </c>
      <c r="D19" s="50" t="s">
        <v>138</v>
      </c>
      <c r="E19" s="51">
        <f>-109+134</f>
        <v>25</v>
      </c>
      <c r="F19" s="51">
        <v>755</v>
      </c>
      <c r="G19" s="51"/>
      <c r="H19" s="46">
        <f t="shared" si="0"/>
        <v>18875</v>
      </c>
      <c r="I19" s="72"/>
      <c r="J19" s="73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</row>
    <row r="20" ht="30" customHeight="1" spans="1:10">
      <c r="A20" s="55" t="s">
        <v>118</v>
      </c>
      <c r="B20" s="56"/>
      <c r="C20" s="56"/>
      <c r="D20" s="56"/>
      <c r="E20" s="56"/>
      <c r="F20" s="56"/>
      <c r="G20" s="56"/>
      <c r="H20" s="57">
        <f>SUM(H6:H19)</f>
        <v>30104.7237</v>
      </c>
      <c r="I20" s="63"/>
      <c r="J20" s="64"/>
    </row>
    <row r="21" s="27" customFormat="1" ht="72.95" customHeight="1" spans="1:16384">
      <c r="A21" s="58" t="s">
        <v>119</v>
      </c>
      <c r="B21" s="58"/>
      <c r="C21" s="58"/>
      <c r="D21" s="58"/>
      <c r="E21" s="58"/>
      <c r="F21" s="58"/>
      <c r="G21" s="58"/>
      <c r="H21" s="58"/>
      <c r="I21" s="58"/>
      <c r="J21" s="58"/>
      <c r="XFD21"/>
    </row>
  </sheetData>
  <mergeCells count="14">
    <mergeCell ref="A1:J1"/>
    <mergeCell ref="F2:J2"/>
    <mergeCell ref="F3:G3"/>
    <mergeCell ref="B5:C5"/>
    <mergeCell ref="A20:G20"/>
    <mergeCell ref="A21:J21"/>
    <mergeCell ref="A2:A4"/>
    <mergeCell ref="B2:B4"/>
    <mergeCell ref="C2:C4"/>
    <mergeCell ref="D2:D4"/>
    <mergeCell ref="E2:E4"/>
    <mergeCell ref="H3:H4"/>
    <mergeCell ref="I3:I4"/>
    <mergeCell ref="J3:J4"/>
  </mergeCells>
  <pageMargins left="0.78740157480315" right="0.196850393700787" top="0.78740157480315" bottom="0.393700787401575" header="0" footer="0"/>
  <pageSetup paperSize="9" scale="73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opLeftCell="A13" workbookViewId="0">
      <selection activeCell="K2" sqref="K2:L3"/>
    </sheetView>
  </sheetViews>
  <sheetFormatPr defaultColWidth="8.88888888888889" defaultRowHeight="13.2"/>
  <cols>
    <col min="1" max="1" width="8.87962962962963" style="19"/>
    <col min="2" max="2" width="13.4351851851852" style="19" customWidth="1"/>
    <col min="3" max="3" width="15.5277777777778" style="19" customWidth="1"/>
    <col min="4" max="4" width="8.43518518518519" style="19" customWidth="1"/>
    <col min="5" max="10" width="8.87962962962963" style="19"/>
  </cols>
  <sheetData>
    <row r="1" ht="25.8" spans="1:10">
      <c r="A1" s="20" t="s">
        <v>141</v>
      </c>
      <c r="B1" s="20"/>
      <c r="C1" s="20"/>
      <c r="D1" s="20"/>
      <c r="E1" s="20"/>
      <c r="F1" s="20"/>
      <c r="G1" s="20"/>
      <c r="H1" s="20"/>
      <c r="I1" s="20"/>
      <c r="J1" s="20"/>
    </row>
    <row r="2" spans="1:12">
      <c r="A2" s="15" t="s">
        <v>1</v>
      </c>
      <c r="B2" s="15" t="s">
        <v>142</v>
      </c>
      <c r="C2" s="21" t="s">
        <v>143</v>
      </c>
      <c r="D2" s="22"/>
      <c r="E2" s="22"/>
      <c r="F2" s="23"/>
      <c r="G2" s="24" t="s">
        <v>144</v>
      </c>
      <c r="H2" s="24" t="s">
        <v>145</v>
      </c>
      <c r="I2" s="24" t="s">
        <v>146</v>
      </c>
      <c r="J2" s="15" t="s">
        <v>147</v>
      </c>
      <c r="K2" s="10" t="s">
        <v>148</v>
      </c>
      <c r="L2" s="10" t="s">
        <v>20</v>
      </c>
    </row>
    <row r="3" spans="1:12">
      <c r="A3" s="16"/>
      <c r="B3" s="16"/>
      <c r="C3" s="5" t="s">
        <v>149</v>
      </c>
      <c r="D3" s="5" t="s">
        <v>150</v>
      </c>
      <c r="E3" s="5" t="s">
        <v>151</v>
      </c>
      <c r="F3" s="5" t="s">
        <v>152</v>
      </c>
      <c r="G3" s="16"/>
      <c r="H3" s="16"/>
      <c r="I3" s="16"/>
      <c r="J3" s="16"/>
      <c r="K3" s="11"/>
      <c r="L3" s="11"/>
    </row>
    <row r="4" spans="1:12">
      <c r="A4" s="5">
        <v>1</v>
      </c>
      <c r="B4" s="5" t="s">
        <v>153</v>
      </c>
      <c r="C4" s="5" t="s">
        <v>154</v>
      </c>
      <c r="D4" s="5" t="s">
        <v>155</v>
      </c>
      <c r="E4" s="5" t="s">
        <v>156</v>
      </c>
      <c r="F4" s="5" t="s">
        <v>154</v>
      </c>
      <c r="G4" s="5">
        <v>18</v>
      </c>
      <c r="H4" s="5">
        <v>18</v>
      </c>
      <c r="I4" s="5">
        <f t="shared" ref="I4:I43" si="0">H4-G4</f>
        <v>0</v>
      </c>
      <c r="J4" s="5" t="s">
        <v>157</v>
      </c>
      <c r="K4" s="12"/>
      <c r="L4" s="12"/>
    </row>
    <row r="5" spans="1:12">
      <c r="A5" s="5">
        <v>2</v>
      </c>
      <c r="B5" s="5" t="s">
        <v>158</v>
      </c>
      <c r="C5" s="5" t="s">
        <v>159</v>
      </c>
      <c r="D5" s="5" t="s">
        <v>160</v>
      </c>
      <c r="E5" s="5" t="s">
        <v>161</v>
      </c>
      <c r="F5" s="5" t="s">
        <v>162</v>
      </c>
      <c r="G5" s="5">
        <v>74</v>
      </c>
      <c r="H5" s="5">
        <v>67</v>
      </c>
      <c r="I5" s="5">
        <f t="shared" si="0"/>
        <v>-7</v>
      </c>
      <c r="J5" s="5" t="s">
        <v>157</v>
      </c>
      <c r="K5" s="12">
        <v>7850</v>
      </c>
      <c r="L5" s="12">
        <f>I5*K5</f>
        <v>-54950</v>
      </c>
    </row>
    <row r="6" spans="1:12">
      <c r="A6" s="5">
        <v>3</v>
      </c>
      <c r="B6" s="5" t="s">
        <v>163</v>
      </c>
      <c r="C6" s="5" t="s">
        <v>164</v>
      </c>
      <c r="D6" s="5" t="s">
        <v>165</v>
      </c>
      <c r="E6" s="5" t="s">
        <v>166</v>
      </c>
      <c r="F6" s="5" t="s">
        <v>167</v>
      </c>
      <c r="G6" s="5">
        <v>50</v>
      </c>
      <c r="H6" s="5">
        <v>83</v>
      </c>
      <c r="I6" s="5">
        <f t="shared" si="0"/>
        <v>33</v>
      </c>
      <c r="J6" s="5" t="s">
        <v>157</v>
      </c>
      <c r="K6" s="12">
        <v>5600</v>
      </c>
      <c r="L6" s="12">
        <f t="shared" ref="L6:L31" si="1">I6*K6</f>
        <v>184800</v>
      </c>
    </row>
    <row r="7" spans="1:12">
      <c r="A7" s="5">
        <v>4</v>
      </c>
      <c r="B7" s="5" t="s">
        <v>168</v>
      </c>
      <c r="C7" s="5" t="s">
        <v>154</v>
      </c>
      <c r="D7" s="5" t="s">
        <v>155</v>
      </c>
      <c r="E7" s="5" t="s">
        <v>169</v>
      </c>
      <c r="F7" s="5" t="s">
        <v>154</v>
      </c>
      <c r="G7" s="5">
        <v>2</v>
      </c>
      <c r="H7" s="5">
        <v>2</v>
      </c>
      <c r="I7" s="5">
        <f t="shared" si="0"/>
        <v>0</v>
      </c>
      <c r="J7" s="5" t="s">
        <v>157</v>
      </c>
      <c r="K7" s="12"/>
      <c r="L7" s="12">
        <f t="shared" si="1"/>
        <v>0</v>
      </c>
    </row>
    <row r="8" spans="1:12">
      <c r="A8" s="5">
        <v>5</v>
      </c>
      <c r="B8" s="5" t="s">
        <v>170</v>
      </c>
      <c r="C8" s="5">
        <v>20</v>
      </c>
      <c r="D8" s="5" t="s">
        <v>155</v>
      </c>
      <c r="E8" s="5" t="s">
        <v>161</v>
      </c>
      <c r="F8" s="5" t="s">
        <v>162</v>
      </c>
      <c r="G8" s="5">
        <v>15</v>
      </c>
      <c r="H8" s="5">
        <v>15</v>
      </c>
      <c r="I8" s="5">
        <f t="shared" si="0"/>
        <v>0</v>
      </c>
      <c r="J8" s="5" t="s">
        <v>157</v>
      </c>
      <c r="K8" s="12"/>
      <c r="L8" s="12">
        <f t="shared" si="1"/>
        <v>0</v>
      </c>
    </row>
    <row r="9" spans="1:12">
      <c r="A9" s="5">
        <v>6</v>
      </c>
      <c r="B9" s="5" t="s">
        <v>171</v>
      </c>
      <c r="C9" s="5" t="s">
        <v>172</v>
      </c>
      <c r="D9" s="5" t="s">
        <v>173</v>
      </c>
      <c r="E9" s="5" t="s">
        <v>174</v>
      </c>
      <c r="F9" s="5" t="s">
        <v>167</v>
      </c>
      <c r="G9" s="5">
        <v>17</v>
      </c>
      <c r="H9" s="5">
        <v>14</v>
      </c>
      <c r="I9" s="5">
        <f t="shared" si="0"/>
        <v>-3</v>
      </c>
      <c r="J9" s="5" t="s">
        <v>157</v>
      </c>
      <c r="K9" s="12">
        <v>5600</v>
      </c>
      <c r="L9" s="12">
        <f t="shared" si="1"/>
        <v>-16800</v>
      </c>
    </row>
    <row r="10" spans="1:12">
      <c r="A10" s="5">
        <v>7</v>
      </c>
      <c r="B10" s="5" t="s">
        <v>175</v>
      </c>
      <c r="C10" s="5" t="s">
        <v>176</v>
      </c>
      <c r="D10" s="5" t="s">
        <v>177</v>
      </c>
      <c r="E10" s="5" t="s">
        <v>178</v>
      </c>
      <c r="F10" s="5" t="s">
        <v>179</v>
      </c>
      <c r="G10" s="5">
        <v>8</v>
      </c>
      <c r="H10" s="5">
        <v>8</v>
      </c>
      <c r="I10" s="5">
        <f t="shared" si="0"/>
        <v>0</v>
      </c>
      <c r="J10" s="5" t="s">
        <v>157</v>
      </c>
      <c r="K10" s="12"/>
      <c r="L10" s="12">
        <f t="shared" si="1"/>
        <v>0</v>
      </c>
    </row>
    <row r="11" spans="1:12">
      <c r="A11" s="5">
        <v>8</v>
      </c>
      <c r="B11" s="5" t="s">
        <v>180</v>
      </c>
      <c r="C11" s="5" t="s">
        <v>181</v>
      </c>
      <c r="D11" s="5" t="s">
        <v>166</v>
      </c>
      <c r="E11" s="5" t="s">
        <v>182</v>
      </c>
      <c r="F11" s="5" t="s">
        <v>183</v>
      </c>
      <c r="G11" s="5">
        <v>7</v>
      </c>
      <c r="H11" s="5">
        <v>7</v>
      </c>
      <c r="I11" s="5">
        <f t="shared" si="0"/>
        <v>0</v>
      </c>
      <c r="J11" s="5" t="s">
        <v>157</v>
      </c>
      <c r="K11" s="12"/>
      <c r="L11" s="12">
        <f t="shared" si="1"/>
        <v>0</v>
      </c>
    </row>
    <row r="12" spans="1:12">
      <c r="A12" s="5">
        <v>9</v>
      </c>
      <c r="B12" s="4" t="s">
        <v>184</v>
      </c>
      <c r="C12" s="5" t="s">
        <v>181</v>
      </c>
      <c r="D12" s="5" t="s">
        <v>166</v>
      </c>
      <c r="E12" s="5" t="s">
        <v>182</v>
      </c>
      <c r="F12" s="5" t="s">
        <v>183</v>
      </c>
      <c r="G12" s="5">
        <v>65</v>
      </c>
      <c r="H12" s="5">
        <v>56</v>
      </c>
      <c r="I12" s="5">
        <f t="shared" si="0"/>
        <v>-9</v>
      </c>
      <c r="J12" s="5" t="s">
        <v>157</v>
      </c>
      <c r="K12" s="12">
        <v>2700</v>
      </c>
      <c r="L12" s="12">
        <f t="shared" si="1"/>
        <v>-24300</v>
      </c>
    </row>
    <row r="13" spans="1:12">
      <c r="A13" s="5">
        <v>10</v>
      </c>
      <c r="B13" s="5" t="s">
        <v>185</v>
      </c>
      <c r="C13" s="25" t="s">
        <v>186</v>
      </c>
      <c r="D13" s="5" t="s">
        <v>161</v>
      </c>
      <c r="E13" s="5" t="s">
        <v>182</v>
      </c>
      <c r="F13" s="5" t="s">
        <v>187</v>
      </c>
      <c r="G13" s="5">
        <v>20</v>
      </c>
      <c r="H13" s="5">
        <v>12</v>
      </c>
      <c r="I13" s="5">
        <f t="shared" si="0"/>
        <v>-8</v>
      </c>
      <c r="J13" s="5" t="s">
        <v>157</v>
      </c>
      <c r="K13" s="12">
        <v>2100</v>
      </c>
      <c r="L13" s="12">
        <f t="shared" si="1"/>
        <v>-16800</v>
      </c>
    </row>
    <row r="14" spans="1:12">
      <c r="A14" s="5">
        <v>11</v>
      </c>
      <c r="B14" s="5" t="s">
        <v>188</v>
      </c>
      <c r="C14" s="5" t="s">
        <v>189</v>
      </c>
      <c r="D14" s="5" t="s">
        <v>182</v>
      </c>
      <c r="E14" s="5" t="s">
        <v>190</v>
      </c>
      <c r="F14" s="5" t="s">
        <v>191</v>
      </c>
      <c r="G14" s="5">
        <v>73</v>
      </c>
      <c r="H14" s="5">
        <v>58</v>
      </c>
      <c r="I14" s="5">
        <f t="shared" si="0"/>
        <v>-15</v>
      </c>
      <c r="J14" s="5" t="s">
        <v>157</v>
      </c>
      <c r="K14" s="12">
        <v>650</v>
      </c>
      <c r="L14" s="12">
        <f t="shared" si="1"/>
        <v>-9750</v>
      </c>
    </row>
    <row r="15" spans="1:12">
      <c r="A15" s="5">
        <v>12</v>
      </c>
      <c r="B15" s="5" t="s">
        <v>192</v>
      </c>
      <c r="C15" s="5" t="s">
        <v>189</v>
      </c>
      <c r="D15" s="5" t="s">
        <v>182</v>
      </c>
      <c r="E15" s="5" t="s">
        <v>190</v>
      </c>
      <c r="F15" s="5" t="s">
        <v>191</v>
      </c>
      <c r="G15" s="5">
        <v>56</v>
      </c>
      <c r="H15" s="5">
        <v>42</v>
      </c>
      <c r="I15" s="5">
        <f t="shared" si="0"/>
        <v>-14</v>
      </c>
      <c r="J15" s="5" t="s">
        <v>157</v>
      </c>
      <c r="K15" s="12">
        <v>650</v>
      </c>
      <c r="L15" s="12">
        <f t="shared" si="1"/>
        <v>-9100</v>
      </c>
    </row>
    <row r="16" spans="1:12">
      <c r="A16" s="5">
        <v>13</v>
      </c>
      <c r="B16" s="5" t="s">
        <v>193</v>
      </c>
      <c r="C16" s="5" t="s">
        <v>194</v>
      </c>
      <c r="D16" s="5" t="s">
        <v>182</v>
      </c>
      <c r="E16" s="5" t="s">
        <v>190</v>
      </c>
      <c r="F16" s="5" t="s">
        <v>191</v>
      </c>
      <c r="G16" s="5">
        <v>28</v>
      </c>
      <c r="H16" s="5">
        <v>25</v>
      </c>
      <c r="I16" s="5">
        <f t="shared" si="0"/>
        <v>-3</v>
      </c>
      <c r="J16" s="5" t="s">
        <v>157</v>
      </c>
      <c r="K16" s="12">
        <v>1200</v>
      </c>
      <c r="L16" s="12">
        <f t="shared" si="1"/>
        <v>-3600</v>
      </c>
    </row>
    <row r="17" spans="1:12">
      <c r="A17" s="5">
        <v>14</v>
      </c>
      <c r="B17" s="5" t="s">
        <v>195</v>
      </c>
      <c r="C17" s="5" t="s">
        <v>196</v>
      </c>
      <c r="D17" s="5" t="s">
        <v>169</v>
      </c>
      <c r="E17" s="5" t="s">
        <v>161</v>
      </c>
      <c r="F17" s="5" t="s">
        <v>191</v>
      </c>
      <c r="G17" s="5">
        <v>21</v>
      </c>
      <c r="H17" s="5">
        <v>25</v>
      </c>
      <c r="I17" s="5">
        <f t="shared" si="0"/>
        <v>4</v>
      </c>
      <c r="J17" s="5" t="s">
        <v>157</v>
      </c>
      <c r="K17" s="12">
        <v>4200</v>
      </c>
      <c r="L17" s="12">
        <f t="shared" si="1"/>
        <v>16800</v>
      </c>
    </row>
    <row r="18" spans="1:12">
      <c r="A18" s="5">
        <v>15</v>
      </c>
      <c r="B18" s="4" t="s">
        <v>197</v>
      </c>
      <c r="C18" s="5" t="s">
        <v>198</v>
      </c>
      <c r="D18" s="5" t="s">
        <v>161</v>
      </c>
      <c r="E18" s="5" t="s">
        <v>166</v>
      </c>
      <c r="F18" s="5" t="s">
        <v>191</v>
      </c>
      <c r="G18" s="5">
        <v>58</v>
      </c>
      <c r="H18" s="5">
        <v>52</v>
      </c>
      <c r="I18" s="5">
        <f t="shared" si="0"/>
        <v>-6</v>
      </c>
      <c r="J18" s="5" t="s">
        <v>157</v>
      </c>
      <c r="K18" s="12">
        <v>1800</v>
      </c>
      <c r="L18" s="12">
        <f t="shared" si="1"/>
        <v>-10800</v>
      </c>
    </row>
    <row r="19" spans="1:12">
      <c r="A19" s="5">
        <v>16</v>
      </c>
      <c r="B19" s="4" t="s">
        <v>199</v>
      </c>
      <c r="C19" s="5" t="s">
        <v>200</v>
      </c>
      <c r="D19" s="5" t="s">
        <v>178</v>
      </c>
      <c r="E19" s="5" t="s">
        <v>178</v>
      </c>
      <c r="F19" s="5" t="s">
        <v>191</v>
      </c>
      <c r="G19" s="5">
        <v>45</v>
      </c>
      <c r="H19" s="5">
        <v>53</v>
      </c>
      <c r="I19" s="5">
        <f t="shared" si="0"/>
        <v>8</v>
      </c>
      <c r="J19" s="5" t="s">
        <v>157</v>
      </c>
      <c r="K19" s="12">
        <v>900</v>
      </c>
      <c r="L19" s="12">
        <f t="shared" si="1"/>
        <v>7200</v>
      </c>
    </row>
    <row r="20" spans="1:12">
      <c r="A20" s="5">
        <v>17</v>
      </c>
      <c r="B20" s="5" t="s">
        <v>201</v>
      </c>
      <c r="C20" s="25" t="s">
        <v>202</v>
      </c>
      <c r="D20" s="5" t="s">
        <v>203</v>
      </c>
      <c r="E20" s="5" t="s">
        <v>204</v>
      </c>
      <c r="F20" s="5" t="s">
        <v>205</v>
      </c>
      <c r="G20" s="5">
        <v>14</v>
      </c>
      <c r="H20" s="5">
        <v>14</v>
      </c>
      <c r="I20" s="5">
        <f t="shared" si="0"/>
        <v>0</v>
      </c>
      <c r="J20" s="5" t="s">
        <v>157</v>
      </c>
      <c r="K20" s="12"/>
      <c r="L20" s="12">
        <f t="shared" si="1"/>
        <v>0</v>
      </c>
    </row>
    <row r="21" spans="1:12">
      <c r="A21" s="5">
        <v>18</v>
      </c>
      <c r="B21" s="5" t="s">
        <v>206</v>
      </c>
      <c r="C21" s="5" t="s">
        <v>154</v>
      </c>
      <c r="D21" s="5" t="s">
        <v>178</v>
      </c>
      <c r="E21" s="5" t="s">
        <v>182</v>
      </c>
      <c r="F21" s="5" t="s">
        <v>154</v>
      </c>
      <c r="G21" s="5">
        <v>21</v>
      </c>
      <c r="H21" s="5">
        <v>20</v>
      </c>
      <c r="I21" s="5">
        <f t="shared" si="0"/>
        <v>-1</v>
      </c>
      <c r="J21" s="5" t="s">
        <v>157</v>
      </c>
      <c r="K21" s="12">
        <v>800</v>
      </c>
      <c r="L21" s="12">
        <f t="shared" si="1"/>
        <v>-800</v>
      </c>
    </row>
    <row r="22" spans="1:12">
      <c r="A22" s="5">
        <v>19</v>
      </c>
      <c r="B22" s="5" t="s">
        <v>207</v>
      </c>
      <c r="C22" s="5" t="s">
        <v>154</v>
      </c>
      <c r="D22" s="5" t="s">
        <v>208</v>
      </c>
      <c r="E22" s="5" t="s">
        <v>209</v>
      </c>
      <c r="F22" s="5" t="s">
        <v>154</v>
      </c>
      <c r="G22" s="5">
        <v>3</v>
      </c>
      <c r="H22" s="5">
        <v>3</v>
      </c>
      <c r="I22" s="5">
        <f t="shared" si="0"/>
        <v>0</v>
      </c>
      <c r="J22" s="5" t="s">
        <v>157</v>
      </c>
      <c r="K22" s="12"/>
      <c r="L22" s="12">
        <f t="shared" si="1"/>
        <v>0</v>
      </c>
    </row>
    <row r="23" spans="1:12">
      <c r="A23" s="5">
        <v>20</v>
      </c>
      <c r="B23" s="5" t="s">
        <v>210</v>
      </c>
      <c r="C23" s="5" t="s">
        <v>154</v>
      </c>
      <c r="D23" s="5" t="s">
        <v>178</v>
      </c>
      <c r="E23" s="5" t="s">
        <v>182</v>
      </c>
      <c r="F23" s="5" t="s">
        <v>154</v>
      </c>
      <c r="G23" s="5">
        <v>21</v>
      </c>
      <c r="H23" s="5">
        <v>21</v>
      </c>
      <c r="I23" s="5">
        <f t="shared" si="0"/>
        <v>0</v>
      </c>
      <c r="J23" s="5" t="s">
        <v>157</v>
      </c>
      <c r="K23" s="12"/>
      <c r="L23" s="12">
        <f t="shared" si="1"/>
        <v>0</v>
      </c>
    </row>
    <row r="24" spans="1:12">
      <c r="A24" s="5">
        <v>21</v>
      </c>
      <c r="B24" s="5" t="s">
        <v>211</v>
      </c>
      <c r="C24" s="5">
        <v>15</v>
      </c>
      <c r="D24" s="5" t="s">
        <v>179</v>
      </c>
      <c r="E24" s="5" t="s">
        <v>162</v>
      </c>
      <c r="F24" s="5" t="s">
        <v>191</v>
      </c>
      <c r="G24" s="5">
        <v>1</v>
      </c>
      <c r="H24" s="5">
        <v>1</v>
      </c>
      <c r="I24" s="5">
        <f t="shared" si="0"/>
        <v>0</v>
      </c>
      <c r="J24" s="5" t="s">
        <v>157</v>
      </c>
      <c r="K24" s="12"/>
      <c r="L24" s="12">
        <f t="shared" si="1"/>
        <v>0</v>
      </c>
    </row>
    <row r="25" spans="1:12">
      <c r="A25" s="5">
        <v>22</v>
      </c>
      <c r="B25" s="4" t="s">
        <v>212</v>
      </c>
      <c r="C25" s="25" t="s">
        <v>186</v>
      </c>
      <c r="D25" s="5" t="s">
        <v>213</v>
      </c>
      <c r="E25" s="5" t="s">
        <v>203</v>
      </c>
      <c r="F25" s="5" t="s">
        <v>179</v>
      </c>
      <c r="G25" s="5">
        <v>240</v>
      </c>
      <c r="H25" s="5">
        <v>212</v>
      </c>
      <c r="I25" s="5">
        <f t="shared" si="0"/>
        <v>-28</v>
      </c>
      <c r="J25" s="5" t="s">
        <v>157</v>
      </c>
      <c r="K25" s="12">
        <v>1380</v>
      </c>
      <c r="L25" s="12">
        <f t="shared" si="1"/>
        <v>-38640</v>
      </c>
    </row>
    <row r="26" spans="1:12">
      <c r="A26" s="5">
        <v>23</v>
      </c>
      <c r="B26" s="5" t="s">
        <v>214</v>
      </c>
      <c r="C26" s="25" t="s">
        <v>215</v>
      </c>
      <c r="D26" s="5" t="s">
        <v>156</v>
      </c>
      <c r="E26" s="5" t="s">
        <v>178</v>
      </c>
      <c r="F26" s="5" t="s">
        <v>179</v>
      </c>
      <c r="G26" s="5">
        <v>35</v>
      </c>
      <c r="H26" s="5">
        <v>30</v>
      </c>
      <c r="I26" s="5">
        <f t="shared" si="0"/>
        <v>-5</v>
      </c>
      <c r="J26" s="5" t="s">
        <v>157</v>
      </c>
      <c r="K26" s="12">
        <v>1500</v>
      </c>
      <c r="L26" s="12">
        <f t="shared" si="1"/>
        <v>-7500</v>
      </c>
    </row>
    <row r="27" spans="1:12">
      <c r="A27" s="5">
        <v>24</v>
      </c>
      <c r="B27" s="5" t="s">
        <v>216</v>
      </c>
      <c r="C27" s="5" t="s">
        <v>154</v>
      </c>
      <c r="D27" s="5" t="s">
        <v>217</v>
      </c>
      <c r="E27" s="5" t="s">
        <v>203</v>
      </c>
      <c r="F27" s="5" t="s">
        <v>154</v>
      </c>
      <c r="G27" s="5">
        <v>5</v>
      </c>
      <c r="H27" s="5">
        <v>5</v>
      </c>
      <c r="I27" s="5">
        <f t="shared" si="0"/>
        <v>0</v>
      </c>
      <c r="J27" s="5" t="s">
        <v>157</v>
      </c>
      <c r="K27" s="12"/>
      <c r="L27" s="12">
        <f t="shared" si="1"/>
        <v>0</v>
      </c>
    </row>
    <row r="28" spans="1:12">
      <c r="A28" s="5">
        <v>25</v>
      </c>
      <c r="B28" s="5" t="s">
        <v>218</v>
      </c>
      <c r="C28" s="5" t="s">
        <v>154</v>
      </c>
      <c r="D28" s="5" t="s">
        <v>166</v>
      </c>
      <c r="E28" s="5" t="s">
        <v>178</v>
      </c>
      <c r="F28" s="5" t="s">
        <v>154</v>
      </c>
      <c r="G28" s="5">
        <v>22</v>
      </c>
      <c r="H28" s="5">
        <v>22</v>
      </c>
      <c r="I28" s="5">
        <f t="shared" si="0"/>
        <v>0</v>
      </c>
      <c r="J28" s="5" t="s">
        <v>157</v>
      </c>
      <c r="K28" s="12"/>
      <c r="L28" s="12">
        <f t="shared" si="1"/>
        <v>0</v>
      </c>
    </row>
    <row r="29" spans="1:12">
      <c r="A29" s="5">
        <v>26</v>
      </c>
      <c r="B29" s="5" t="s">
        <v>219</v>
      </c>
      <c r="C29" s="5" t="s">
        <v>154</v>
      </c>
      <c r="D29" s="5" t="s">
        <v>178</v>
      </c>
      <c r="E29" s="5" t="s">
        <v>182</v>
      </c>
      <c r="F29" s="5" t="s">
        <v>154</v>
      </c>
      <c r="G29" s="5">
        <v>55</v>
      </c>
      <c r="H29" s="5">
        <v>53</v>
      </c>
      <c r="I29" s="5">
        <f t="shared" si="0"/>
        <v>-2</v>
      </c>
      <c r="J29" s="5" t="s">
        <v>157</v>
      </c>
      <c r="K29" s="12">
        <v>1600</v>
      </c>
      <c r="L29" s="12">
        <f t="shared" si="1"/>
        <v>-3200</v>
      </c>
    </row>
    <row r="30" spans="1:12">
      <c r="A30" s="5">
        <v>27</v>
      </c>
      <c r="B30" s="5" t="s">
        <v>220</v>
      </c>
      <c r="C30" s="5" t="s">
        <v>154</v>
      </c>
      <c r="D30" s="5" t="s">
        <v>166</v>
      </c>
      <c r="E30" s="5" t="s">
        <v>178</v>
      </c>
      <c r="F30" s="5" t="s">
        <v>154</v>
      </c>
      <c r="G30" s="5">
        <v>78</v>
      </c>
      <c r="H30" s="5">
        <v>65</v>
      </c>
      <c r="I30" s="5">
        <f t="shared" si="0"/>
        <v>-13</v>
      </c>
      <c r="J30" s="5" t="s">
        <v>157</v>
      </c>
      <c r="K30" s="12">
        <v>3000</v>
      </c>
      <c r="L30" s="12">
        <f t="shared" si="1"/>
        <v>-39000</v>
      </c>
    </row>
    <row r="31" spans="1:12">
      <c r="A31" s="5">
        <v>28</v>
      </c>
      <c r="B31" s="5" t="s">
        <v>221</v>
      </c>
      <c r="C31" s="5" t="s">
        <v>154</v>
      </c>
      <c r="D31" s="5" t="s">
        <v>154</v>
      </c>
      <c r="E31" s="5" t="s">
        <v>154</v>
      </c>
      <c r="F31" s="5" t="s">
        <v>154</v>
      </c>
      <c r="G31" s="5">
        <v>3</v>
      </c>
      <c r="H31" s="5">
        <v>3</v>
      </c>
      <c r="I31" s="5">
        <f t="shared" si="0"/>
        <v>0</v>
      </c>
      <c r="J31" s="5" t="s">
        <v>157</v>
      </c>
      <c r="K31" s="12"/>
      <c r="L31" s="12">
        <f t="shared" si="1"/>
        <v>0</v>
      </c>
    </row>
    <row r="32" spans="1:12">
      <c r="A32" s="5">
        <v>29</v>
      </c>
      <c r="B32" s="5" t="s">
        <v>222</v>
      </c>
      <c r="C32" s="5" t="s">
        <v>154</v>
      </c>
      <c r="D32" s="5" t="s">
        <v>154</v>
      </c>
      <c r="E32" s="5" t="s">
        <v>154</v>
      </c>
      <c r="F32" s="5" t="s">
        <v>154</v>
      </c>
      <c r="G32" s="5">
        <v>3</v>
      </c>
      <c r="H32" s="5">
        <v>3</v>
      </c>
      <c r="I32" s="5">
        <f t="shared" si="0"/>
        <v>0</v>
      </c>
      <c r="J32" s="5" t="s">
        <v>157</v>
      </c>
      <c r="K32" s="12"/>
      <c r="L32" s="12"/>
    </row>
    <row r="33" spans="1:12">
      <c r="A33" s="5">
        <v>30</v>
      </c>
      <c r="B33" s="5" t="s">
        <v>223</v>
      </c>
      <c r="C33" s="5" t="s">
        <v>154</v>
      </c>
      <c r="D33" s="5" t="s">
        <v>154</v>
      </c>
      <c r="E33" s="5" t="s">
        <v>154</v>
      </c>
      <c r="F33" s="5" t="s">
        <v>154</v>
      </c>
      <c r="G33" s="5">
        <v>2</v>
      </c>
      <c r="H33" s="5">
        <v>2</v>
      </c>
      <c r="I33" s="5">
        <f t="shared" si="0"/>
        <v>0</v>
      </c>
      <c r="J33" s="5" t="s">
        <v>157</v>
      </c>
      <c r="K33" s="12"/>
      <c r="L33" s="12"/>
    </row>
    <row r="34" spans="1:12">
      <c r="A34" s="5">
        <v>31</v>
      </c>
      <c r="B34" s="5" t="s">
        <v>224</v>
      </c>
      <c r="C34" s="5" t="s">
        <v>154</v>
      </c>
      <c r="D34" s="5" t="s">
        <v>154</v>
      </c>
      <c r="E34" s="5" t="s">
        <v>154</v>
      </c>
      <c r="F34" s="5" t="s">
        <v>154</v>
      </c>
      <c r="G34" s="5">
        <v>2</v>
      </c>
      <c r="H34" s="5">
        <v>2</v>
      </c>
      <c r="I34" s="5">
        <f t="shared" si="0"/>
        <v>0</v>
      </c>
      <c r="J34" s="5" t="s">
        <v>157</v>
      </c>
      <c r="K34" s="12"/>
      <c r="L34" s="12"/>
    </row>
    <row r="35" spans="1:12">
      <c r="A35" s="5">
        <v>32</v>
      </c>
      <c r="B35" s="5" t="s">
        <v>225</v>
      </c>
      <c r="C35" s="5" t="s">
        <v>154</v>
      </c>
      <c r="D35" s="5" t="s">
        <v>154</v>
      </c>
      <c r="E35" s="5" t="s">
        <v>154</v>
      </c>
      <c r="F35" s="5" t="s">
        <v>154</v>
      </c>
      <c r="G35" s="5">
        <v>1</v>
      </c>
      <c r="H35" s="5">
        <v>1</v>
      </c>
      <c r="I35" s="5">
        <f t="shared" si="0"/>
        <v>0</v>
      </c>
      <c r="J35" s="5" t="s">
        <v>157</v>
      </c>
      <c r="K35" s="12"/>
      <c r="L35" s="12"/>
    </row>
    <row r="36" spans="1:12">
      <c r="A36" s="5">
        <v>33</v>
      </c>
      <c r="B36" s="5" t="s">
        <v>226</v>
      </c>
      <c r="C36" s="5" t="s">
        <v>154</v>
      </c>
      <c r="D36" s="5" t="s">
        <v>154</v>
      </c>
      <c r="E36" s="5" t="s">
        <v>154</v>
      </c>
      <c r="F36" s="5" t="s">
        <v>154</v>
      </c>
      <c r="G36" s="5">
        <v>7</v>
      </c>
      <c r="H36" s="5">
        <v>7</v>
      </c>
      <c r="I36" s="5">
        <f t="shared" si="0"/>
        <v>0</v>
      </c>
      <c r="J36" s="5" t="s">
        <v>157</v>
      </c>
      <c r="K36" s="12"/>
      <c r="L36" s="12"/>
    </row>
    <row r="37" spans="1:12">
      <c r="A37" s="5">
        <v>34</v>
      </c>
      <c r="B37" s="5" t="s">
        <v>227</v>
      </c>
      <c r="C37" s="5" t="s">
        <v>154</v>
      </c>
      <c r="D37" s="5" t="s">
        <v>154</v>
      </c>
      <c r="E37" s="5" t="s">
        <v>154</v>
      </c>
      <c r="F37" s="5" t="s">
        <v>154</v>
      </c>
      <c r="G37" s="5">
        <v>2</v>
      </c>
      <c r="H37" s="5">
        <v>2</v>
      </c>
      <c r="I37" s="5">
        <f t="shared" si="0"/>
        <v>0</v>
      </c>
      <c r="J37" s="5" t="s">
        <v>157</v>
      </c>
      <c r="K37" s="12"/>
      <c r="L37" s="12"/>
    </row>
    <row r="38" spans="1:12">
      <c r="A38" s="5">
        <v>35</v>
      </c>
      <c r="B38" s="5" t="s">
        <v>228</v>
      </c>
      <c r="C38" s="5" t="s">
        <v>154</v>
      </c>
      <c r="D38" s="5" t="s">
        <v>154</v>
      </c>
      <c r="E38" s="5" t="s">
        <v>154</v>
      </c>
      <c r="F38" s="5" t="s">
        <v>154</v>
      </c>
      <c r="G38" s="5">
        <v>2</v>
      </c>
      <c r="H38" s="5">
        <v>2</v>
      </c>
      <c r="I38" s="5">
        <f t="shared" si="0"/>
        <v>0</v>
      </c>
      <c r="J38" s="5" t="s">
        <v>157</v>
      </c>
      <c r="K38" s="12"/>
      <c r="L38" s="12"/>
    </row>
    <row r="39" spans="1:12">
      <c r="A39" s="5">
        <v>36</v>
      </c>
      <c r="B39" s="5" t="s">
        <v>229</v>
      </c>
      <c r="C39" s="5" t="s">
        <v>154</v>
      </c>
      <c r="D39" s="5" t="s">
        <v>154</v>
      </c>
      <c r="E39" s="5" t="s">
        <v>154</v>
      </c>
      <c r="F39" s="5" t="s">
        <v>154</v>
      </c>
      <c r="G39" s="5">
        <v>3</v>
      </c>
      <c r="H39" s="5">
        <v>3</v>
      </c>
      <c r="I39" s="5">
        <f t="shared" si="0"/>
        <v>0</v>
      </c>
      <c r="J39" s="5" t="s">
        <v>157</v>
      </c>
      <c r="K39" s="12"/>
      <c r="L39" s="12"/>
    </row>
    <row r="40" spans="1:12">
      <c r="A40" s="5">
        <v>37</v>
      </c>
      <c r="B40" s="5" t="s">
        <v>230</v>
      </c>
      <c r="C40" s="5" t="s">
        <v>154</v>
      </c>
      <c r="D40" s="5" t="s">
        <v>154</v>
      </c>
      <c r="E40" s="5" t="s">
        <v>154</v>
      </c>
      <c r="F40" s="5" t="s">
        <v>154</v>
      </c>
      <c r="G40" s="5">
        <v>4</v>
      </c>
      <c r="H40" s="5">
        <v>4</v>
      </c>
      <c r="I40" s="5">
        <f t="shared" si="0"/>
        <v>0</v>
      </c>
      <c r="J40" s="5" t="s">
        <v>157</v>
      </c>
      <c r="K40" s="12"/>
      <c r="L40" s="12"/>
    </row>
    <row r="41" spans="1:12">
      <c r="A41" s="5">
        <v>38</v>
      </c>
      <c r="B41" s="5" t="s">
        <v>231</v>
      </c>
      <c r="C41" s="5" t="s">
        <v>154</v>
      </c>
      <c r="D41" s="5" t="s">
        <v>154</v>
      </c>
      <c r="E41" s="5" t="s">
        <v>154</v>
      </c>
      <c r="F41" s="5" t="s">
        <v>154</v>
      </c>
      <c r="G41" s="5">
        <v>3</v>
      </c>
      <c r="H41" s="5">
        <v>3</v>
      </c>
      <c r="I41" s="5">
        <f t="shared" si="0"/>
        <v>0</v>
      </c>
      <c r="J41" s="5" t="s">
        <v>157</v>
      </c>
      <c r="K41" s="12"/>
      <c r="L41" s="12"/>
    </row>
    <row r="42" spans="1:12">
      <c r="A42" s="5">
        <v>39</v>
      </c>
      <c r="B42" s="5" t="s">
        <v>232</v>
      </c>
      <c r="C42" s="5" t="s">
        <v>154</v>
      </c>
      <c r="D42" s="5" t="s">
        <v>154</v>
      </c>
      <c r="E42" s="5" t="s">
        <v>154</v>
      </c>
      <c r="F42" s="5" t="s">
        <v>154</v>
      </c>
      <c r="G42" s="5">
        <v>2</v>
      </c>
      <c r="H42" s="5">
        <v>2</v>
      </c>
      <c r="I42" s="5">
        <f t="shared" si="0"/>
        <v>0</v>
      </c>
      <c r="J42" s="5" t="s">
        <v>157</v>
      </c>
      <c r="K42" s="12"/>
      <c r="L42" s="12"/>
    </row>
    <row r="43" spans="1:12">
      <c r="A43" s="5">
        <v>40</v>
      </c>
      <c r="B43" s="5" t="s">
        <v>233</v>
      </c>
      <c r="C43" s="25" t="s">
        <v>234</v>
      </c>
      <c r="D43" s="5" t="s">
        <v>235</v>
      </c>
      <c r="E43" s="5" t="s">
        <v>236</v>
      </c>
      <c r="F43" s="5" t="s">
        <v>154</v>
      </c>
      <c r="G43" s="5">
        <v>1.7</v>
      </c>
      <c r="H43" s="5">
        <v>1.7</v>
      </c>
      <c r="I43" s="5">
        <f t="shared" si="0"/>
        <v>0</v>
      </c>
      <c r="J43" s="5" t="s">
        <v>30</v>
      </c>
      <c r="K43" s="12"/>
      <c r="L43" s="12"/>
    </row>
    <row r="44" spans="1:12">
      <c r="A44" s="5">
        <v>41</v>
      </c>
      <c r="B44" s="26" t="s">
        <v>237</v>
      </c>
      <c r="C44" s="5"/>
      <c r="D44" s="5"/>
      <c r="E44" s="5"/>
      <c r="F44" s="5"/>
      <c r="G44" s="5"/>
      <c r="H44" s="5"/>
      <c r="I44" s="5"/>
      <c r="J44" s="5"/>
      <c r="K44" s="12"/>
      <c r="L44" s="12">
        <f>SUM(L5:L43)</f>
        <v>-26440</v>
      </c>
    </row>
  </sheetData>
  <mergeCells count="10">
    <mergeCell ref="A1:J1"/>
    <mergeCell ref="C2:F2"/>
    <mergeCell ref="A2:A3"/>
    <mergeCell ref="B2:B3"/>
    <mergeCell ref="G2:G3"/>
    <mergeCell ref="H2:H3"/>
    <mergeCell ref="I2:I3"/>
    <mergeCell ref="J2:J3"/>
    <mergeCell ref="K2:K3"/>
    <mergeCell ref="L2:L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A21" sqref="A21:B21"/>
    </sheetView>
  </sheetViews>
  <sheetFormatPr defaultColWidth="8.88888888888889" defaultRowHeight="13.2"/>
  <cols>
    <col min="1" max="1" width="8.87962962962963" style="13"/>
    <col min="2" max="2" width="12.7777777777778" style="13" customWidth="1"/>
    <col min="3" max="4" width="8.87962962962963" style="13"/>
    <col min="5" max="6" width="9.81481481481481" style="13" customWidth="1"/>
    <col min="7" max="8" width="8.87962962962963" style="13"/>
  </cols>
  <sheetData>
    <row r="1" ht="25.8" spans="1:8">
      <c r="A1" s="2" t="s">
        <v>238</v>
      </c>
      <c r="B1" s="3"/>
      <c r="C1" s="3"/>
      <c r="D1" s="3"/>
      <c r="E1" s="3"/>
      <c r="F1" s="3"/>
      <c r="G1" s="3"/>
      <c r="H1" s="9"/>
    </row>
    <row r="2" spans="1:10">
      <c r="A2" s="5" t="s">
        <v>1</v>
      </c>
      <c r="B2" s="5" t="s">
        <v>142</v>
      </c>
      <c r="C2" s="14" t="s">
        <v>143</v>
      </c>
      <c r="D2" s="8"/>
      <c r="E2" s="4" t="s">
        <v>144</v>
      </c>
      <c r="F2" s="4" t="s">
        <v>145</v>
      </c>
      <c r="G2" s="4" t="s">
        <v>146</v>
      </c>
      <c r="H2" s="15" t="s">
        <v>147</v>
      </c>
      <c r="I2" s="10" t="s">
        <v>148</v>
      </c>
      <c r="J2" s="10" t="s">
        <v>20</v>
      </c>
    </row>
    <row r="3" spans="1:10">
      <c r="A3" s="5"/>
      <c r="B3" s="5"/>
      <c r="C3" s="8" t="s">
        <v>239</v>
      </c>
      <c r="D3" s="8" t="s">
        <v>240</v>
      </c>
      <c r="E3" s="5"/>
      <c r="F3" s="5"/>
      <c r="G3" s="5"/>
      <c r="H3" s="16"/>
      <c r="I3" s="11"/>
      <c r="J3" s="11"/>
    </row>
    <row r="4" spans="1:10">
      <c r="A4" s="8">
        <v>1</v>
      </c>
      <c r="B4" s="8" t="s">
        <v>241</v>
      </c>
      <c r="C4" s="8" t="s">
        <v>242</v>
      </c>
      <c r="D4" s="8" t="s">
        <v>243</v>
      </c>
      <c r="E4" s="8">
        <v>11</v>
      </c>
      <c r="F4" s="8">
        <v>11</v>
      </c>
      <c r="G4" s="8">
        <f t="shared" ref="G4:G20" si="0">F4-E4</f>
        <v>0</v>
      </c>
      <c r="H4" s="8" t="s">
        <v>157</v>
      </c>
      <c r="J4">
        <f>G4*I4</f>
        <v>0</v>
      </c>
    </row>
    <row r="5" spans="1:10">
      <c r="A5" s="8">
        <v>2</v>
      </c>
      <c r="B5" s="8" t="s">
        <v>244</v>
      </c>
      <c r="C5" s="8" t="s">
        <v>245</v>
      </c>
      <c r="D5" s="8" t="s">
        <v>246</v>
      </c>
      <c r="E5" s="8">
        <v>20</v>
      </c>
      <c r="F5" s="8">
        <v>18</v>
      </c>
      <c r="G5" s="8">
        <f t="shared" si="0"/>
        <v>-2</v>
      </c>
      <c r="H5" s="8" t="s">
        <v>157</v>
      </c>
      <c r="I5">
        <v>450</v>
      </c>
      <c r="J5">
        <f>G5*I5</f>
        <v>-900</v>
      </c>
    </row>
    <row r="6" spans="1:10">
      <c r="A6" s="8">
        <v>3</v>
      </c>
      <c r="B6" s="8" t="s">
        <v>247</v>
      </c>
      <c r="C6" s="8" t="s">
        <v>245</v>
      </c>
      <c r="D6" s="8" t="s">
        <v>246</v>
      </c>
      <c r="E6" s="8">
        <v>156</v>
      </c>
      <c r="F6" s="8">
        <v>149</v>
      </c>
      <c r="G6" s="8">
        <f t="shared" si="0"/>
        <v>-7</v>
      </c>
      <c r="H6" s="8" t="s">
        <v>157</v>
      </c>
      <c r="I6">
        <v>320</v>
      </c>
      <c r="J6">
        <f t="shared" ref="J6:J20" si="1">G6*I6</f>
        <v>-2240</v>
      </c>
    </row>
    <row r="7" spans="1:10">
      <c r="A7" s="8">
        <v>4</v>
      </c>
      <c r="B7" s="8" t="s">
        <v>248</v>
      </c>
      <c r="C7" s="8" t="s">
        <v>245</v>
      </c>
      <c r="D7" s="8" t="s">
        <v>246</v>
      </c>
      <c r="E7" s="8">
        <v>19</v>
      </c>
      <c r="F7" s="8">
        <v>19</v>
      </c>
      <c r="G7" s="8">
        <f t="shared" si="0"/>
        <v>0</v>
      </c>
      <c r="H7" s="8" t="s">
        <v>157</v>
      </c>
      <c r="I7">
        <v>420</v>
      </c>
      <c r="J7">
        <f t="shared" si="1"/>
        <v>0</v>
      </c>
    </row>
    <row r="8" spans="1:10">
      <c r="A8" s="8">
        <v>5</v>
      </c>
      <c r="B8" s="8" t="s">
        <v>249</v>
      </c>
      <c r="C8" s="8">
        <v>200</v>
      </c>
      <c r="D8" s="8">
        <v>200</v>
      </c>
      <c r="E8" s="8">
        <v>16</v>
      </c>
      <c r="F8" s="8">
        <v>16</v>
      </c>
      <c r="G8" s="8">
        <f t="shared" si="0"/>
        <v>0</v>
      </c>
      <c r="H8" s="8" t="s">
        <v>157</v>
      </c>
      <c r="I8">
        <v>1800</v>
      </c>
      <c r="J8">
        <f t="shared" si="1"/>
        <v>0</v>
      </c>
    </row>
    <row r="9" spans="1:10">
      <c r="A9" s="8">
        <v>6</v>
      </c>
      <c r="B9" s="8" t="s">
        <v>250</v>
      </c>
      <c r="C9" s="8">
        <v>180</v>
      </c>
      <c r="D9" s="8">
        <v>180</v>
      </c>
      <c r="E9" s="8">
        <v>51</v>
      </c>
      <c r="F9" s="8">
        <v>46</v>
      </c>
      <c r="G9" s="8">
        <f t="shared" si="0"/>
        <v>-5</v>
      </c>
      <c r="H9" s="8" t="s">
        <v>157</v>
      </c>
      <c r="I9">
        <v>1200</v>
      </c>
      <c r="J9">
        <f t="shared" si="1"/>
        <v>-6000</v>
      </c>
    </row>
    <row r="10" spans="1:10">
      <c r="A10" s="8">
        <v>7</v>
      </c>
      <c r="B10" s="8" t="s">
        <v>251</v>
      </c>
      <c r="C10" s="8">
        <v>150</v>
      </c>
      <c r="D10" s="8">
        <v>150</v>
      </c>
      <c r="E10" s="8">
        <v>74</v>
      </c>
      <c r="F10" s="8">
        <v>70</v>
      </c>
      <c r="G10" s="8">
        <f t="shared" si="0"/>
        <v>-4</v>
      </c>
      <c r="H10" s="8" t="s">
        <v>157</v>
      </c>
      <c r="I10">
        <v>850</v>
      </c>
      <c r="J10">
        <f t="shared" si="1"/>
        <v>-3400</v>
      </c>
    </row>
    <row r="11" spans="1:10">
      <c r="A11" s="8">
        <v>8</v>
      </c>
      <c r="B11" s="8" t="s">
        <v>252</v>
      </c>
      <c r="C11" s="8">
        <v>180</v>
      </c>
      <c r="D11" s="8">
        <v>200</v>
      </c>
      <c r="E11" s="8">
        <v>25</v>
      </c>
      <c r="F11" s="8">
        <v>26</v>
      </c>
      <c r="G11" s="8">
        <f t="shared" si="0"/>
        <v>1</v>
      </c>
      <c r="H11" s="8" t="s">
        <v>157</v>
      </c>
      <c r="I11">
        <v>1000</v>
      </c>
      <c r="J11">
        <f t="shared" si="1"/>
        <v>1000</v>
      </c>
    </row>
    <row r="12" spans="1:10">
      <c r="A12" s="8">
        <v>9</v>
      </c>
      <c r="B12" s="8" t="s">
        <v>253</v>
      </c>
      <c r="C12" s="8">
        <v>150</v>
      </c>
      <c r="D12" s="8">
        <v>150</v>
      </c>
      <c r="E12" s="8">
        <v>58</v>
      </c>
      <c r="F12" s="8">
        <v>57</v>
      </c>
      <c r="G12" s="8">
        <f t="shared" si="0"/>
        <v>-1</v>
      </c>
      <c r="H12" s="8" t="s">
        <v>157</v>
      </c>
      <c r="I12">
        <v>700</v>
      </c>
      <c r="J12">
        <f t="shared" si="1"/>
        <v>-700</v>
      </c>
    </row>
    <row r="13" spans="1:10">
      <c r="A13" s="8">
        <v>10</v>
      </c>
      <c r="B13" s="8" t="s">
        <v>254</v>
      </c>
      <c r="C13" s="8">
        <v>120</v>
      </c>
      <c r="D13" s="8">
        <v>120</v>
      </c>
      <c r="E13" s="8">
        <v>107</v>
      </c>
      <c r="F13" s="8">
        <v>96</v>
      </c>
      <c r="G13" s="8">
        <f t="shared" si="0"/>
        <v>-11</v>
      </c>
      <c r="H13" s="8" t="s">
        <v>157</v>
      </c>
      <c r="I13">
        <v>400</v>
      </c>
      <c r="J13">
        <f t="shared" si="1"/>
        <v>-4400</v>
      </c>
    </row>
    <row r="14" spans="1:10">
      <c r="A14" s="8">
        <v>11</v>
      </c>
      <c r="B14" s="8" t="s">
        <v>255</v>
      </c>
      <c r="C14" s="8">
        <v>180</v>
      </c>
      <c r="D14" s="8">
        <v>180</v>
      </c>
      <c r="E14" s="8">
        <v>41</v>
      </c>
      <c r="F14" s="8">
        <v>41</v>
      </c>
      <c r="G14" s="8">
        <f t="shared" si="0"/>
        <v>0</v>
      </c>
      <c r="H14" s="8" t="s">
        <v>157</v>
      </c>
      <c r="J14">
        <f t="shared" si="1"/>
        <v>0</v>
      </c>
    </row>
    <row r="15" spans="1:10">
      <c r="A15" s="8">
        <v>12</v>
      </c>
      <c r="B15" s="8" t="s">
        <v>256</v>
      </c>
      <c r="C15" s="8">
        <v>150</v>
      </c>
      <c r="D15" s="8">
        <v>150</v>
      </c>
      <c r="E15" s="8">
        <v>67</v>
      </c>
      <c r="F15" s="8">
        <v>62</v>
      </c>
      <c r="G15" s="8">
        <f t="shared" si="0"/>
        <v>-5</v>
      </c>
      <c r="H15" s="8" t="s">
        <v>157</v>
      </c>
      <c r="I15">
        <v>500</v>
      </c>
      <c r="J15">
        <f t="shared" si="1"/>
        <v>-2500</v>
      </c>
    </row>
    <row r="16" spans="1:10">
      <c r="A16" s="8">
        <v>13</v>
      </c>
      <c r="B16" s="8" t="s">
        <v>257</v>
      </c>
      <c r="C16" s="8" t="s">
        <v>258</v>
      </c>
      <c r="D16" s="8" t="s">
        <v>258</v>
      </c>
      <c r="E16" s="8">
        <v>15</v>
      </c>
      <c r="F16" s="8">
        <v>15</v>
      </c>
      <c r="G16" s="8">
        <f t="shared" si="0"/>
        <v>0</v>
      </c>
      <c r="H16" s="8" t="s">
        <v>157</v>
      </c>
      <c r="J16">
        <f t="shared" si="1"/>
        <v>0</v>
      </c>
    </row>
    <row r="17" spans="1:10">
      <c r="A17" s="8">
        <v>14</v>
      </c>
      <c r="B17" s="8" t="s">
        <v>259</v>
      </c>
      <c r="C17" s="8">
        <v>120</v>
      </c>
      <c r="D17" s="8">
        <v>120</v>
      </c>
      <c r="E17" s="8">
        <v>51</v>
      </c>
      <c r="F17" s="8">
        <v>50</v>
      </c>
      <c r="G17" s="8">
        <f t="shared" si="0"/>
        <v>-1</v>
      </c>
      <c r="H17" s="8" t="s">
        <v>157</v>
      </c>
      <c r="I17">
        <v>550</v>
      </c>
      <c r="J17">
        <f t="shared" si="1"/>
        <v>-550</v>
      </c>
    </row>
    <row r="18" spans="1:10">
      <c r="A18" s="8">
        <v>15</v>
      </c>
      <c r="B18" s="8" t="s">
        <v>260</v>
      </c>
      <c r="C18" s="8">
        <v>120</v>
      </c>
      <c r="D18" s="8">
        <v>120</v>
      </c>
      <c r="E18" s="8">
        <v>190</v>
      </c>
      <c r="F18" s="8">
        <v>180</v>
      </c>
      <c r="G18" s="8">
        <f t="shared" si="0"/>
        <v>-10</v>
      </c>
      <c r="H18" s="8" t="s">
        <v>157</v>
      </c>
      <c r="I18">
        <v>450</v>
      </c>
      <c r="J18">
        <f t="shared" si="1"/>
        <v>-4500</v>
      </c>
    </row>
    <row r="19" spans="1:10">
      <c r="A19" s="8">
        <v>16</v>
      </c>
      <c r="B19" s="14" t="s">
        <v>261</v>
      </c>
      <c r="C19" s="8">
        <v>120</v>
      </c>
      <c r="D19" s="8">
        <v>150</v>
      </c>
      <c r="E19" s="8">
        <v>30</v>
      </c>
      <c r="F19" s="8">
        <v>27</v>
      </c>
      <c r="G19" s="8">
        <f t="shared" si="0"/>
        <v>-3</v>
      </c>
      <c r="H19" s="8" t="s">
        <v>157</v>
      </c>
      <c r="I19">
        <v>1000</v>
      </c>
      <c r="J19">
        <f t="shared" si="1"/>
        <v>-3000</v>
      </c>
    </row>
    <row r="20" spans="1:10">
      <c r="A20" s="17">
        <v>17</v>
      </c>
      <c r="B20" s="18" t="s">
        <v>262</v>
      </c>
      <c r="C20" s="17">
        <v>100</v>
      </c>
      <c r="D20" s="17">
        <v>120</v>
      </c>
      <c r="E20" s="17">
        <v>77</v>
      </c>
      <c r="F20" s="17">
        <v>72</v>
      </c>
      <c r="G20" s="17">
        <f t="shared" si="0"/>
        <v>-5</v>
      </c>
      <c r="H20" s="17" t="s">
        <v>157</v>
      </c>
      <c r="I20">
        <v>650</v>
      </c>
      <c r="J20">
        <f t="shared" si="1"/>
        <v>-3250</v>
      </c>
    </row>
    <row r="21" spans="1:10">
      <c r="A21" s="6">
        <v>18</v>
      </c>
      <c r="B21" s="7" t="s">
        <v>237</v>
      </c>
      <c r="C21" s="6"/>
      <c r="D21" s="6"/>
      <c r="E21" s="6"/>
      <c r="F21" s="6"/>
      <c r="G21" s="6"/>
      <c r="H21" s="6"/>
      <c r="I21" s="12"/>
      <c r="J21" s="12">
        <f>SUM(J4:J20)</f>
        <v>-30440</v>
      </c>
    </row>
  </sheetData>
  <mergeCells count="10">
    <mergeCell ref="A1:H1"/>
    <mergeCell ref="C2:D2"/>
    <mergeCell ref="A2:A3"/>
    <mergeCell ref="B2:B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K4" sqref="K4:K21"/>
    </sheetView>
  </sheetViews>
  <sheetFormatPr defaultColWidth="8.88888888888889" defaultRowHeight="13.2"/>
  <cols>
    <col min="1" max="1" width="8.87962962962963" style="1"/>
    <col min="2" max="2" width="16.0185185185185" style="1" customWidth="1"/>
    <col min="3" max="3" width="18.8796296296296" style="1" customWidth="1"/>
    <col min="4" max="4" width="10.3055555555556" style="1" customWidth="1"/>
    <col min="5" max="5" width="8.87962962962963" style="1"/>
    <col min="6" max="7" width="11" style="1" customWidth="1"/>
    <col min="8" max="8" width="8.87962962962963" style="1"/>
    <col min="9" max="9" width="7.0462962962963" style="1" customWidth="1"/>
    <col min="11" max="11" width="9.66666666666667"/>
  </cols>
  <sheetData>
    <row r="1" ht="25.8" spans="1:9">
      <c r="A1" s="2" t="s">
        <v>263</v>
      </c>
      <c r="B1" s="3"/>
      <c r="C1" s="3"/>
      <c r="D1" s="3"/>
      <c r="E1" s="3"/>
      <c r="F1" s="3"/>
      <c r="G1" s="3"/>
      <c r="H1" s="3"/>
      <c r="I1" s="9"/>
    </row>
    <row r="2" spans="1:11">
      <c r="A2" s="4" t="s">
        <v>1</v>
      </c>
      <c r="B2" s="4" t="s">
        <v>142</v>
      </c>
      <c r="C2" s="4" t="s">
        <v>143</v>
      </c>
      <c r="D2" s="5"/>
      <c r="E2" s="5"/>
      <c r="F2" s="4" t="s">
        <v>264</v>
      </c>
      <c r="G2" s="4" t="s">
        <v>265</v>
      </c>
      <c r="H2" s="4" t="s">
        <v>146</v>
      </c>
      <c r="I2" s="4" t="s">
        <v>147</v>
      </c>
      <c r="J2" s="10" t="s">
        <v>148</v>
      </c>
      <c r="K2" s="10" t="s">
        <v>20</v>
      </c>
    </row>
    <row r="3" spans="1:11">
      <c r="A3" s="4"/>
      <c r="B3" s="4"/>
      <c r="C3" s="4" t="s">
        <v>266</v>
      </c>
      <c r="D3" s="4" t="s">
        <v>267</v>
      </c>
      <c r="E3" s="4" t="s">
        <v>268</v>
      </c>
      <c r="F3" s="4"/>
      <c r="G3" s="4"/>
      <c r="H3" s="4"/>
      <c r="I3" s="4"/>
      <c r="J3" s="11"/>
      <c r="K3" s="11"/>
    </row>
    <row r="4" spans="1:11">
      <c r="A4" s="5">
        <v>1</v>
      </c>
      <c r="B4" s="4" t="s">
        <v>269</v>
      </c>
      <c r="C4" s="4" t="s">
        <v>270</v>
      </c>
      <c r="D4" s="5" t="s">
        <v>271</v>
      </c>
      <c r="E4" s="5" t="s">
        <v>272</v>
      </c>
      <c r="F4" s="5">
        <v>1654.4</v>
      </c>
      <c r="G4" s="5">
        <v>1654.4</v>
      </c>
      <c r="H4" s="5">
        <f t="shared" ref="H4:H20" si="0">G4-F4</f>
        <v>0</v>
      </c>
      <c r="I4" s="5" t="s">
        <v>100</v>
      </c>
      <c r="J4" s="12"/>
      <c r="K4" s="12">
        <f>H4*J4</f>
        <v>0</v>
      </c>
    </row>
    <row r="5" spans="1:11">
      <c r="A5" s="5">
        <v>2</v>
      </c>
      <c r="B5" s="4" t="s">
        <v>273</v>
      </c>
      <c r="C5" s="5" t="s">
        <v>274</v>
      </c>
      <c r="D5" s="5" t="s">
        <v>275</v>
      </c>
      <c r="E5" s="5" t="s">
        <v>276</v>
      </c>
      <c r="F5" s="5">
        <v>526.5</v>
      </c>
      <c r="G5" s="5">
        <v>441.8</v>
      </c>
      <c r="H5" s="5">
        <f t="shared" si="0"/>
        <v>-84.7</v>
      </c>
      <c r="I5" s="5" t="s">
        <v>277</v>
      </c>
      <c r="J5" s="12">
        <v>200</v>
      </c>
      <c r="K5" s="12">
        <f t="shared" ref="K5:K20" si="1">H5*J5</f>
        <v>-16940</v>
      </c>
    </row>
    <row r="6" spans="1:11">
      <c r="A6" s="5">
        <v>3</v>
      </c>
      <c r="B6" s="4" t="s">
        <v>278</v>
      </c>
      <c r="C6" s="5" t="s">
        <v>279</v>
      </c>
      <c r="D6" s="5" t="s">
        <v>280</v>
      </c>
      <c r="E6" s="5" t="s">
        <v>281</v>
      </c>
      <c r="F6" s="5">
        <v>828.8</v>
      </c>
      <c r="G6" s="5">
        <v>733.7</v>
      </c>
      <c r="H6" s="5">
        <f t="shared" si="0"/>
        <v>-95.0999999999999</v>
      </c>
      <c r="I6" s="5" t="s">
        <v>277</v>
      </c>
      <c r="J6" s="12">
        <v>216</v>
      </c>
      <c r="K6" s="12">
        <f t="shared" si="1"/>
        <v>-20541.6</v>
      </c>
    </row>
    <row r="7" spans="1:11">
      <c r="A7" s="5">
        <v>4</v>
      </c>
      <c r="B7" s="4" t="s">
        <v>282</v>
      </c>
      <c r="C7" s="5" t="s">
        <v>283</v>
      </c>
      <c r="D7" s="5" t="s">
        <v>284</v>
      </c>
      <c r="E7" s="5" t="s">
        <v>285</v>
      </c>
      <c r="F7" s="5">
        <v>326.8</v>
      </c>
      <c r="G7" s="5">
        <v>300.5</v>
      </c>
      <c r="H7" s="5">
        <f t="shared" si="0"/>
        <v>-26.3</v>
      </c>
      <c r="I7" s="5" t="s">
        <v>277</v>
      </c>
      <c r="J7" s="12">
        <v>245</v>
      </c>
      <c r="K7" s="12">
        <f t="shared" si="1"/>
        <v>-6443.5</v>
      </c>
    </row>
    <row r="8" spans="1:11">
      <c r="A8" s="5">
        <v>5</v>
      </c>
      <c r="B8" s="4" t="s">
        <v>286</v>
      </c>
      <c r="C8" s="5" t="s">
        <v>283</v>
      </c>
      <c r="D8" s="5" t="s">
        <v>284</v>
      </c>
      <c r="E8" s="5" t="s">
        <v>285</v>
      </c>
      <c r="F8" s="5">
        <v>1352.7</v>
      </c>
      <c r="G8" s="5">
        <v>1275.6</v>
      </c>
      <c r="H8" s="5">
        <f t="shared" si="0"/>
        <v>-77.1000000000001</v>
      </c>
      <c r="I8" s="5" t="s">
        <v>277</v>
      </c>
      <c r="J8" s="12">
        <v>196</v>
      </c>
      <c r="K8" s="12">
        <f t="shared" si="1"/>
        <v>-15111.6</v>
      </c>
    </row>
    <row r="9" spans="1:11">
      <c r="A9" s="5">
        <v>6</v>
      </c>
      <c r="B9" s="4" t="s">
        <v>287</v>
      </c>
      <c r="C9" s="5" t="s">
        <v>283</v>
      </c>
      <c r="D9" s="5" t="s">
        <v>288</v>
      </c>
      <c r="E9" s="5" t="s">
        <v>285</v>
      </c>
      <c r="F9" s="5">
        <v>855.7</v>
      </c>
      <c r="G9" s="5">
        <v>907.9</v>
      </c>
      <c r="H9" s="5">
        <f t="shared" si="0"/>
        <v>52.1999999999999</v>
      </c>
      <c r="I9" s="5" t="s">
        <v>277</v>
      </c>
      <c r="J9" s="12">
        <v>245</v>
      </c>
      <c r="K9" s="12">
        <f t="shared" si="1"/>
        <v>12789</v>
      </c>
    </row>
    <row r="10" spans="1:11">
      <c r="A10" s="5">
        <v>7</v>
      </c>
      <c r="B10" s="4" t="s">
        <v>289</v>
      </c>
      <c r="C10" s="5" t="s">
        <v>283</v>
      </c>
      <c r="D10" s="5" t="s">
        <v>288</v>
      </c>
      <c r="E10" s="5" t="s">
        <v>285</v>
      </c>
      <c r="F10" s="5">
        <v>466</v>
      </c>
      <c r="G10" s="5">
        <v>355.8</v>
      </c>
      <c r="H10" s="5">
        <f t="shared" si="0"/>
        <v>-110.2</v>
      </c>
      <c r="I10" s="5" t="s">
        <v>277</v>
      </c>
      <c r="J10" s="12">
        <v>243</v>
      </c>
      <c r="K10" s="12">
        <f t="shared" si="1"/>
        <v>-26778.6</v>
      </c>
    </row>
    <row r="11" spans="1:11">
      <c r="A11" s="5">
        <v>8</v>
      </c>
      <c r="B11" s="4" t="s">
        <v>290</v>
      </c>
      <c r="C11" s="5" t="s">
        <v>284</v>
      </c>
      <c r="D11" s="5" t="s">
        <v>291</v>
      </c>
      <c r="E11" s="5" t="s">
        <v>292</v>
      </c>
      <c r="F11" s="5">
        <v>1120.9</v>
      </c>
      <c r="G11" s="5">
        <v>1304.8</v>
      </c>
      <c r="H11" s="5">
        <f t="shared" si="0"/>
        <v>183.9</v>
      </c>
      <c r="I11" s="5" t="s">
        <v>277</v>
      </c>
      <c r="J11" s="12">
        <v>245</v>
      </c>
      <c r="K11" s="12">
        <f t="shared" si="1"/>
        <v>45055.5</v>
      </c>
    </row>
    <row r="12" spans="1:11">
      <c r="A12" s="5">
        <v>9</v>
      </c>
      <c r="B12" s="4" t="s">
        <v>293</v>
      </c>
      <c r="C12" s="5" t="s">
        <v>284</v>
      </c>
      <c r="D12" s="5" t="s">
        <v>291</v>
      </c>
      <c r="E12" s="5" t="s">
        <v>292</v>
      </c>
      <c r="F12" s="5">
        <v>525.3</v>
      </c>
      <c r="G12" s="5">
        <v>489.9</v>
      </c>
      <c r="H12" s="5">
        <f t="shared" si="0"/>
        <v>-35.4</v>
      </c>
      <c r="I12" s="5" t="s">
        <v>277</v>
      </c>
      <c r="J12" s="12">
        <v>192</v>
      </c>
      <c r="K12" s="12">
        <f t="shared" si="1"/>
        <v>-6796.8</v>
      </c>
    </row>
    <row r="13" spans="1:11">
      <c r="A13" s="5">
        <v>10</v>
      </c>
      <c r="B13" s="4" t="s">
        <v>294</v>
      </c>
      <c r="C13" s="5" t="s">
        <v>291</v>
      </c>
      <c r="D13" s="5" t="s">
        <v>291</v>
      </c>
      <c r="E13" s="5" t="s">
        <v>292</v>
      </c>
      <c r="F13" s="5">
        <v>1068</v>
      </c>
      <c r="G13" s="5">
        <v>990.2</v>
      </c>
      <c r="H13" s="5">
        <f t="shared" si="0"/>
        <v>-77.8</v>
      </c>
      <c r="I13" s="5" t="s">
        <v>277</v>
      </c>
      <c r="J13" s="12">
        <v>256</v>
      </c>
      <c r="K13" s="12">
        <f t="shared" si="1"/>
        <v>-19916.8</v>
      </c>
    </row>
    <row r="14" spans="1:11">
      <c r="A14" s="5">
        <v>11</v>
      </c>
      <c r="B14" s="4" t="s">
        <v>295</v>
      </c>
      <c r="C14" s="5" t="s">
        <v>284</v>
      </c>
      <c r="D14" s="5" t="s">
        <v>291</v>
      </c>
      <c r="E14" s="5" t="s">
        <v>292</v>
      </c>
      <c r="F14" s="5">
        <v>252.1</v>
      </c>
      <c r="G14" s="5">
        <v>171.7</v>
      </c>
      <c r="H14" s="5">
        <f t="shared" si="0"/>
        <v>-80.4</v>
      </c>
      <c r="I14" s="5" t="s">
        <v>277</v>
      </c>
      <c r="J14" s="12">
        <v>245</v>
      </c>
      <c r="K14" s="12">
        <f t="shared" si="1"/>
        <v>-19698</v>
      </c>
    </row>
    <row r="15" spans="1:11">
      <c r="A15" s="5">
        <v>12</v>
      </c>
      <c r="B15" s="4" t="s">
        <v>296</v>
      </c>
      <c r="C15" s="5" t="s">
        <v>297</v>
      </c>
      <c r="D15" s="5" t="s">
        <v>297</v>
      </c>
      <c r="E15" s="4" t="s">
        <v>298</v>
      </c>
      <c r="F15" s="5">
        <v>8.1</v>
      </c>
      <c r="G15" s="5">
        <v>8.1</v>
      </c>
      <c r="H15" s="5">
        <f t="shared" si="0"/>
        <v>0</v>
      </c>
      <c r="I15" s="5" t="s">
        <v>277</v>
      </c>
      <c r="J15" s="12"/>
      <c r="K15" s="12">
        <f t="shared" si="1"/>
        <v>0</v>
      </c>
    </row>
    <row r="16" spans="1:11">
      <c r="A16" s="5">
        <v>13</v>
      </c>
      <c r="B16" s="4" t="s">
        <v>299</v>
      </c>
      <c r="C16" s="5" t="s">
        <v>297</v>
      </c>
      <c r="D16" s="5" t="s">
        <v>300</v>
      </c>
      <c r="E16" s="5" t="s">
        <v>301</v>
      </c>
      <c r="F16" s="5">
        <v>18.1</v>
      </c>
      <c r="G16" s="5">
        <v>18.1</v>
      </c>
      <c r="H16" s="5">
        <f t="shared" si="0"/>
        <v>0</v>
      </c>
      <c r="I16" s="5" t="s">
        <v>277</v>
      </c>
      <c r="J16" s="12"/>
      <c r="K16" s="12">
        <f t="shared" si="1"/>
        <v>0</v>
      </c>
    </row>
    <row r="17" spans="1:11">
      <c r="A17" s="5">
        <v>14</v>
      </c>
      <c r="B17" s="4" t="s">
        <v>302</v>
      </c>
      <c r="C17" s="5" t="s">
        <v>297</v>
      </c>
      <c r="D17" s="5" t="s">
        <v>300</v>
      </c>
      <c r="E17" s="5" t="s">
        <v>301</v>
      </c>
      <c r="F17" s="5">
        <v>30.2</v>
      </c>
      <c r="G17" s="5">
        <v>30.2</v>
      </c>
      <c r="H17" s="5">
        <f t="shared" si="0"/>
        <v>0</v>
      </c>
      <c r="I17" s="5" t="s">
        <v>277</v>
      </c>
      <c r="J17" s="12"/>
      <c r="K17" s="12">
        <f t="shared" si="1"/>
        <v>0</v>
      </c>
    </row>
    <row r="18" spans="1:11">
      <c r="A18" s="5">
        <v>15</v>
      </c>
      <c r="B18" s="4" t="s">
        <v>303</v>
      </c>
      <c r="C18" s="5" t="s">
        <v>301</v>
      </c>
      <c r="D18" s="5" t="s">
        <v>301</v>
      </c>
      <c r="E18" s="5" t="s">
        <v>301</v>
      </c>
      <c r="F18" s="5">
        <v>12774.5</v>
      </c>
      <c r="G18" s="5">
        <v>11977.5</v>
      </c>
      <c r="H18" s="5">
        <f t="shared" si="0"/>
        <v>-797</v>
      </c>
      <c r="I18" s="5" t="s">
        <v>277</v>
      </c>
      <c r="J18" s="12">
        <v>28</v>
      </c>
      <c r="K18" s="12">
        <f t="shared" si="1"/>
        <v>-22316</v>
      </c>
    </row>
    <row r="19" spans="1:11">
      <c r="A19" s="5">
        <v>16</v>
      </c>
      <c r="B19" s="4" t="s">
        <v>304</v>
      </c>
      <c r="C19" s="5" t="s">
        <v>301</v>
      </c>
      <c r="D19" s="5" t="s">
        <v>301</v>
      </c>
      <c r="E19" s="5" t="s">
        <v>301</v>
      </c>
      <c r="F19" s="5">
        <v>4992</v>
      </c>
      <c r="G19" s="5">
        <v>4992</v>
      </c>
      <c r="H19" s="5">
        <f t="shared" si="0"/>
        <v>0</v>
      </c>
      <c r="I19" s="5" t="s">
        <v>277</v>
      </c>
      <c r="J19" s="12"/>
      <c r="K19" s="12">
        <f t="shared" si="1"/>
        <v>0</v>
      </c>
    </row>
    <row r="20" spans="1:11">
      <c r="A20" s="5">
        <v>17</v>
      </c>
      <c r="B20" s="4" t="s">
        <v>305</v>
      </c>
      <c r="C20" s="4" t="s">
        <v>306</v>
      </c>
      <c r="D20" s="4"/>
      <c r="E20" s="5" t="s">
        <v>307</v>
      </c>
      <c r="F20" s="5">
        <v>731</v>
      </c>
      <c r="G20" s="5">
        <v>713</v>
      </c>
      <c r="H20" s="5">
        <f t="shared" si="0"/>
        <v>-18</v>
      </c>
      <c r="I20" s="4" t="s">
        <v>157</v>
      </c>
      <c r="J20" s="12">
        <v>80</v>
      </c>
      <c r="K20" s="12">
        <f t="shared" si="1"/>
        <v>-1440</v>
      </c>
    </row>
    <row r="21" spans="1:11">
      <c r="A21" s="6">
        <v>18</v>
      </c>
      <c r="B21" s="7" t="s">
        <v>237</v>
      </c>
      <c r="C21" s="8"/>
      <c r="D21" s="8"/>
      <c r="E21" s="8"/>
      <c r="F21" s="8"/>
      <c r="G21" s="8"/>
      <c r="H21" s="8"/>
      <c r="I21" s="8"/>
      <c r="J21" s="12"/>
      <c r="K21" s="12">
        <f>SUM(K4:K20)</f>
        <v>-98138.4</v>
      </c>
    </row>
  </sheetData>
  <mergeCells count="11">
    <mergeCell ref="A1:I1"/>
    <mergeCell ref="C2:E2"/>
    <mergeCell ref="C20:D20"/>
    <mergeCell ref="A2:A3"/>
    <mergeCell ref="B2:B3"/>
    <mergeCell ref="F2:F3"/>
    <mergeCell ref="G2:G3"/>
    <mergeCell ref="H2:H3"/>
    <mergeCell ref="I2:I3"/>
    <mergeCell ref="J2:J3"/>
    <mergeCell ref="K2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汇总表</vt:lpstr>
      <vt:lpstr>土建</vt:lpstr>
      <vt:lpstr>电气</vt:lpstr>
      <vt:lpstr>给排水 </vt:lpstr>
      <vt:lpstr>乔木</vt:lpstr>
      <vt:lpstr>灌木</vt:lpstr>
      <vt:lpstr>地被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格格</cp:lastModifiedBy>
  <dcterms:created xsi:type="dcterms:W3CDTF">2020-11-19T09:45:00Z</dcterms:created>
  <dcterms:modified xsi:type="dcterms:W3CDTF">2022-04-29T05:40:25Z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5348D5507BE34722B16D27BF570D54EB</vt:lpwstr>
  </property>
</Properties>
</file>