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栾川项目\结算\s2地块项目\栾川山水文苑项目售楼部外立面装饰工程施工合同结算\栾川山水文苑项目售楼部外立面装饰工程施工合同结算\"/>
    </mc:Choice>
  </mc:AlternateContent>
  <bookViews>
    <workbookView xWindow="0" yWindow="0" windowWidth="28800" windowHeight="12090" tabRatio="843" activeTab="11"/>
  </bookViews>
  <sheets>
    <sheet name="目录" sheetId="8" r:id="rId1"/>
    <sheet name="结算汇总表" sheetId="9" r:id="rId2"/>
    <sheet name="结算明细表" sheetId="10" r:id="rId3"/>
    <sheet name="合同价" sheetId="13" r:id="rId4"/>
    <sheet name="幕墙" sheetId="16" r:id="rId5"/>
    <sheet name="亮化" sheetId="17" r:id="rId6"/>
    <sheet name="图纸会审及设计变更" sheetId="11" r:id="rId7"/>
    <sheet name="与图纸不一致的地方" sheetId="14" r:id="rId8"/>
    <sheet name="现场新增加部分" sheetId="15" r:id="rId9"/>
    <sheet name="安装部分灯具扣款" sheetId="19" r:id="rId10"/>
    <sheet name="扣款" sheetId="12" r:id="rId11"/>
    <sheet name="指标分析" sheetId="18" r:id="rId12"/>
  </sheets>
  <externalReferences>
    <externalReference r:id="rId13"/>
  </externalReferences>
  <definedNames>
    <definedName name="_xlnm._FilterDatabase" localSheetId="3" hidden="1">合同价!#REF!</definedName>
    <definedName name="_xlnm._FilterDatabase" localSheetId="4" hidden="1">幕墙!$A$3:$H$36</definedName>
  </definedNames>
  <calcPr calcId="162913"/>
</workbook>
</file>

<file path=xl/calcChain.xml><?xml version="1.0" encoding="utf-8"?>
<calcChain xmlns="http://schemas.openxmlformats.org/spreadsheetml/2006/main">
  <c r="F7" i="18" l="1"/>
  <c r="G7" i="18" s="1"/>
  <c r="F6" i="18"/>
  <c r="D6" i="18"/>
  <c r="E6" i="18" s="1"/>
  <c r="F5" i="18"/>
  <c r="F4" i="18"/>
  <c r="D4" i="18"/>
  <c r="E4" i="18" s="1"/>
  <c r="D7" i="18"/>
  <c r="E7" i="18" s="1"/>
  <c r="D5" i="18"/>
  <c r="E5" i="18" s="1"/>
  <c r="G4" i="18" l="1"/>
  <c r="G6" i="18"/>
  <c r="G5" i="18"/>
  <c r="G9" i="19"/>
  <c r="F9" i="19"/>
  <c r="F8" i="19"/>
  <c r="G8" i="19" s="1"/>
  <c r="G7" i="19"/>
  <c r="F7" i="19"/>
  <c r="E7" i="19"/>
  <c r="G6" i="19"/>
  <c r="F6" i="19"/>
  <c r="E6" i="19"/>
  <c r="F5" i="19"/>
  <c r="G5" i="19" s="1"/>
  <c r="F12" i="12"/>
  <c r="F5" i="12"/>
  <c r="F3" i="12"/>
  <c r="H10" i="15"/>
  <c r="E10" i="15"/>
  <c r="E9" i="15"/>
  <c r="H9" i="15" s="1"/>
  <c r="H8" i="15"/>
  <c r="E8" i="15"/>
  <c r="E7" i="15"/>
  <c r="H7" i="15" s="1"/>
  <c r="H6" i="15"/>
  <c r="E6" i="15"/>
  <c r="F5" i="15"/>
  <c r="H5" i="15" s="1"/>
  <c r="H4" i="15"/>
  <c r="E4" i="15"/>
  <c r="H25" i="14"/>
  <c r="E25" i="14"/>
  <c r="E24" i="14"/>
  <c r="H24" i="14" s="1"/>
  <c r="H23" i="14"/>
  <c r="E23" i="14"/>
  <c r="E21" i="14"/>
  <c r="H21" i="14" s="1"/>
  <c r="H20" i="14"/>
  <c r="E20" i="14"/>
  <c r="E19" i="14"/>
  <c r="H19" i="14" s="1"/>
  <c r="E17" i="14"/>
  <c r="H17" i="14" s="1"/>
  <c r="E16" i="14"/>
  <c r="H16" i="14" s="1"/>
  <c r="E15" i="14"/>
  <c r="H15" i="14" s="1"/>
  <c r="E14" i="14"/>
  <c r="H14" i="14" s="1"/>
  <c r="E13" i="14"/>
  <c r="H13" i="14" s="1"/>
  <c r="E11" i="14"/>
  <c r="H11" i="14" s="1"/>
  <c r="E10" i="14"/>
  <c r="H10" i="14" s="1"/>
  <c r="E9" i="14"/>
  <c r="H9" i="14" s="1"/>
  <c r="E7" i="14"/>
  <c r="H7" i="14" s="1"/>
  <c r="E6" i="14"/>
  <c r="H6" i="14" s="1"/>
  <c r="H5" i="14"/>
  <c r="H26" i="14" s="1"/>
  <c r="F9" i="10" s="1"/>
  <c r="G10" i="9" s="1"/>
  <c r="F16" i="11"/>
  <c r="H16" i="11" s="1"/>
  <c r="E15" i="11"/>
  <c r="H15" i="11" s="1"/>
  <c r="E14" i="11"/>
  <c r="H14" i="11" s="1"/>
  <c r="H13" i="11"/>
  <c r="H12" i="11"/>
  <c r="F11" i="11"/>
  <c r="H11" i="11" s="1"/>
  <c r="F10" i="11"/>
  <c r="H10" i="11" s="1"/>
  <c r="F9" i="11"/>
  <c r="H9" i="11" s="1"/>
  <c r="E8" i="11"/>
  <c r="H8" i="11" s="1"/>
  <c r="E7" i="11"/>
  <c r="H7" i="11" s="1"/>
  <c r="H6" i="11"/>
  <c r="E6" i="11"/>
  <c r="F5" i="11"/>
  <c r="H5" i="11" s="1"/>
  <c r="E5" i="11"/>
  <c r="H4" i="11"/>
  <c r="E4" i="11"/>
  <c r="G17" i="17"/>
  <c r="F17" i="17"/>
  <c r="F16" i="17"/>
  <c r="G16" i="17" s="1"/>
  <c r="G15" i="17"/>
  <c r="F15" i="17"/>
  <c r="F14" i="17"/>
  <c r="G14" i="17" s="1"/>
  <c r="G13" i="17"/>
  <c r="F13" i="17"/>
  <c r="F12" i="17"/>
  <c r="G12" i="17" s="1"/>
  <c r="G11" i="17"/>
  <c r="F11" i="17"/>
  <c r="F10" i="17"/>
  <c r="G10" i="17" s="1"/>
  <c r="G9" i="17"/>
  <c r="F9" i="17"/>
  <c r="F8" i="17"/>
  <c r="G8" i="17" s="1"/>
  <c r="G7" i="17"/>
  <c r="F7" i="17"/>
  <c r="F6" i="17"/>
  <c r="G6" i="17" s="1"/>
  <c r="G5" i="17"/>
  <c r="F5" i="17"/>
  <c r="H35" i="16"/>
  <c r="H34" i="16"/>
  <c r="H33" i="16"/>
  <c r="H32" i="16"/>
  <c r="H31" i="16"/>
  <c r="H30" i="16"/>
  <c r="H29" i="16"/>
  <c r="H28" i="16"/>
  <c r="H27" i="16"/>
  <c r="H26" i="16"/>
  <c r="H25" i="16"/>
  <c r="H24" i="16"/>
  <c r="H23" i="16"/>
  <c r="H22" i="16"/>
  <c r="H21" i="16"/>
  <c r="H20" i="16"/>
  <c r="H19" i="16"/>
  <c r="H18" i="16"/>
  <c r="H17" i="16"/>
  <c r="H16" i="16"/>
  <c r="H15" i="16"/>
  <c r="H14" i="16"/>
  <c r="H13" i="16"/>
  <c r="H12" i="16"/>
  <c r="H11" i="16"/>
  <c r="H10" i="16"/>
  <c r="H9" i="16"/>
  <c r="H8" i="16"/>
  <c r="H7" i="16"/>
  <c r="H6" i="16"/>
  <c r="H5" i="16"/>
  <c r="H4" i="16"/>
  <c r="C4" i="13"/>
  <c r="C3" i="13"/>
  <c r="C5" i="13" s="1"/>
  <c r="F12" i="10"/>
  <c r="G13" i="9" s="1"/>
  <c r="F5" i="10"/>
  <c r="F6" i="10" s="1"/>
  <c r="F4" i="10"/>
  <c r="B13" i="9"/>
  <c r="B11" i="9"/>
  <c r="B9" i="9"/>
  <c r="G8" i="9"/>
  <c r="H36" i="16" l="1"/>
  <c r="G18" i="17"/>
  <c r="H17" i="11"/>
  <c r="F8" i="10" s="1"/>
  <c r="H11" i="15"/>
  <c r="F10" i="10" s="1"/>
  <c r="G11" i="9" s="1"/>
  <c r="G10" i="19"/>
  <c r="F11" i="10" l="1"/>
  <c r="G12" i="9"/>
  <c r="F13" i="10"/>
  <c r="G14" i="9" s="1"/>
  <c r="G9" i="9"/>
  <c r="G7" i="9" s="1"/>
  <c r="E15" i="9" s="1"/>
  <c r="E21" i="9" l="1"/>
  <c r="E16" i="9"/>
  <c r="E23" i="9"/>
  <c r="E22" i="9" l="1"/>
  <c r="E24" i="9"/>
</calcChain>
</file>

<file path=xl/sharedStrings.xml><?xml version="1.0" encoding="utf-8"?>
<sst xmlns="http://schemas.openxmlformats.org/spreadsheetml/2006/main" count="582" uniqueCount="281">
  <si>
    <t>栾川山水文苑项目售楼部外立面装修工程施工合同结算资料存档目录</t>
  </si>
  <si>
    <t>序号</t>
  </si>
  <si>
    <t>名称</t>
  </si>
  <si>
    <t>份/页</t>
  </si>
  <si>
    <t>页码</t>
  </si>
  <si>
    <t>原件/复印件</t>
  </si>
  <si>
    <t>备注</t>
  </si>
  <si>
    <t>栾川山水文苑项目售楼部外立面装修工程施工合同结算审批表</t>
  </si>
  <si>
    <t>1份1页</t>
  </si>
  <si>
    <t>第1页</t>
  </si>
  <si>
    <t>原件</t>
  </si>
  <si>
    <t>资料存档目录</t>
  </si>
  <si>
    <t>第2页</t>
  </si>
  <si>
    <t>签字版</t>
  </si>
  <si>
    <t>结算协议书</t>
  </si>
  <si>
    <t>第3页</t>
  </si>
  <si>
    <t>合同结算汇总表</t>
  </si>
  <si>
    <t>第4页</t>
  </si>
  <si>
    <t>合同结算明细表</t>
  </si>
  <si>
    <t>第5页</t>
  </si>
  <si>
    <t>复印件</t>
  </si>
  <si>
    <t>验收单</t>
  </si>
  <si>
    <t>1份9页</t>
  </si>
  <si>
    <t>安装部分扣款</t>
  </si>
  <si>
    <t>结算通知书</t>
  </si>
  <si>
    <t>结算申请报告</t>
  </si>
  <si>
    <t>授权委托书</t>
  </si>
  <si>
    <t>工程往来账目明细</t>
  </si>
  <si>
    <t>栾川山水文苑项目售楼部外立面装修工程施工合同（含审批表）</t>
  </si>
  <si>
    <t>1份</t>
  </si>
  <si>
    <t>竣工图</t>
  </si>
  <si>
    <t>造价师：</t>
  </si>
  <si>
    <t>日期：</t>
  </si>
  <si>
    <t>栾川山水文苑项目售楼部外立面装修工程施工合同工程结算汇总表</t>
  </si>
  <si>
    <t>合同编号：LCS2-JA-010                         合同金额   2570000 元</t>
  </si>
  <si>
    <t>合同名称：栾川山水文苑项目售楼部外立面装修工程施工合同</t>
  </si>
  <si>
    <t>甲    方：栾川县浩德颐康文旅有限公司</t>
  </si>
  <si>
    <t>乙    方：河南宏爵建筑装饰工程有限公司</t>
  </si>
  <si>
    <t>项目名称</t>
  </si>
  <si>
    <t>土建（元）</t>
  </si>
  <si>
    <t>安装（元）</t>
  </si>
  <si>
    <t>合计（元）</t>
  </si>
  <si>
    <t>一</t>
  </si>
  <si>
    <t>结算总造价</t>
  </si>
  <si>
    <t>合同固定总价</t>
  </si>
  <si>
    <t>与图纸不一致地方</t>
  </si>
  <si>
    <t>二</t>
  </si>
  <si>
    <t>其他优惠费用合计</t>
  </si>
  <si>
    <t>三</t>
  </si>
  <si>
    <t>【一】+【二】
工程结算金额</t>
  </si>
  <si>
    <t>（小写）</t>
  </si>
  <si>
    <t>（大写）</t>
  </si>
  <si>
    <t>四</t>
  </si>
  <si>
    <t>应扣甲供材合计</t>
  </si>
  <si>
    <t>甲供材料一</t>
  </si>
  <si>
    <t>甲供材料二</t>
  </si>
  <si>
    <t>五</t>
  </si>
  <si>
    <t>应扣水电费合计</t>
  </si>
  <si>
    <t>已扣除</t>
  </si>
  <si>
    <t>六</t>
  </si>
  <si>
    <t>工程最终付款金额</t>
  </si>
  <si>
    <t>七</t>
  </si>
  <si>
    <t>工程最终发票金额</t>
  </si>
  <si>
    <t xml:space="preserve">甲方代表：                                </t>
  </si>
  <si>
    <t xml:space="preserve">   乙方代表：</t>
  </si>
  <si>
    <t xml:space="preserve">日期：                                      </t>
  </si>
  <si>
    <t xml:space="preserve">  日期：</t>
  </si>
  <si>
    <t>栾川山水文苑项目售楼部外立面装修工程施工合同结算明细表</t>
  </si>
  <si>
    <t>工程名称</t>
  </si>
  <si>
    <t>单位</t>
  </si>
  <si>
    <t>工程量</t>
  </si>
  <si>
    <t>含税单价（元）</t>
  </si>
  <si>
    <t>含税合价（元）</t>
  </si>
  <si>
    <t>固定总价包干</t>
  </si>
  <si>
    <t>售楼部幕墙工程</t>
  </si>
  <si>
    <t>项</t>
  </si>
  <si>
    <t>详见合同</t>
  </si>
  <si>
    <t>售楼部亮化工程</t>
  </si>
  <si>
    <t>合计</t>
  </si>
  <si>
    <t>优惠后合同价</t>
  </si>
  <si>
    <t>图纸会审及变更部分</t>
  </si>
  <si>
    <t>现场增加内容</t>
  </si>
  <si>
    <t>扣款</t>
  </si>
  <si>
    <t>八</t>
  </si>
  <si>
    <t>最终结算</t>
  </si>
  <si>
    <t>甲方</t>
  </si>
  <si>
    <t>乙方</t>
  </si>
  <si>
    <t>日期</t>
  </si>
  <si>
    <t>中浩德栾川售楼部幕墙工程造价汇总表（单位：元）</t>
  </si>
  <si>
    <t>分类项目名称</t>
  </si>
  <si>
    <t>造价（元）</t>
  </si>
  <si>
    <t>栾川售楼部幕墙工程</t>
  </si>
  <si>
    <t>栾川山水文苑售楼部亮化工程量清单</t>
  </si>
  <si>
    <t>最终价格</t>
  </si>
  <si>
    <t>中浩德栾川售楼部幕墙工程清单报价表</t>
  </si>
  <si>
    <t>项目特征描述</t>
  </si>
  <si>
    <t>计量
单位</t>
  </si>
  <si>
    <t>金额（元）</t>
  </si>
  <si>
    <t>综合单价（元）</t>
  </si>
  <si>
    <t>主材</t>
  </si>
  <si>
    <t>合价</t>
  </si>
  <si>
    <t>金属门</t>
  </si>
  <si>
    <t>1.断桥铝合金中空玻璃门2.门代号及洞口尺寸：WM1248、WM1748（各两樘）3.开启方式:平开4.6LOW-E+12A+6中空钢化玻璃5.含大小五金配件、锁具及门套等6.其它说明:详见相关设计图纸、相关要求及规范</t>
  </si>
  <si>
    <t>m2</t>
  </si>
  <si>
    <t>1.断桥铝合金中空玻璃门2.门代号及洞口尺寸：WM6057（两樘）3.开启方式:平开4.6+12A+6中空钢化超白玻璃5.含大小五金配件、锁具及门套等
6.含地弹簧7.其它说明:详见相关设计图纸、相关要求及规范</t>
  </si>
  <si>
    <t>1.断桥铝合金中空玻璃门
2.部位：入户门（MQ2带花格）
3.开启方式:平开
4.8+9A+8中空钢化超白玻璃
5.含大小五金配件、锁具及门套等
6.含地弹簧
7.其它说明:详见相关设计图纸、相关要求及规范</t>
  </si>
  <si>
    <t>1.断桥铝合金中空玻璃门
2.部位：MLC8430、MLC7430、MLC6030（门联窗门部分）
3.开启方式:平开
4.6LOW-E+12A+6中空钢化玻璃
5.含大小五金配件、锁具及门套等
6.其它说明:详见相关设计图纸、相关要求及规范</t>
  </si>
  <si>
    <t>金属窗</t>
  </si>
  <si>
    <t>1.金属固定窗
2.窗代号及洞口尺寸：MLC8430、MLC7430、MLC6030（门联窗窗部分）
3.框、扇材质：60系列断桥铝合金窗框
4.玻璃品种、厚度：6LOW-E+12A+6中空钢化玻璃
5.自带牢固窗扇、防脱落措施
6.含五金配件
7.其它说明:详见相关设计图纸、相关要求及规范</t>
  </si>
  <si>
    <t>1.金属固定窗
2.窗代号及洞口尺寸：C1244、C1229、C1230、C8129-1、C8129、C8429、C7147-1、C7147、C8447
3.框、扇材质：60系列断桥铝合金窗框
4.玻璃品种、厚度：6LOW-E+12A+6中空钢化玻璃
5.自带牢固窗扇、防脱落措施
6.含五金配件
7.其它说明:详见相关设计图纸、相关要求及规范</t>
  </si>
  <si>
    <t>1.金属平开窗
2.窗代号及洞口尺寸：C1244、C1229、C1230、C8129-1、C8129、C8429、C7147-1、C7147、C8447
3.框、扇材质：60系列断桥铝合金窗框
4.玻璃品种、厚度：6LOW-E+12A+6中空钢化玻璃
5.自带牢固窗扇、防脱落措施
6.含五金配件
7.其它说明:详见相关设计图纸、相关要求及规范</t>
  </si>
  <si>
    <t>1.金属固定窗
2.窗代号及洞口尺寸：C1246
3.框、扇材质：60系列断桥铝合金窗框
4.玻璃品种、厚度：6LOW-E+12A+6中空钢化玻璃
5.自带牢固窗扇、防脱落措施
6.含五金配件
7.含菱形纹金属格栅及木面装饰
8.其它说明:详见相关设计图纸、相关要求及规范</t>
  </si>
  <si>
    <t>金属百叶窗</t>
  </si>
  <si>
    <t>1.铝合金百叶窗
2.其它说明:详见相关设计图纸、相关要求及规范</t>
  </si>
  <si>
    <t>带骨架幕墙</t>
  </si>
  <si>
    <t>1.骨架材料种类:铝合金立柱、铝合金横梁等
2.面层材料品种、规格、颜色:10+12A+10中空钢化超白玻璃(MQ1)
3.嵌缝、塞口材料种类：泡沫棒、密封胶
4.含措施项目
5.其他说明：详见相关设计图纸、相关要求及规范</t>
  </si>
  <si>
    <t>1.骨架材料种类:铝合金立柱、铝合金横梁等
2.面层材料品种、规格、颜色:8LOW-E+12A+8钢化中空玻璃(MQ3、MQ4、MQ5)
3.嵌缝、塞口材料种类：泡沫棒、密封胶
4.含措施项目
5.其他说明：详见相关设计图纸、相关要求及规范</t>
  </si>
  <si>
    <t>石材墙面</t>
  </si>
  <si>
    <t>1.25mm厚荔枝面黄锈石
2.挂钩式
3.钢骨架
4.光面，含倒角
5.含措施项目
6.部位：外立面
7.其它说明：详见相关设计、要求及规范</t>
  </si>
  <si>
    <t>墙面装饰板</t>
  </si>
  <si>
    <t>1.2.5mm古铜色铝单板
2.外表面采用氟碳喷涂三涂
3.部位：JD-02~JD-10（建筑物四周外挑造型）
4.含措施项目
5.其它说明：详见相关设计、要求及规范</t>
  </si>
  <si>
    <t>1.2.5mm深灰色铝单板
2.外表面采用氟碳喷涂三涂
3.部位：JD-02~JD-10（建筑物四周外挑造型）
4.含措施项目
5.其它说明：详见相关设计、要求及规范</t>
  </si>
  <si>
    <t>1.2mm不锈钢天沟
2.部位：JD-02~JD-10（建筑物四周外挑造型）
3.含措施项目
4.其它说明：详见相关设计、要求及规范</t>
  </si>
  <si>
    <t>钢管柱</t>
  </si>
  <si>
    <t>1.50*50*4镀锌方通
2.部位：JD-02-2
3.其它说明：详见相关设计、要求及规范</t>
  </si>
  <si>
    <t>t</t>
  </si>
  <si>
    <t>1.100*50*4镀锌方通
2.部位：JD-02-2
3.其它说明：详见相关设计、要求及规范</t>
  </si>
  <si>
    <t>50*50*4镀锌方通</t>
  </si>
  <si>
    <t>1.50*50*4镀锌方通
2.部位：建筑物四周外挑造型
3.其它说明：详见相关设计、要求及规范</t>
  </si>
  <si>
    <t>100*50*4镀锌方通</t>
  </si>
  <si>
    <t>1.100*50*4镀锌方通
2.部位：建筑物四周外挑造型
3.其它说明：详见相关设计、要求及规范</t>
  </si>
  <si>
    <t>预埋铁件</t>
  </si>
  <si>
    <t>1.300*200*8镀锌钢板、200*200*8mm镀锌钢板
2.部位：建筑物四周外挑造型、玻璃栏板
3.其它说明：详见相关设计、要求及规范</t>
  </si>
  <si>
    <t>钢支撑</t>
  </si>
  <si>
    <t>1.L20*3连接角码@350、槽钢
2.部位：建筑物四周外挑造型
3.其它说明：详见相关设计、要求及规范</t>
  </si>
  <si>
    <t>玻璃栏板</t>
  </si>
  <si>
    <t>1.φ50*1.2mm不锈钢扶手
2.50*8不锈钢板
3.6T+1.14PVB+6T钢化夹胶玻璃
4.玻璃栏板高度：1.1米
5.部位：玻璃栏杆
6.其它说明：详见相关设计、要求及规范</t>
  </si>
  <si>
    <t>m</t>
  </si>
  <si>
    <t>抹灰面油漆</t>
  </si>
  <si>
    <t>1.米黄色真石漆
2.部位：外立面
3.含措施项目
4.其它说明：详见相关设计、要求及规范</t>
  </si>
  <si>
    <t>1.米黄色荔枝面黄锈石
2.部位：外立面
3.含措施项目
4.其它说明：详见相关设计、要求及规范</t>
  </si>
  <si>
    <t>仿木纹色铝合金椽子</t>
  </si>
  <si>
    <t>1.仿木纹色铝合金椽子
2.规格：100*100*2mm，含封头
3.计算规则：按仿木纹色铝合金椽子制作延长米计算
4.其它说明：详见相关设计、要求及规范</t>
  </si>
  <si>
    <t>铝合金格栅</t>
  </si>
  <si>
    <t>1.铝合金格栅
2.规格：100*50*3铝合金矩管格栅、50*20*2铝合金矩管格栅、100*60*3铝合金矩管格栅
3.部位：幕窗处格栅
4.其它说明：详见相关设计、要求及规范</t>
  </si>
  <si>
    <t>石材踢脚线</t>
  </si>
  <si>
    <t>1.高度：500mm
2.面层材料:25mm厚荔枝面黄锈石
3.其它说明：详见相关设计、要求及规范</t>
  </si>
  <si>
    <t>1.200*100*6镀锌方通立柱
2.部位：南大门两侧立柱
3.其它说明：详见相关设计、要求及规范</t>
  </si>
  <si>
    <t>150*100*6镀锌方通</t>
  </si>
  <si>
    <t>1.150*100*6镀锌方通
2.部位：南大门两侧立柱
3.其它说明：详见相关设计、要求及规范</t>
  </si>
  <si>
    <t>30*30*3 镀锌方通</t>
  </si>
  <si>
    <t>1.30*30*3 镀锌方通
2.部位：檐口铝板
3.其它说明：详见相关设计、要求及规范</t>
  </si>
  <si>
    <t>1.120*60*4 镀锌方管
2.部位：JD-02-1
3.其它说明：详见相关设计、要求及规范</t>
  </si>
  <si>
    <t>L50*4镀锌角钢</t>
  </si>
  <si>
    <t>1.L50*4镀锌角钢
2.部位：JD-01
3.其它说明：详见相关设计、要求及规范</t>
  </si>
  <si>
    <t>合    计</t>
  </si>
  <si>
    <t>计量单位</t>
  </si>
  <si>
    <t>配电箱</t>
  </si>
  <si>
    <t>1.名称:配电箱
2、型号:AL1
3、规格:600*400*200
4.安装方式:挂墙安装
5.防水、防尘防护等级不低于IP54
6.未尽事宜详见图纸、规范、招标文件等</t>
  </si>
  <si>
    <t>台</t>
  </si>
  <si>
    <t>控制开关</t>
  </si>
  <si>
    <t>1.名称:LED开关电源2.型号:DC24/400W3.带防雨水功能4.接线端子材质、规格:2.5mm²无端子接线5.未尽事宜详见图纸、规范、招标文件等</t>
  </si>
  <si>
    <t>个</t>
  </si>
  <si>
    <t>配管</t>
  </si>
  <si>
    <t>1.名称:配管2.材质:PVC 重型3.规格:204.配置形式:暗配5.未尽事宜详见图纸、规范等2.材质:PVC 重型3.规格:204.配置形式:暗配5.未尽事宜详见图纸、规范等</t>
  </si>
  <si>
    <t>1.名称:配管2.材质:PVC 重型3.规格:254.配置形式:暗配5.未尽事宜详见图纸、规范等</t>
  </si>
  <si>
    <t>电力电缆</t>
  </si>
  <si>
    <t>1.名称:电线2.型号:RVV-2*2.53.敷设方式、部位:管道敷设4.电压等级(kV):24V5.电缆头制作安装需满足防水条件6.未尽事宜详见图纸、规范等</t>
  </si>
  <si>
    <t>1.名称:电力电缆2.型号:YJV-3*43.敷设方式、部位:管道敷设4.电压等级(kV):1KV以内5.电缆头制作安装需满足防水条件6.未尽事宜详见图纸、规范等</t>
  </si>
  <si>
    <t>装饰灯</t>
  </si>
  <si>
    <t>1.名称:洗墙灯XQ2-a2.规格:LED光源，功率12W,色温3000K,电压DC24V3.含灯具本身调试，角度调整等4.含固定卡子、灯具本体接地及安装附件5.未尽事宜详见图纸、规范等</t>
  </si>
  <si>
    <t>套</t>
  </si>
  <si>
    <t>1.名称:洗墙灯XQ2-c2.规格:LED光源，功率12W,色温3000K,电压DC24V3.含灯具本身调试，角度调整等4.含固定卡子、灯具本体接地及安装附件5.未尽事宜详见图纸、规范等</t>
  </si>
  <si>
    <t>1.名称:洗墙灯XQ1-a2.规格:LED光源，功率18W,色温3000K,电压DC24V3.含灯具本身调试，角度调整等4.含固定卡子、灯具本体接地及安装附件5.未尽事宜详见图纸、规范等</t>
  </si>
  <si>
    <t>1.名称:洗墙灯XQ1-b2.规格:LED光源，功率18W,色温3000K,电压DC24V3.含灯具本身调试，角度调整等4.含固定卡子、灯具本体接地及安装附件5.未尽事宜详见图纸、规范等</t>
  </si>
  <si>
    <t>1.名称:地埋灯DM1-c2.规格:LED光源，功率36W,色温3000K,电压DC24V3.含灯具本身调试，角度调整等4.含固定卡子、灯具本体接地及安装附件5.未尽事宜详见图纸、规范等</t>
  </si>
  <si>
    <t>1.名称:地埋灯DM1-a2.规格:LED光源，功率36W,色温3000K,电压DC24V3.含灯具本身调试，角度调整等4.含固定卡子、灯具本体接地及安装附件5.未尽事宜详见图纸、规范等</t>
  </si>
  <si>
    <t>1.名称:壁灯BD012.规格:LED光源，功率30W,色温3000K,电压AC220V3.含灯具本身调试，角度调整等4.含固定卡子、灯具本体接地及安装附件5.未尽事宜详见图纸、规范等</t>
  </si>
  <si>
    <t>说明：
1）综合单价中包含：人工费、材料费、机械费、安全文明施工费、扬尘治理增加费、疫情增加费、管理费、利润、税金、风险、调试、材料检测检验费等一切与之相关费用
2）如有漏项请书面告知招标人，经招标人确认后可自行另外加此表单补充，并在此备注中注明产地、品牌。
3）若有疑问或项目及工程量增减需开标前向甲方提出。否则视做对此清单无异议。</t>
  </si>
  <si>
    <r>
      <rPr>
        <sz val="10"/>
        <rFont val="Arial"/>
        <family val="2"/>
      </rPr>
      <t>MLC7430</t>
    </r>
    <r>
      <rPr>
        <sz val="10"/>
        <rFont val="宋体"/>
        <family val="3"/>
        <charset val="134"/>
      </rPr>
      <t>固定部分变更为石材墙面面积</t>
    </r>
    <r>
      <rPr>
        <sz val="10"/>
        <rFont val="Arial"/>
        <family val="2"/>
      </rPr>
      <t>3.2*3</t>
    </r>
  </si>
  <si>
    <r>
      <rPr>
        <sz val="10"/>
        <rFont val="Arial"/>
        <family val="2"/>
      </rPr>
      <t>MLC8430</t>
    </r>
    <r>
      <rPr>
        <sz val="10"/>
        <rFont val="宋体"/>
        <family val="3"/>
        <charset val="134"/>
      </rPr>
      <t>、</t>
    </r>
    <r>
      <rPr>
        <sz val="10"/>
        <rFont val="Arial"/>
        <family val="2"/>
      </rPr>
      <t>MLC6030</t>
    </r>
    <r>
      <rPr>
        <sz val="10"/>
        <rFont val="宋体"/>
        <family val="3"/>
        <charset val="134"/>
      </rPr>
      <t>平开改为固定</t>
    </r>
  </si>
  <si>
    <t>1.金属固定窗
2.窗代号及洞口尺寸C1230
3.框、扇材质：60系列断桥铝合金窗框
4.玻璃品种、厚度：6LOW-E+12A+6中空钢化玻璃
5.自带牢固窗扇、防脱落措施
6.含五金配件
7.其它说明:详见相关设计图纸、相关要求及规范</t>
  </si>
  <si>
    <r>
      <rPr>
        <sz val="10"/>
        <rFont val="宋体"/>
        <family val="3"/>
        <charset val="134"/>
      </rPr>
      <t>现场测量</t>
    </r>
    <r>
      <rPr>
        <sz val="10"/>
        <rFont val="Arial"/>
        <family val="2"/>
      </rPr>
      <t>2.8m</t>
    </r>
    <r>
      <rPr>
        <sz val="10"/>
        <rFont val="宋体"/>
        <family val="3"/>
        <charset val="134"/>
      </rPr>
      <t>，开启扇和固定均减少10cm</t>
    </r>
  </si>
  <si>
    <t>1.金属平开窗
2.窗代号及洞口尺寸：C1230
3.框、扇材质：60系列断桥铝合金窗框
4.玻璃品种、厚度：6LOW-E+12A+6中空钢化玻璃
5.自带牢固窗扇、防脱落措施
6.含五金配件
7.其它说明:详见相关设计图纸、相关要求及规范</t>
  </si>
  <si>
    <r>
      <rPr>
        <sz val="10"/>
        <rFont val="宋体"/>
        <family val="3"/>
        <charset val="134"/>
      </rPr>
      <t>幕墙q3、q4、q5高度均为</t>
    </r>
    <r>
      <rPr>
        <sz val="10"/>
        <rFont val="Arial"/>
        <family val="2"/>
      </rPr>
      <t>2.8m</t>
    </r>
  </si>
  <si>
    <t>黄锈石变更为芝麻白，且协调做法与图纸不符，经市场询价芝麻白价格130元/m2.扣除材料差价
验收单：石材拼缝与设计不符合</t>
  </si>
  <si>
    <r>
      <t>缝隙较大、表面不平，按10元</t>
    </r>
    <r>
      <rPr>
        <sz val="10"/>
        <rFont val="Arial"/>
        <family val="2"/>
      </rPr>
      <t>/</t>
    </r>
    <r>
      <rPr>
        <sz val="10"/>
        <rFont val="宋体"/>
        <family val="3"/>
        <charset val="134"/>
      </rPr>
      <t>m2，验收单问题</t>
    </r>
  </si>
  <si>
    <t>方钢管改为镀锌角钢，50*50*4镀锌方钢理论值为5.74kg/m，镀锌角钢50*50*4理论值为3.059kg/m</t>
  </si>
  <si>
    <r>
      <rPr>
        <sz val="10"/>
        <rFont val="宋体"/>
        <family val="3"/>
        <charset val="134"/>
      </rPr>
      <t>现场测量长度仅为</t>
    </r>
    <r>
      <rPr>
        <sz val="10"/>
        <rFont val="Arial"/>
        <family val="2"/>
      </rPr>
      <t>0.9m</t>
    </r>
  </si>
  <si>
    <t>不锈钢排水沟改为铝板排水沟</t>
  </si>
  <si>
    <r>
      <rPr>
        <sz val="11"/>
        <rFont val="Arial"/>
        <family val="2"/>
      </rPr>
      <t>JD-03</t>
    </r>
    <r>
      <rPr>
        <sz val="11"/>
        <rFont val="宋体"/>
        <family val="3"/>
        <charset val="134"/>
      </rPr>
      <t>尺寸</t>
    </r>
    <r>
      <rPr>
        <sz val="11"/>
        <rFont val="Arial"/>
        <family val="2"/>
      </rPr>
      <t xml:space="preserve">  </t>
    </r>
    <r>
      <rPr>
        <sz val="11"/>
        <rFont val="宋体"/>
        <family val="3"/>
        <charset val="134"/>
      </rPr>
      <t>不一致</t>
    </r>
  </si>
  <si>
    <t>铝板单</t>
  </si>
  <si>
    <t>应为需要盖住露台翻版加宽部分，铝单板长度不扣除</t>
  </si>
  <si>
    <t>钢架</t>
  </si>
  <si>
    <t>1.100*50*4镀锌方通
2.30*30*3镀锌方通
3.其它说明：详见相关设计、要求及规范</t>
  </si>
  <si>
    <t>椽子</t>
  </si>
  <si>
    <r>
      <rPr>
        <sz val="11"/>
        <rFont val="Arial"/>
        <family val="2"/>
      </rPr>
      <t>JD-05</t>
    </r>
    <r>
      <rPr>
        <sz val="11"/>
        <rFont val="宋体"/>
        <family val="3"/>
        <charset val="134"/>
      </rPr>
      <t>尺寸</t>
    </r>
    <r>
      <rPr>
        <sz val="11"/>
        <rFont val="Arial"/>
        <family val="2"/>
      </rPr>
      <t xml:space="preserve">  </t>
    </r>
    <r>
      <rPr>
        <sz val="11"/>
        <rFont val="宋体"/>
        <family val="3"/>
        <charset val="134"/>
      </rPr>
      <t>不一致</t>
    </r>
  </si>
  <si>
    <r>
      <rPr>
        <sz val="11"/>
        <rFont val="Arial"/>
        <family val="2"/>
      </rPr>
      <t>JD-06</t>
    </r>
    <r>
      <rPr>
        <sz val="11"/>
        <rFont val="宋体"/>
        <family val="3"/>
        <charset val="134"/>
      </rPr>
      <t>尺寸</t>
    </r>
    <r>
      <rPr>
        <sz val="11"/>
        <rFont val="Arial"/>
        <family val="2"/>
      </rPr>
      <t xml:space="preserve">  </t>
    </r>
    <r>
      <rPr>
        <sz val="11"/>
        <rFont val="宋体"/>
        <family val="3"/>
        <charset val="134"/>
      </rPr>
      <t>不一致</t>
    </r>
  </si>
  <si>
    <t>1.100*50*4镀锌方通
2.
3.其它说明：详见相关设计、要求及规范</t>
  </si>
  <si>
    <r>
      <rPr>
        <sz val="11"/>
        <rFont val="Arial"/>
        <family val="2"/>
      </rPr>
      <t>JD-08</t>
    </r>
    <r>
      <rPr>
        <sz val="11"/>
        <rFont val="宋体"/>
        <family val="3"/>
        <charset val="134"/>
      </rPr>
      <t>尺寸</t>
    </r>
    <r>
      <rPr>
        <sz val="11"/>
        <rFont val="Arial"/>
        <family val="2"/>
      </rPr>
      <t xml:space="preserve">  </t>
    </r>
    <r>
      <rPr>
        <sz val="11"/>
        <rFont val="宋体"/>
        <family val="3"/>
        <charset val="134"/>
      </rPr>
      <t>不一致</t>
    </r>
  </si>
  <si>
    <r>
      <rPr>
        <sz val="11"/>
        <rFont val="Arial"/>
        <family val="2"/>
      </rPr>
      <t>JD-010</t>
    </r>
    <r>
      <rPr>
        <sz val="11"/>
        <rFont val="宋体"/>
        <family val="3"/>
        <charset val="134"/>
      </rPr>
      <t>尺寸</t>
    </r>
    <r>
      <rPr>
        <sz val="11"/>
        <rFont val="Arial"/>
        <family val="2"/>
      </rPr>
      <t xml:space="preserve">  </t>
    </r>
    <r>
      <rPr>
        <sz val="11"/>
        <rFont val="宋体"/>
        <family val="3"/>
        <charset val="134"/>
      </rPr>
      <t>不一致</t>
    </r>
  </si>
  <si>
    <t>现场增加部分价格</t>
  </si>
  <si>
    <t>售楼部一楼水池与幕墙间铺装</t>
  </si>
  <si>
    <r>
      <t>1</t>
    </r>
    <r>
      <rPr>
        <sz val="9"/>
        <rFont val="宋体"/>
        <family val="3"/>
        <charset val="134"/>
      </rPr>
      <t>、</t>
    </r>
    <r>
      <rPr>
        <sz val="9"/>
        <rFont val="Arial"/>
        <family val="2"/>
      </rPr>
      <t>2.5cm</t>
    </r>
    <r>
      <rPr>
        <sz val="9"/>
        <rFont val="宋体"/>
        <family val="3"/>
        <charset val="134"/>
      </rPr>
      <t>厚芝麻白</t>
    </r>
    <r>
      <rPr>
        <sz val="9"/>
        <rFont val="Arial"/>
        <family val="2"/>
      </rPr>
      <t xml:space="preserve">
</t>
    </r>
    <r>
      <rPr>
        <sz val="9"/>
        <rFont val="宋体"/>
        <family val="3"/>
        <charset val="134"/>
      </rPr>
      <t>铺装（湿铺）</t>
    </r>
  </si>
  <si>
    <t>参照景观示范区铺装价格</t>
  </si>
  <si>
    <t>下沉式庭院石材干挂</t>
  </si>
  <si>
    <r>
      <t>1</t>
    </r>
    <r>
      <rPr>
        <sz val="9"/>
        <rFont val="宋体"/>
        <family val="3"/>
        <charset val="134"/>
      </rPr>
      <t>、</t>
    </r>
    <r>
      <rPr>
        <sz val="9"/>
        <rFont val="Arial"/>
        <family val="2"/>
      </rPr>
      <t>2.5cm</t>
    </r>
    <r>
      <rPr>
        <sz val="9"/>
        <rFont val="宋体"/>
        <family val="3"/>
        <charset val="134"/>
      </rPr>
      <t>厚芝麻白</t>
    </r>
    <r>
      <rPr>
        <sz val="9"/>
        <rFont val="Arial"/>
        <family val="2"/>
      </rPr>
      <t xml:space="preserve">
</t>
    </r>
    <r>
      <rPr>
        <sz val="9"/>
        <rFont val="宋体"/>
        <family val="3"/>
        <charset val="134"/>
      </rPr>
      <t>铺装（干挂）</t>
    </r>
  </si>
  <si>
    <t>参照干挂价格调整石材单价</t>
  </si>
  <si>
    <t>售楼部屋面增加屋脊线</t>
  </si>
  <si>
    <t>垂脊节点</t>
  </si>
  <si>
    <t>价格参照深灰色铝板价格</t>
  </si>
  <si>
    <t>正脊背节点</t>
  </si>
  <si>
    <t>脊兽造型</t>
  </si>
  <si>
    <r>
      <t>50*50*3</t>
    </r>
    <r>
      <rPr>
        <sz val="9"/>
        <rFont val="宋体"/>
        <family val="3"/>
        <charset val="134"/>
      </rPr>
      <t>方钢管</t>
    </r>
  </si>
  <si>
    <t>参照钢架价格</t>
  </si>
  <si>
    <r>
      <t>L30*3</t>
    </r>
    <r>
      <rPr>
        <sz val="9"/>
        <rFont val="宋体"/>
        <family val="3"/>
        <charset val="134"/>
      </rPr>
      <t>镀锌角钢</t>
    </r>
  </si>
  <si>
    <t>扣款明细统计表</t>
  </si>
  <si>
    <t>数量</t>
  </si>
  <si>
    <t>综合单价</t>
  </si>
  <si>
    <t>电费费用</t>
  </si>
  <si>
    <t>1.30-5.8</t>
  </si>
  <si>
    <t>元</t>
  </si>
  <si>
    <t>罚款</t>
  </si>
  <si>
    <t>2021.4.22</t>
  </si>
  <si>
    <t>2021.4.6</t>
  </si>
  <si>
    <t>2021.4.20</t>
  </si>
  <si>
    <t>门框掉漆、铝单板掉漆</t>
  </si>
  <si>
    <t>经协商</t>
  </si>
  <si>
    <t>亮化电源线路裸漏</t>
  </si>
  <si>
    <t>项目</t>
  </si>
  <si>
    <t>栾川山水文苑售楼部亮化工程
安装灯具扣款</t>
  </si>
  <si>
    <t>1.名称:LED开关电源
2.型号:DC24/400W
3.带防雨水功能
4.接线端子材质、规格:2.5mm²无端子接线5.未尽事宜详见图纸、规范、招标文件等</t>
  </si>
  <si>
    <t>1.名称:配管
2.材质:PVC 重型
3.规格:25
4.配置形式:暗配
5.未尽事宜详见图纸、规范等</t>
  </si>
  <si>
    <t>1.名称:电力电缆
2.型号:YJV-3*4
3.敷设方式、部位:管道敷设
4.电压等级(kV):1KV以内5.电缆头制作安装需满足防水条件6.未尽事宜详见图纸、规范等</t>
  </si>
  <si>
    <t>扣款合计</t>
  </si>
  <si>
    <t>图纸会审及设计变更</t>
    <phoneticPr fontId="6" type="noConversion"/>
  </si>
  <si>
    <t>第6-8页</t>
    <phoneticPr fontId="6" type="noConversion"/>
  </si>
  <si>
    <t>1份3页</t>
    <phoneticPr fontId="6" type="noConversion"/>
  </si>
  <si>
    <t>图纸与现场差异</t>
    <phoneticPr fontId="6" type="noConversion"/>
  </si>
  <si>
    <t>第9页</t>
    <phoneticPr fontId="6" type="noConversion"/>
  </si>
  <si>
    <t>现场增加部分价格</t>
    <phoneticPr fontId="6" type="noConversion"/>
  </si>
  <si>
    <t>第10-14页</t>
    <phoneticPr fontId="6" type="noConversion"/>
  </si>
  <si>
    <t>1份5页</t>
    <phoneticPr fontId="6" type="noConversion"/>
  </si>
  <si>
    <t>亮化工程安装灯具扣款</t>
    <phoneticPr fontId="6" type="noConversion"/>
  </si>
  <si>
    <t>第15页</t>
    <phoneticPr fontId="6" type="noConversion"/>
  </si>
  <si>
    <t>扣款明细</t>
    <phoneticPr fontId="6" type="noConversion"/>
  </si>
  <si>
    <t>第16页</t>
  </si>
  <si>
    <t>工程结算工作交接单</t>
    <phoneticPr fontId="6" type="noConversion"/>
  </si>
  <si>
    <t>第17-18页</t>
    <phoneticPr fontId="6" type="noConversion"/>
  </si>
  <si>
    <t>复印件</t>
    <phoneticPr fontId="6" type="noConversion"/>
  </si>
  <si>
    <t>1份1页</t>
    <phoneticPr fontId="6" type="noConversion"/>
  </si>
  <si>
    <t>1份1页</t>
    <phoneticPr fontId="6" type="noConversion"/>
  </si>
  <si>
    <t>罚款单</t>
    <phoneticPr fontId="6" type="noConversion"/>
  </si>
  <si>
    <t>第19-22页</t>
    <phoneticPr fontId="6" type="noConversion"/>
  </si>
  <si>
    <t>1份4页</t>
    <phoneticPr fontId="6" type="noConversion"/>
  </si>
  <si>
    <t>第23-25页</t>
    <phoneticPr fontId="6" type="noConversion"/>
  </si>
  <si>
    <t>第26页</t>
    <phoneticPr fontId="6" type="noConversion"/>
  </si>
  <si>
    <t>第27页</t>
    <phoneticPr fontId="6" type="noConversion"/>
  </si>
  <si>
    <t>第28页</t>
    <phoneticPr fontId="6" type="noConversion"/>
  </si>
  <si>
    <t>第29页</t>
  </si>
  <si>
    <t>第30-46页</t>
    <phoneticPr fontId="6" type="noConversion"/>
  </si>
  <si>
    <t>1份17页</t>
    <phoneticPr fontId="6" type="noConversion"/>
  </si>
  <si>
    <t>设计变更蓝图</t>
    <phoneticPr fontId="6" type="noConversion"/>
  </si>
  <si>
    <t>一套</t>
    <phoneticPr fontId="6" type="noConversion"/>
  </si>
  <si>
    <t>指标分析</t>
    <phoneticPr fontId="6" type="noConversion"/>
  </si>
  <si>
    <t>序号</t>
    <phoneticPr fontId="6" type="noConversion"/>
  </si>
  <si>
    <t>项目名称</t>
    <phoneticPr fontId="6" type="noConversion"/>
  </si>
  <si>
    <t>单位</t>
    <phoneticPr fontId="6" type="noConversion"/>
  </si>
  <si>
    <t>工程量</t>
    <phoneticPr fontId="6" type="noConversion"/>
  </si>
  <si>
    <t>备注</t>
    <phoneticPr fontId="6" type="noConversion"/>
  </si>
  <si>
    <t>地上建筑面积</t>
    <phoneticPr fontId="6" type="noConversion"/>
  </si>
  <si>
    <t>石材幕墙面积</t>
    <phoneticPr fontId="6" type="noConversion"/>
  </si>
  <si>
    <t>椽子长度</t>
    <phoneticPr fontId="6" type="noConversion"/>
  </si>
  <si>
    <r>
      <t>m</t>
    </r>
    <r>
      <rPr>
        <sz val="10"/>
        <rFont val="Arial"/>
        <family val="2"/>
      </rPr>
      <t>2</t>
    </r>
    <phoneticPr fontId="6" type="noConversion"/>
  </si>
  <si>
    <t>m</t>
    <phoneticPr fontId="6" type="noConversion"/>
  </si>
  <si>
    <r>
      <rPr>
        <sz val="10"/>
        <rFont val="宋体"/>
        <family val="3"/>
        <charset val="134"/>
      </rPr>
      <t>因为一层高</t>
    </r>
    <r>
      <rPr>
        <sz val="10"/>
        <rFont val="Arial"/>
        <family val="2"/>
      </rPr>
      <t>6m</t>
    </r>
    <r>
      <rPr>
        <sz val="10"/>
        <rFont val="宋体"/>
        <family val="3"/>
        <charset val="134"/>
      </rPr>
      <t>，计入面积</t>
    </r>
    <r>
      <rPr>
        <sz val="10"/>
        <rFont val="Arial"/>
        <family val="2"/>
      </rPr>
      <t>3292.5</t>
    </r>
    <r>
      <rPr>
        <sz val="10"/>
        <rFont val="Arial"/>
        <family val="2"/>
      </rPr>
      <t>m2</t>
    </r>
    <phoneticPr fontId="6" type="noConversion"/>
  </si>
  <si>
    <r>
      <t>m</t>
    </r>
    <r>
      <rPr>
        <sz val="10"/>
        <rFont val="Arial"/>
        <family val="2"/>
      </rPr>
      <t>2</t>
    </r>
    <r>
      <rPr>
        <sz val="11"/>
        <color theme="1"/>
        <rFont val="宋体"/>
        <family val="2"/>
        <charset val="134"/>
        <scheme val="minor"/>
      </rPr>
      <t/>
    </r>
  </si>
  <si>
    <t>真石漆</t>
    <phoneticPr fontId="6" type="noConversion"/>
  </si>
  <si>
    <t>单方指标</t>
    <phoneticPr fontId="6" type="noConversion"/>
  </si>
  <si>
    <t>铝型材、金属窗幕墙面积</t>
    <phoneticPr fontId="6" type="noConversion"/>
  </si>
  <si>
    <t>总造价（元）</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</si>
</sst>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_ "/>
    <numFmt numFmtId="177" formatCode="#,##0_ "/>
    <numFmt numFmtId="178" formatCode="0.000_ "/>
    <numFmt numFmtId="179" formatCode="0.0000_ "/>
    <numFmt numFmtId="180" formatCode="0.00&quot;元&quot;"/>
    <numFmt numFmtId="181" formatCode="[DBNum2][$RMB]General;[Red][DBNum2][$RMB]General"/>
    <numFmt numFmtId="182" formatCode="0_ "/>
  </numFmts>
  <fonts count="43">
    <font>
      <sz val="10"/>
      <name val="Arial"/>
      <charset val="1"/>
    </font>
    <font>
      <sz val="11"/>
      <color theme="1"/>
      <name val="宋体"/>
      <family val="2"/>
      <charset val="134"/>
      <scheme val="minor"/>
    </font>
    <font>
      <sz val="11"/>
      <name val="宋体"/>
      <family val="3"/>
      <charset val="134"/>
      <scheme val="minor"/>
    </font>
    <font>
      <sz val="18"/>
      <name val="宋体"/>
      <family val="3"/>
      <charset val="134"/>
      <scheme val="minor"/>
    </font>
    <font>
      <b/>
      <sz val="9"/>
      <name val="宋体"/>
      <family val="3"/>
      <charset val="134"/>
    </font>
    <font>
      <b/>
      <sz val="11"/>
      <name val="宋体"/>
      <family val="3"/>
      <charset val="134"/>
    </font>
    <font>
      <sz val="9"/>
      <name val="宋体"/>
      <family val="3"/>
      <charset val="134"/>
    </font>
    <font>
      <sz val="9"/>
      <name val="??"/>
      <family val="1"/>
    </font>
    <font>
      <sz val="10"/>
      <name val="宋体"/>
      <family val="3"/>
      <charset val="134"/>
    </font>
    <font>
      <sz val="16"/>
      <name val="宋体"/>
      <family val="3"/>
      <charset val="134"/>
    </font>
    <font>
      <sz val="16"/>
      <name val="Arial"/>
      <family val="2"/>
    </font>
    <font>
      <sz val="14"/>
      <name val="宋体"/>
      <family val="3"/>
      <charset val="134"/>
    </font>
    <font>
      <sz val="14"/>
      <name val="Arial"/>
      <family val="2"/>
    </font>
    <font>
      <sz val="9"/>
      <name val="Arial"/>
      <family val="2"/>
    </font>
    <font>
      <sz val="9"/>
      <name val="宋体"/>
      <family val="3"/>
      <charset val="134"/>
    </font>
    <font>
      <sz val="11"/>
      <name val="Arial"/>
      <family val="2"/>
    </font>
    <font>
      <b/>
      <sz val="16"/>
      <name val="宋体"/>
      <family val="3"/>
      <charset val="134"/>
    </font>
    <font>
      <b/>
      <sz val="12"/>
      <name val="宋体"/>
      <family val="3"/>
      <charset val="134"/>
    </font>
    <font>
      <b/>
      <sz val="8"/>
      <name val="宋体"/>
      <family val="3"/>
      <charset val="134"/>
    </font>
    <font>
      <sz val="11"/>
      <name val="宋体"/>
      <family val="3"/>
      <charset val="134"/>
    </font>
    <font>
      <sz val="8"/>
      <name val="宋体"/>
      <family val="3"/>
      <charset val="134"/>
    </font>
    <font>
      <sz val="8"/>
      <name val="Arial"/>
      <family val="2"/>
    </font>
    <font>
      <sz val="10"/>
      <color theme="1"/>
      <name val="宋体"/>
      <family val="3"/>
      <charset val="134"/>
    </font>
    <font>
      <sz val="10"/>
      <name val="Arial"/>
      <family val="2"/>
    </font>
    <font>
      <sz val="12"/>
      <name val="宋体"/>
      <family val="3"/>
      <charset val="134"/>
    </font>
    <font>
      <sz val="11"/>
      <color theme="1"/>
      <name val="宋体"/>
      <family val="3"/>
      <charset val="134"/>
      <scheme val="minor"/>
    </font>
    <font>
      <sz val="18"/>
      <color theme="1"/>
      <name val="宋体"/>
      <family val="3"/>
      <charset val="134"/>
      <scheme val="minor"/>
    </font>
    <font>
      <sz val="10"/>
      <color rgb="FF000000"/>
      <name val="宋体"/>
      <family val="3"/>
      <charset val="134"/>
    </font>
    <font>
      <sz val="10"/>
      <color rgb="FFFF0000"/>
      <name val="宋体"/>
      <family val="3"/>
      <charset val="134"/>
    </font>
    <font>
      <sz val="10"/>
      <color indexed="8"/>
      <name val="宋体"/>
      <family val="3"/>
      <charset val="134"/>
    </font>
    <font>
      <sz val="10"/>
      <name val="宋体"/>
      <family val="3"/>
      <charset val="134"/>
    </font>
    <font>
      <b/>
      <sz val="14"/>
      <name val="楷体_GB2312"/>
      <charset val="134"/>
    </font>
    <font>
      <sz val="12"/>
      <name val="楷体_GB2312"/>
      <charset val="134"/>
    </font>
    <font>
      <sz val="10"/>
      <name val="Times New Roman"/>
      <family val="1"/>
    </font>
    <font>
      <b/>
      <sz val="12"/>
      <name val="楷体_GB2312"/>
      <charset val="134"/>
    </font>
    <font>
      <b/>
      <sz val="10.5"/>
      <name val="楷体_GB2312"/>
      <charset val="134"/>
    </font>
    <font>
      <sz val="12"/>
      <color rgb="FFFF0000"/>
      <name val="宋体"/>
      <family val="3"/>
      <charset val="134"/>
    </font>
    <font>
      <sz val="11"/>
      <name val="宋体"/>
      <family val="3"/>
      <charset val="134"/>
    </font>
    <font>
      <sz val="14"/>
      <name val="宋体"/>
      <family val="3"/>
      <charset val="134"/>
      <scheme val="minor"/>
    </font>
    <font>
      <sz val="11"/>
      <color rgb="FFFF0000"/>
      <name val="宋体"/>
      <family val="3"/>
      <charset val="134"/>
    </font>
    <font>
      <sz val="11"/>
      <color rgb="FF006100"/>
      <name val="宋体"/>
      <family val="3"/>
      <charset val="134"/>
      <scheme val="minor"/>
    </font>
    <font>
      <sz val="9"/>
      <color theme="1"/>
      <name val="宋体"/>
      <family val="3"/>
      <charset val="134"/>
      <scheme val="minor"/>
    </font>
    <font>
      <sz val="11"/>
      <color indexed="8"/>
      <name val="宋体"/>
      <family val="3"/>
      <charset val="134"/>
    </font>
  </fonts>
  <fills count="7">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rgb="FFC6EFCE"/>
        <bgColor indexed="64"/>
      </patternFill>
    </fill>
    <fill>
      <patternFill patternType="solid">
        <fgColor rgb="FFFFFF00"/>
        <bgColor indexed="64"/>
      </patternFill>
    </fill>
    <fill>
      <patternFill patternType="solid">
        <fgColor rgb="FF92D050"/>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8">
    <xf numFmtId="0" fontId="0" fillId="0" borderId="0"/>
    <xf numFmtId="0" fontId="40" fillId="4" borderId="0" applyNumberFormat="0" applyBorder="0" applyAlignment="0" applyProtection="0">
      <alignment vertical="center"/>
    </xf>
    <xf numFmtId="0" fontId="24" fillId="0" borderId="0">
      <alignment vertical="center"/>
    </xf>
    <xf numFmtId="0" fontId="24" fillId="0" borderId="0">
      <alignment vertical="center"/>
    </xf>
    <xf numFmtId="0" fontId="42" fillId="0" borderId="0">
      <alignment vertical="center"/>
    </xf>
    <xf numFmtId="0" fontId="24" fillId="0" borderId="0">
      <alignment vertical="center"/>
    </xf>
    <xf numFmtId="0" fontId="25" fillId="0" borderId="0">
      <alignment vertical="center"/>
    </xf>
    <xf numFmtId="0" fontId="41" fillId="0" borderId="0"/>
  </cellStyleXfs>
  <cellXfs count="209">
    <xf numFmtId="0" fontId="0" fillId="0" borderId="0" xfId="0"/>
    <xf numFmtId="0" fontId="2" fillId="0" borderId="0" xfId="0" applyFont="1" applyFill="1" applyAlignment="1">
      <alignmen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xf>
    <xf numFmtId="0" fontId="0" fillId="0" borderId="1" xfId="0" applyBorder="1" applyAlignment="1">
      <alignment horizontal="center"/>
    </xf>
    <xf numFmtId="0" fontId="0" fillId="0" borderId="1" xfId="0" applyBorder="1"/>
    <xf numFmtId="0" fontId="8" fillId="0" borderId="1" xfId="0" applyFont="1" applyBorder="1"/>
    <xf numFmtId="0" fontId="0" fillId="0" borderId="1" xfId="0" applyFill="1" applyBorder="1"/>
    <xf numFmtId="177" fontId="0" fillId="0" borderId="0" xfId="0" applyNumberFormat="1" applyAlignment="1">
      <alignment horizontal="center"/>
    </xf>
    <xf numFmtId="0" fontId="4" fillId="0" borderId="6" xfId="0" applyFont="1" applyFill="1" applyBorder="1" applyAlignment="1">
      <alignment horizontal="center" vertical="center" wrapText="1"/>
    </xf>
    <xf numFmtId="0" fontId="4" fillId="0" borderId="1" xfId="0" applyFont="1" applyFill="1" applyBorder="1" applyAlignment="1">
      <alignment horizontal="center" wrapText="1"/>
    </xf>
    <xf numFmtId="177" fontId="13" fillId="0" borderId="1" xfId="0" applyNumberFormat="1" applyFont="1" applyBorder="1" applyAlignment="1">
      <alignment horizontal="center" vertical="center"/>
    </xf>
    <xf numFmtId="0" fontId="14" fillId="0" borderId="1" xfId="0" applyFont="1" applyBorder="1" applyAlignment="1">
      <alignment vertical="center" wrapText="1"/>
    </xf>
    <xf numFmtId="0" fontId="13" fillId="0" borderId="1" xfId="0" applyFont="1" applyBorder="1" applyAlignment="1">
      <alignment wrapText="1"/>
    </xf>
    <xf numFmtId="0" fontId="13" fillId="0" borderId="1" xfId="0" applyFont="1" applyBorder="1"/>
    <xf numFmtId="0" fontId="13" fillId="0" borderId="1" xfId="0" applyFont="1" applyBorder="1"/>
    <xf numFmtId="0" fontId="13" fillId="0" borderId="1" xfId="0" applyFont="1" applyBorder="1" applyAlignment="1">
      <alignment wrapText="1"/>
    </xf>
    <xf numFmtId="176" fontId="13" fillId="0" borderId="1" xfId="0" applyNumberFormat="1" applyFont="1" applyBorder="1"/>
    <xf numFmtId="0" fontId="14" fillId="0" borderId="1" xfId="0" applyFont="1" applyBorder="1" applyAlignment="1">
      <alignment vertical="center"/>
    </xf>
    <xf numFmtId="178" fontId="13" fillId="0" borderId="1" xfId="0" applyNumberFormat="1" applyFont="1" applyBorder="1"/>
    <xf numFmtId="0" fontId="14" fillId="0" borderId="1" xfId="0" applyFont="1" applyBorder="1"/>
    <xf numFmtId="177" fontId="13" fillId="0" borderId="1" xfId="0" applyNumberFormat="1" applyFont="1" applyBorder="1" applyAlignment="1">
      <alignment horizontal="center"/>
    </xf>
    <xf numFmtId="0" fontId="14" fillId="0" borderId="1" xfId="0" applyFont="1" applyBorder="1" applyAlignment="1">
      <alignment wrapText="1"/>
    </xf>
    <xf numFmtId="0" fontId="15" fillId="0" borderId="0" xfId="0" applyFont="1" applyFill="1"/>
    <xf numFmtId="0" fontId="15" fillId="0" borderId="0" xfId="0" applyFont="1" applyFill="1" applyAlignment="1">
      <alignment wrapText="1"/>
    </xf>
    <xf numFmtId="0" fontId="18" fillId="0" borderId="1" xfId="0" applyFont="1" applyFill="1" applyBorder="1" applyAlignment="1">
      <alignment horizontal="center" wrapText="1"/>
    </xf>
    <xf numFmtId="0" fontId="18" fillId="0" borderId="1"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9" fillId="0" borderId="1" xfId="0" applyFont="1" applyFill="1" applyBorder="1" applyAlignment="1">
      <alignment horizontal="center" vertical="center"/>
    </xf>
    <xf numFmtId="0" fontId="15" fillId="0" borderId="1" xfId="0" applyFont="1" applyFill="1" applyBorder="1"/>
    <xf numFmtId="0" fontId="15" fillId="0" borderId="1" xfId="0" applyFont="1" applyFill="1" applyBorder="1" applyAlignment="1">
      <alignment horizontal="center"/>
    </xf>
    <xf numFmtId="0" fontId="19" fillId="0" borderId="1" xfId="0" applyFont="1" applyFill="1" applyBorder="1" applyAlignment="1">
      <alignment wrapText="1"/>
    </xf>
    <xf numFmtId="0" fontId="20" fillId="0" borderId="1" xfId="7" applyFont="1" applyFill="1" applyBorder="1" applyAlignment="1" applyProtection="1">
      <alignment vertical="center" wrapText="1"/>
    </xf>
    <xf numFmtId="0" fontId="20" fillId="0" borderId="1" xfId="7" applyFont="1" applyFill="1" applyBorder="1" applyAlignment="1" applyProtection="1">
      <alignment horizontal="center" vertical="center" wrapText="1"/>
    </xf>
    <xf numFmtId="0" fontId="20" fillId="0" borderId="1" xfId="7" applyNumberFormat="1" applyFont="1" applyFill="1" applyBorder="1" applyAlignment="1" applyProtection="1">
      <alignment horizontal="right" vertical="center" wrapText="1"/>
    </xf>
    <xf numFmtId="176" fontId="20" fillId="0"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xf>
    <xf numFmtId="179" fontId="20" fillId="0" borderId="1" xfId="7" applyNumberFormat="1" applyFont="1" applyFill="1" applyBorder="1" applyAlignment="1" applyProtection="1">
      <alignment horizontal="right" vertical="center" wrapText="1"/>
    </xf>
    <xf numFmtId="0" fontId="20" fillId="0" borderId="1" xfId="7" applyFont="1" applyFill="1" applyBorder="1" applyAlignment="1" applyProtection="1">
      <alignment horizontal="right" vertical="center" wrapText="1"/>
    </xf>
    <xf numFmtId="0" fontId="20" fillId="0" borderId="1" xfId="7" applyFont="1" applyFill="1" applyBorder="1" applyAlignment="1" applyProtection="1">
      <alignment horizontal="left" vertical="center" wrapText="1"/>
    </xf>
    <xf numFmtId="0" fontId="19" fillId="0" borderId="1" xfId="0" applyFont="1" applyFill="1" applyBorder="1"/>
    <xf numFmtId="0" fontId="0" fillId="0" borderId="0" xfId="0" applyFill="1"/>
    <xf numFmtId="0" fontId="19" fillId="0" borderId="1" xfId="0" applyFont="1" applyFill="1" applyBorder="1" applyAlignment="1">
      <alignment wrapText="1"/>
    </xf>
    <xf numFmtId="176" fontId="21" fillId="0" borderId="6" xfId="0" applyNumberFormat="1" applyFont="1" applyFill="1" applyBorder="1" applyAlignment="1">
      <alignment horizontal="center" vertical="center"/>
    </xf>
    <xf numFmtId="0" fontId="20" fillId="0" borderId="1" xfId="7" applyFont="1" applyFill="1" applyBorder="1" applyAlignment="1" applyProtection="1">
      <alignment horizontal="center" vertical="center" wrapText="1"/>
    </xf>
    <xf numFmtId="0" fontId="20" fillId="0" borderId="1" xfId="7" applyFont="1" applyFill="1" applyBorder="1" applyAlignment="1" applyProtection="1">
      <alignment horizontal="left" vertical="center" wrapText="1"/>
    </xf>
    <xf numFmtId="0" fontId="20" fillId="0" borderId="1" xfId="7" applyFont="1" applyFill="1" applyBorder="1" applyAlignment="1" applyProtection="1">
      <alignment vertical="center" wrapText="1"/>
    </xf>
    <xf numFmtId="176" fontId="20" fillId="0" borderId="1" xfId="7" applyNumberFormat="1" applyFont="1" applyFill="1" applyBorder="1" applyAlignment="1" applyProtection="1">
      <alignment horizontal="right" vertical="center" wrapText="1"/>
    </xf>
    <xf numFmtId="0" fontId="0" fillId="0" borderId="1" xfId="0" applyFill="1" applyBorder="1"/>
    <xf numFmtId="0" fontId="8" fillId="0" borderId="1" xfId="0" applyFont="1" applyFill="1" applyBorder="1"/>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Fill="1" applyBorder="1" applyAlignment="1">
      <alignment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2" fillId="0" borderId="1" xfId="0" applyFont="1" applyFill="1" applyBorder="1" applyAlignment="1">
      <alignment vertical="center"/>
    </xf>
    <xf numFmtId="176" fontId="2" fillId="0" borderId="1" xfId="0" applyNumberFormat="1" applyFont="1" applyFill="1" applyBorder="1" applyAlignment="1">
      <alignment vertical="center"/>
    </xf>
    <xf numFmtId="0" fontId="23" fillId="0" borderId="0" xfId="0" applyFont="1" applyFill="1" applyAlignment="1"/>
    <xf numFmtId="0" fontId="21" fillId="0" borderId="0" xfId="0" applyFont="1" applyFill="1" applyAlignment="1"/>
    <xf numFmtId="0" fontId="23" fillId="0" borderId="0" xfId="0" applyFont="1" applyFill="1" applyAlignment="1">
      <alignment vertical="center"/>
    </xf>
    <xf numFmtId="0" fontId="23" fillId="0" borderId="0" xfId="0" applyFont="1" applyFill="1" applyAlignment="1"/>
    <xf numFmtId="0" fontId="21" fillId="0" borderId="1" xfId="0"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0" fontId="0" fillId="0" borderId="0" xfId="0" applyFill="1"/>
    <xf numFmtId="0" fontId="17" fillId="0" borderId="1" xfId="0" applyFont="1" applyFill="1" applyBorder="1" applyAlignment="1">
      <alignment horizontal="center" vertical="center" wrapText="1"/>
    </xf>
    <xf numFmtId="0" fontId="24" fillId="0" borderId="1" xfId="0" applyFont="1" applyFill="1" applyBorder="1" applyAlignment="1">
      <alignmen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176" fontId="24" fillId="0" borderId="1" xfId="0" applyNumberFormat="1" applyFont="1" applyFill="1" applyBorder="1" applyAlignment="1">
      <alignment horizontal="center" vertical="center"/>
    </xf>
    <xf numFmtId="0" fontId="24" fillId="0" borderId="1" xfId="0" applyFont="1" applyFill="1" applyBorder="1" applyAlignment="1">
      <alignment horizontal="center" vertical="center"/>
    </xf>
    <xf numFmtId="0" fontId="25" fillId="0" borderId="0" xfId="0" applyFont="1" applyFill="1" applyAlignment="1">
      <alignment vertical="center"/>
    </xf>
    <xf numFmtId="0" fontId="27" fillId="0" borderId="1"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176" fontId="27" fillId="3" borderId="1" xfId="0" applyNumberFormat="1" applyFont="1" applyFill="1" applyBorder="1" applyAlignment="1">
      <alignment horizontal="center" vertical="center" wrapText="1"/>
    </xf>
    <xf numFmtId="0" fontId="27" fillId="0" borderId="1" xfId="0" applyFont="1" applyFill="1" applyBorder="1" applyAlignment="1">
      <alignment vertical="center" wrapText="1"/>
    </xf>
    <xf numFmtId="0" fontId="27" fillId="2" borderId="1" xfId="0" applyFont="1" applyFill="1" applyBorder="1" applyAlignment="1">
      <alignment horizontal="center" vertical="center" wrapText="1"/>
    </xf>
    <xf numFmtId="176" fontId="27" fillId="2" borderId="1" xfId="0" applyNumberFormat="1" applyFont="1" applyFill="1" applyBorder="1" applyAlignment="1">
      <alignment horizontal="center" vertical="center" wrapText="1"/>
    </xf>
    <xf numFmtId="176" fontId="28" fillId="3" borderId="1" xfId="0" applyNumberFormat="1" applyFont="1" applyFill="1" applyBorder="1" applyAlignment="1">
      <alignment horizontal="center" vertical="center" wrapText="1"/>
    </xf>
    <xf numFmtId="0" fontId="29" fillId="2" borderId="1" xfId="3" applyFont="1" applyFill="1" applyBorder="1" applyAlignment="1">
      <alignment horizontal="center" vertical="center" wrapText="1"/>
    </xf>
    <xf numFmtId="176" fontId="30" fillId="0" borderId="1" xfId="3" applyNumberFormat="1" applyFont="1" applyFill="1" applyBorder="1" applyAlignment="1">
      <alignment horizontal="center" vertical="center" wrapText="1"/>
    </xf>
    <xf numFmtId="0" fontId="27" fillId="0" borderId="1" xfId="0" applyFont="1" applyFill="1" applyBorder="1" applyAlignment="1">
      <alignment horizontal="left" vertical="center" wrapText="1"/>
    </xf>
    <xf numFmtId="176" fontId="28" fillId="2" borderId="1" xfId="0" applyNumberFormat="1" applyFont="1" applyFill="1" applyBorder="1" applyAlignment="1">
      <alignment horizontal="center" vertical="center" wrapText="1"/>
    </xf>
    <xf numFmtId="0" fontId="24" fillId="0" borderId="0" xfId="0" applyFont="1" applyFill="1" applyBorder="1" applyAlignment="1">
      <alignment vertical="center"/>
    </xf>
    <xf numFmtId="0" fontId="32" fillId="0" borderId="1" xfId="0" applyFont="1" applyFill="1" applyBorder="1" applyAlignment="1">
      <alignment horizontal="center" vertical="center" wrapText="1"/>
    </xf>
    <xf numFmtId="0" fontId="32" fillId="0" borderId="1" xfId="0" applyFont="1" applyFill="1" applyBorder="1" applyAlignment="1">
      <alignment horizontal="justify" vertical="center" wrapText="1"/>
    </xf>
    <xf numFmtId="176" fontId="32" fillId="0" borderId="1" xfId="0" applyNumberFormat="1" applyFont="1" applyFill="1" applyBorder="1" applyAlignment="1">
      <alignment horizontal="center" vertical="center" wrapText="1"/>
    </xf>
    <xf numFmtId="0" fontId="33" fillId="0" borderId="0" xfId="0" applyFont="1" applyFill="1" applyBorder="1" applyAlignment="1">
      <alignment vertical="center" wrapText="1"/>
    </xf>
    <xf numFmtId="0" fontId="34" fillId="0" borderId="0" xfId="0" applyFont="1" applyFill="1" applyBorder="1" applyAlignment="1">
      <alignment vertical="center"/>
    </xf>
    <xf numFmtId="0" fontId="35" fillId="0" borderId="0" xfId="0" applyFont="1" applyFill="1" applyBorder="1" applyAlignment="1">
      <alignment horizontal="justify" vertical="center"/>
    </xf>
    <xf numFmtId="0" fontId="30" fillId="0" borderId="0" xfId="0" applyFont="1" applyFill="1" applyBorder="1" applyAlignment="1">
      <alignment vertical="center"/>
    </xf>
    <xf numFmtId="0" fontId="36" fillId="0" borderId="0" xfId="0" applyFont="1" applyFill="1" applyBorder="1" applyAlignment="1">
      <alignment vertical="center"/>
    </xf>
    <xf numFmtId="0" fontId="24" fillId="0" borderId="0"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0" xfId="0" applyFont="1" applyFill="1" applyBorder="1" applyAlignment="1">
      <alignment horizontal="left" vertical="center" wrapText="1"/>
    </xf>
    <xf numFmtId="0" fontId="37" fillId="0" borderId="0" xfId="0" applyFont="1" applyFill="1" applyBorder="1" applyAlignment="1">
      <alignment vertical="center" wrapText="1"/>
    </xf>
    <xf numFmtId="0" fontId="5" fillId="0" borderId="0" xfId="0" applyFont="1" applyFill="1" applyBorder="1" applyAlignment="1">
      <alignment vertical="center" wrapText="1"/>
    </xf>
    <xf numFmtId="0" fontId="17" fillId="0" borderId="0" xfId="0" applyFont="1" applyFill="1" applyBorder="1" applyAlignment="1">
      <alignment vertical="center" wrapText="1"/>
    </xf>
    <xf numFmtId="0" fontId="2" fillId="0" borderId="16" xfId="1" applyFont="1" applyFill="1" applyBorder="1" applyAlignment="1">
      <alignment horizontal="center" vertical="center" wrapText="1"/>
    </xf>
    <xf numFmtId="0" fontId="2" fillId="0" borderId="17" xfId="1" applyFont="1" applyFill="1" applyBorder="1" applyAlignment="1">
      <alignment vertical="center" wrapText="1"/>
    </xf>
    <xf numFmtId="0" fontId="2" fillId="0" borderId="18" xfId="1" applyFont="1" applyFill="1" applyBorder="1" applyAlignment="1">
      <alignment horizontal="left" vertical="center" wrapText="1"/>
    </xf>
    <xf numFmtId="0" fontId="2" fillId="0" borderId="19" xfId="1" applyFont="1" applyFill="1" applyBorder="1" applyAlignment="1">
      <alignment horizontal="center" vertical="center" wrapText="1"/>
    </xf>
    <xf numFmtId="0" fontId="2" fillId="0" borderId="8" xfId="1" applyFont="1" applyFill="1" applyBorder="1" applyAlignment="1">
      <alignment vertical="center" wrapText="1"/>
    </xf>
    <xf numFmtId="0" fontId="37" fillId="0" borderId="1" xfId="0" applyFont="1" applyFill="1" applyBorder="1" applyAlignment="1">
      <alignment vertical="center" wrapText="1"/>
    </xf>
    <xf numFmtId="0" fontId="37" fillId="0" borderId="20" xfId="0" applyFont="1" applyFill="1" applyBorder="1" applyAlignment="1">
      <alignment horizontal="left" vertical="center" wrapText="1"/>
    </xf>
    <xf numFmtId="0" fontId="30" fillId="0" borderId="0" xfId="0" applyFont="1" applyFill="1" applyBorder="1" applyAlignment="1">
      <alignment vertical="center" wrapText="1"/>
    </xf>
    <xf numFmtId="0" fontId="37" fillId="0" borderId="8" xfId="0" applyFont="1" applyFill="1" applyBorder="1" applyAlignment="1">
      <alignment vertical="center" wrapText="1"/>
    </xf>
    <xf numFmtId="0" fontId="37" fillId="0" borderId="21" xfId="0" applyFont="1" applyFill="1" applyBorder="1" applyAlignment="1">
      <alignment horizontal="left" vertical="center" wrapText="1"/>
    </xf>
    <xf numFmtId="57" fontId="37" fillId="0" borderId="21" xfId="0" applyNumberFormat="1" applyFont="1" applyFill="1" applyBorder="1" applyAlignment="1">
      <alignment horizontal="left" vertical="center" wrapText="1"/>
    </xf>
    <xf numFmtId="0" fontId="39" fillId="0" borderId="0" xfId="0" applyFont="1" applyFill="1" applyBorder="1" applyAlignment="1">
      <alignment vertical="center" wrapText="1"/>
    </xf>
    <xf numFmtId="0" fontId="36" fillId="0" borderId="0" xfId="0" applyFont="1" applyFill="1" applyBorder="1" applyAlignment="1">
      <alignment vertical="center" wrapText="1"/>
    </xf>
    <xf numFmtId="0" fontId="37" fillId="0" borderId="0" xfId="0" applyFont="1" applyFill="1" applyBorder="1" applyAlignment="1">
      <alignment vertical="center"/>
    </xf>
    <xf numFmtId="0" fontId="28" fillId="0" borderId="0" xfId="0" applyFont="1" applyFill="1" applyBorder="1" applyAlignment="1">
      <alignment vertical="center"/>
    </xf>
    <xf numFmtId="0" fontId="19" fillId="0" borderId="1" xfId="0" applyFont="1" applyFill="1" applyBorder="1" applyAlignment="1">
      <alignment vertical="center" wrapText="1"/>
    </xf>
    <xf numFmtId="0" fontId="19" fillId="0" borderId="8" xfId="0" applyFont="1" applyFill="1" applyBorder="1" applyAlignment="1">
      <alignment vertical="center" wrapText="1"/>
    </xf>
    <xf numFmtId="0" fontId="23" fillId="0" borderId="1" xfId="0" applyFont="1" applyBorder="1"/>
    <xf numFmtId="0" fontId="20" fillId="5" borderId="1" xfId="7" applyFont="1" applyFill="1" applyBorder="1" applyAlignment="1" applyProtection="1">
      <alignment horizontal="right" vertical="center" wrapText="1"/>
    </xf>
    <xf numFmtId="0" fontId="20" fillId="5" borderId="1" xfId="7" applyNumberFormat="1" applyFont="1" applyFill="1" applyBorder="1" applyAlignment="1" applyProtection="1">
      <alignment horizontal="right" vertical="center" wrapText="1"/>
    </xf>
    <xf numFmtId="2" fontId="0" fillId="0" borderId="1" xfId="0" applyNumberFormat="1" applyBorder="1" applyAlignment="1">
      <alignment horizontal="center"/>
    </xf>
    <xf numFmtId="0" fontId="8" fillId="0" borderId="1" xfId="0" applyFont="1" applyBorder="1" applyAlignment="1">
      <alignment vertical="center"/>
    </xf>
    <xf numFmtId="0" fontId="20" fillId="6" borderId="1" xfId="7" applyFont="1" applyFill="1" applyBorder="1" applyAlignment="1" applyProtection="1">
      <alignment horizontal="right" vertical="center" wrapText="1"/>
    </xf>
    <xf numFmtId="0" fontId="20" fillId="6" borderId="1" xfId="7" applyNumberFormat="1" applyFont="1" applyFill="1" applyBorder="1" applyAlignment="1" applyProtection="1">
      <alignment horizontal="right" vertical="center" wrapText="1"/>
    </xf>
    <xf numFmtId="0" fontId="38" fillId="0" borderId="15" xfId="1" applyFont="1" applyFill="1" applyBorder="1" applyAlignment="1">
      <alignment horizontal="center" vertical="center" wrapText="1"/>
    </xf>
    <xf numFmtId="0" fontId="24" fillId="0" borderId="22" xfId="0" applyFont="1" applyFill="1" applyBorder="1" applyAlignment="1">
      <alignment horizontal="left" vertical="top" wrapText="1"/>
    </xf>
    <xf numFmtId="0" fontId="24" fillId="0" borderId="1" xfId="0" applyFont="1" applyFill="1" applyBorder="1" applyAlignment="1">
      <alignment horizontal="left" vertical="top" wrapText="1"/>
    </xf>
    <xf numFmtId="0" fontId="24" fillId="0" borderId="23" xfId="0" applyFont="1" applyFill="1" applyBorder="1" applyAlignment="1">
      <alignment horizontal="left" vertical="top" wrapText="1"/>
    </xf>
    <xf numFmtId="0" fontId="24" fillId="0" borderId="24" xfId="0" applyFont="1" applyFill="1" applyBorder="1" applyAlignment="1">
      <alignment horizontal="left" vertical="top" wrapText="1"/>
    </xf>
    <xf numFmtId="0" fontId="24" fillId="0" borderId="21" xfId="0" applyFont="1" applyFill="1" applyBorder="1" applyAlignment="1">
      <alignment horizontal="left" vertical="top" wrapText="1"/>
    </xf>
    <xf numFmtId="0" fontId="24" fillId="0" borderId="25" xfId="0" applyFont="1" applyFill="1" applyBorder="1" applyAlignment="1">
      <alignment horizontal="left" vertical="top" wrapText="1"/>
    </xf>
    <xf numFmtId="0" fontId="31" fillId="0" borderId="0" xfId="0" applyFont="1" applyFill="1" applyBorder="1" applyAlignment="1">
      <alignment horizontal="center" vertical="center" wrapText="1"/>
    </xf>
    <xf numFmtId="0" fontId="24" fillId="0" borderId="0" xfId="0" applyFont="1" applyFill="1" applyBorder="1" applyAlignment="1">
      <alignment vertical="center"/>
    </xf>
    <xf numFmtId="0" fontId="32" fillId="0" borderId="0" xfId="0" applyFont="1" applyFill="1" applyBorder="1" applyAlignment="1">
      <alignment horizontal="left" vertical="center" wrapText="1"/>
    </xf>
    <xf numFmtId="0" fontId="32" fillId="0" borderId="0" xfId="0" applyFont="1" applyFill="1" applyBorder="1" applyAlignment="1">
      <alignment horizontal="left" vertical="center"/>
    </xf>
    <xf numFmtId="0" fontId="32" fillId="0" borderId="1" xfId="0" applyFont="1" applyFill="1" applyBorder="1" applyAlignment="1">
      <alignment horizontal="justify" vertical="center" wrapText="1"/>
    </xf>
    <xf numFmtId="0" fontId="32" fillId="0" borderId="6"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6" xfId="0" applyFont="1" applyFill="1" applyBorder="1" applyAlignment="1">
      <alignment horizontal="left" vertical="center" wrapText="1"/>
    </xf>
    <xf numFmtId="0" fontId="32" fillId="0" borderId="14" xfId="0" applyFont="1" applyFill="1" applyBorder="1" applyAlignment="1">
      <alignment horizontal="left" vertical="center" wrapText="1"/>
    </xf>
    <xf numFmtId="0" fontId="32" fillId="0" borderId="11" xfId="0" applyFont="1" applyFill="1" applyBorder="1" applyAlignment="1">
      <alignment horizontal="left" vertical="center" wrapText="1"/>
    </xf>
    <xf numFmtId="180" fontId="32" fillId="0" borderId="1" xfId="0" applyNumberFormat="1" applyFont="1" applyFill="1" applyBorder="1" applyAlignment="1">
      <alignment horizontal="justify" vertical="center" wrapText="1"/>
    </xf>
    <xf numFmtId="181" fontId="32" fillId="0" borderId="1" xfId="0" applyNumberFormat="1" applyFont="1" applyFill="1" applyBorder="1" applyAlignment="1">
      <alignment horizontal="justify" vertical="center" wrapText="1"/>
    </xf>
    <xf numFmtId="182" fontId="32" fillId="0" borderId="1" xfId="0" applyNumberFormat="1" applyFont="1" applyFill="1" applyBorder="1" applyAlignment="1">
      <alignment horizontal="justify"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26" fillId="0" borderId="0" xfId="0" applyFont="1" applyFill="1" applyAlignment="1">
      <alignment horizontal="center" vertical="center" wrapText="1"/>
    </xf>
    <xf numFmtId="0" fontId="27" fillId="0" borderId="7"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6" fillId="0" borderId="0" xfId="0" applyFont="1" applyFill="1" applyAlignment="1">
      <alignment horizontal="center" vertical="center" wrapText="1"/>
    </xf>
    <xf numFmtId="0" fontId="16" fillId="0" borderId="4"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22" fillId="0" borderId="12"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8" fillId="0" borderId="7" xfId="0" applyFont="1" applyFill="1" applyBorder="1" applyAlignment="1">
      <alignment horizontal="center" vertical="center"/>
    </xf>
    <xf numFmtId="0" fontId="0" fillId="0" borderId="8" xfId="0" applyFill="1" applyBorder="1" applyAlignment="1">
      <alignment horizontal="center" vertical="center"/>
    </xf>
    <xf numFmtId="0" fontId="8" fillId="0" borderId="7" xfId="0" applyFont="1" applyFill="1" applyBorder="1" applyAlignment="1">
      <alignment horizontal="center" vertical="center" wrapText="1"/>
    </xf>
    <xf numFmtId="0" fontId="0" fillId="0" borderId="8" xfId="0"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5" fillId="0" borderId="6" xfId="0" applyFont="1" applyFill="1" applyBorder="1" applyAlignment="1">
      <alignment horizontal="center" wrapText="1"/>
    </xf>
    <xf numFmtId="0" fontId="15" fillId="0" borderId="11" xfId="0" applyFont="1" applyFill="1" applyBorder="1" applyAlignment="1">
      <alignment horizontal="center" wrapText="1"/>
    </xf>
    <xf numFmtId="0" fontId="15" fillId="0" borderId="6"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7" xfId="0" applyFont="1" applyBorder="1" applyAlignment="1">
      <alignment horizontal="center"/>
    </xf>
    <xf numFmtId="0" fontId="13" fillId="0" borderId="8" xfId="0" applyFont="1" applyBorder="1" applyAlignment="1">
      <alignment horizontal="center"/>
    </xf>
    <xf numFmtId="177" fontId="11" fillId="0" borderId="0" xfId="0" applyNumberFormat="1" applyFont="1" applyAlignment="1">
      <alignment horizontal="center" vertical="center"/>
    </xf>
    <xf numFmtId="177" fontId="12" fillId="0" borderId="0" xfId="0" applyNumberFormat="1" applyFont="1" applyAlignment="1">
      <alignment horizontal="center" vertical="center"/>
    </xf>
    <xf numFmtId="0" fontId="4" fillId="0" borderId="6"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14" fillId="0" borderId="7" xfId="0" applyFont="1" applyBorder="1" applyAlignment="1">
      <alignment horizontal="center" vertical="center"/>
    </xf>
    <xf numFmtId="0" fontId="13" fillId="0" borderId="8" xfId="0" applyFont="1" applyBorder="1" applyAlignment="1">
      <alignment horizontal="center" vertical="center"/>
    </xf>
    <xf numFmtId="0" fontId="3" fillId="0" borderId="0" xfId="0" applyFont="1" applyFill="1" applyAlignment="1">
      <alignment horizontal="center" vertical="center" wrapText="1"/>
    </xf>
    <xf numFmtId="0" fontId="8" fillId="0" borderId="1" xfId="0" applyFont="1" applyBorder="1" applyAlignment="1">
      <alignment horizontal="left" vertical="center"/>
    </xf>
    <xf numFmtId="0" fontId="0" fillId="0" borderId="1" xfId="0"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8" fillId="0" borderId="0" xfId="0" applyFont="1" applyAlignment="1">
      <alignment horizontal="center"/>
    </xf>
    <xf numFmtId="0" fontId="0" fillId="0" borderId="0" xfId="0" applyAlignment="1">
      <alignment horizontal="center"/>
    </xf>
    <xf numFmtId="0" fontId="23" fillId="0" borderId="7" xfId="0" applyFont="1" applyBorder="1" applyAlignment="1">
      <alignment horizontal="center" wrapText="1"/>
    </xf>
    <xf numFmtId="0" fontId="23" fillId="0" borderId="8" xfId="0" applyFont="1" applyBorder="1" applyAlignment="1">
      <alignment horizontal="center" wrapText="1"/>
    </xf>
    <xf numFmtId="2" fontId="0" fillId="0" borderId="1" xfId="0" applyNumberFormat="1" applyBorder="1"/>
  </cellXfs>
  <cellStyles count="8">
    <cellStyle name="3232" xfId="3"/>
    <cellStyle name="Normal" xfId="7"/>
    <cellStyle name="常规" xfId="0" builtinId="0"/>
    <cellStyle name="常规 2" xfId="4"/>
    <cellStyle name="常规 3" xfId="5"/>
    <cellStyle name="常规 3 2" xfId="2"/>
    <cellStyle name="常规 5" xfId="6"/>
    <cellStyle name="好" xfId="1" builtinId="26"/>
  </cellStyles>
  <dxfs count="0"/>
  <tableStyles count="0" defaultTableStyle="TableStyleMedium9"/>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013;&#28009;&#24503;&#26686;&#24029;&#21806;&#27004;&#37096;&#24149;&#22681;&#24037;&#31243;&#28165;&#21333;-&#28165;&#26631;202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清标汇总表"/>
      <sheetName val="中浩德栾川售楼部幕墙"/>
      <sheetName val="栾川山水文苑售房部亮化工程量清单"/>
    </sheetNames>
    <sheetDataSet>
      <sheetData sheetId="0"/>
      <sheetData sheetId="1">
        <row r="36">
          <cell r="H36">
            <v>2503020.1943329098</v>
          </cell>
        </row>
      </sheetData>
      <sheetData sheetId="2">
        <row r="18">
          <cell r="G18">
            <v>71888.143200000006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topLeftCell="A7" workbookViewId="0">
      <selection activeCell="T33" sqref="T33"/>
    </sheetView>
  </sheetViews>
  <sheetFormatPr defaultColWidth="10.28515625" defaultRowHeight="14.25"/>
  <cols>
    <col min="1" max="1" width="6.140625" style="104" customWidth="1"/>
    <col min="2" max="2" width="41.42578125" style="105" customWidth="1"/>
    <col min="3" max="3" width="10.28515625" style="105" customWidth="1"/>
    <col min="4" max="4" width="12.140625" style="105" customWidth="1"/>
    <col min="5" max="5" width="9.28515625" style="105" customWidth="1"/>
    <col min="6" max="6" width="8.140625" style="106" customWidth="1"/>
    <col min="7" max="7" width="16.42578125" style="107" customWidth="1"/>
    <col min="8" max="11" width="10.28515625" style="105" customWidth="1"/>
    <col min="12" max="16384" width="10.28515625" style="95"/>
  </cols>
  <sheetData>
    <row r="1" spans="1:11" ht="30.75" customHeight="1">
      <c r="A1" s="134" t="s">
        <v>0</v>
      </c>
      <c r="B1" s="134"/>
      <c r="C1" s="134"/>
      <c r="D1" s="134"/>
      <c r="E1" s="134"/>
      <c r="F1" s="134"/>
      <c r="G1" s="108"/>
      <c r="H1" s="109"/>
    </row>
    <row r="2" spans="1:11" ht="27" customHeight="1">
      <c r="A2" s="110" t="s">
        <v>1</v>
      </c>
      <c r="B2" s="111" t="s">
        <v>2</v>
      </c>
      <c r="C2" s="111" t="s">
        <v>3</v>
      </c>
      <c r="D2" s="111" t="s">
        <v>4</v>
      </c>
      <c r="E2" s="111" t="s">
        <v>5</v>
      </c>
      <c r="F2" s="112" t="s">
        <v>6</v>
      </c>
    </row>
    <row r="3" spans="1:11" s="102" customFormat="1" ht="33" customHeight="1">
      <c r="A3" s="113">
        <v>1</v>
      </c>
      <c r="B3" s="114" t="s">
        <v>7</v>
      </c>
      <c r="C3" s="115" t="s">
        <v>8</v>
      </c>
      <c r="D3" s="115" t="s">
        <v>9</v>
      </c>
      <c r="E3" s="115" t="s">
        <v>10</v>
      </c>
      <c r="F3" s="116"/>
      <c r="G3" s="107"/>
      <c r="H3" s="117"/>
      <c r="I3" s="117"/>
      <c r="J3" s="117"/>
      <c r="K3" s="117"/>
    </row>
    <row r="4" spans="1:11" s="102" customFormat="1" ht="24" customHeight="1">
      <c r="A4" s="113">
        <v>2</v>
      </c>
      <c r="B4" s="114" t="s">
        <v>11</v>
      </c>
      <c r="C4" s="115" t="s">
        <v>8</v>
      </c>
      <c r="D4" s="115" t="s">
        <v>12</v>
      </c>
      <c r="E4" s="118" t="s">
        <v>13</v>
      </c>
      <c r="F4" s="116"/>
      <c r="G4" s="107"/>
      <c r="H4" s="117"/>
      <c r="I4" s="117"/>
      <c r="J4" s="117"/>
      <c r="K4" s="117"/>
    </row>
    <row r="5" spans="1:11" s="102" customFormat="1" ht="24" customHeight="1">
      <c r="A5" s="113">
        <v>3</v>
      </c>
      <c r="B5" s="114" t="s">
        <v>14</v>
      </c>
      <c r="C5" s="115" t="s">
        <v>8</v>
      </c>
      <c r="D5" s="115" t="s">
        <v>15</v>
      </c>
      <c r="E5" s="118" t="s">
        <v>10</v>
      </c>
      <c r="F5" s="116"/>
      <c r="G5" s="107"/>
      <c r="H5" s="117"/>
      <c r="I5" s="117"/>
      <c r="J5" s="117"/>
      <c r="K5" s="117"/>
    </row>
    <row r="6" spans="1:11" ht="33" customHeight="1">
      <c r="A6" s="113">
        <v>4</v>
      </c>
      <c r="B6" s="114" t="s">
        <v>16</v>
      </c>
      <c r="C6" s="115" t="s">
        <v>8</v>
      </c>
      <c r="D6" s="115" t="s">
        <v>17</v>
      </c>
      <c r="E6" s="118" t="s">
        <v>13</v>
      </c>
      <c r="F6" s="119"/>
    </row>
    <row r="7" spans="1:11" ht="33.950000000000003" customHeight="1">
      <c r="A7" s="113">
        <v>5</v>
      </c>
      <c r="B7" s="114" t="s">
        <v>18</v>
      </c>
      <c r="C7" s="115" t="s">
        <v>8</v>
      </c>
      <c r="D7" s="115" t="s">
        <v>19</v>
      </c>
      <c r="E7" s="118" t="s">
        <v>13</v>
      </c>
      <c r="F7" s="119"/>
    </row>
    <row r="8" spans="1:11" ht="33.950000000000003" customHeight="1">
      <c r="A8" s="113">
        <v>6</v>
      </c>
      <c r="B8" s="114" t="s">
        <v>235</v>
      </c>
      <c r="C8" s="125" t="s">
        <v>237</v>
      </c>
      <c r="D8" s="125" t="s">
        <v>236</v>
      </c>
      <c r="E8" s="118" t="s">
        <v>13</v>
      </c>
      <c r="F8" s="119"/>
    </row>
    <row r="9" spans="1:11" ht="33.950000000000003" customHeight="1">
      <c r="A9" s="113">
        <v>7</v>
      </c>
      <c r="B9" s="114" t="s">
        <v>238</v>
      </c>
      <c r="C9" s="115" t="s">
        <v>8</v>
      </c>
      <c r="D9" s="125" t="s">
        <v>239</v>
      </c>
      <c r="E9" s="118" t="s">
        <v>13</v>
      </c>
      <c r="F9" s="119"/>
    </row>
    <row r="10" spans="1:11" ht="33.950000000000003" customHeight="1">
      <c r="A10" s="113">
        <v>8</v>
      </c>
      <c r="B10" s="114" t="s">
        <v>240</v>
      </c>
      <c r="C10" s="125" t="s">
        <v>242</v>
      </c>
      <c r="D10" s="125" t="s">
        <v>241</v>
      </c>
      <c r="E10" s="118" t="s">
        <v>13</v>
      </c>
      <c r="F10" s="119"/>
    </row>
    <row r="11" spans="1:11" ht="33.950000000000003" customHeight="1">
      <c r="A11" s="113">
        <v>9</v>
      </c>
      <c r="B11" s="114" t="s">
        <v>243</v>
      </c>
      <c r="C11" s="125" t="s">
        <v>250</v>
      </c>
      <c r="D11" s="125" t="s">
        <v>244</v>
      </c>
      <c r="E11" s="118" t="s">
        <v>13</v>
      </c>
      <c r="F11" s="119"/>
    </row>
    <row r="12" spans="1:11" ht="33.950000000000003" customHeight="1">
      <c r="A12" s="113">
        <v>10</v>
      </c>
      <c r="B12" s="114" t="s">
        <v>245</v>
      </c>
      <c r="C12" s="125" t="s">
        <v>251</v>
      </c>
      <c r="D12" s="125" t="s">
        <v>246</v>
      </c>
      <c r="E12" s="118" t="s">
        <v>13</v>
      </c>
      <c r="F12" s="119"/>
    </row>
    <row r="13" spans="1:11" ht="33.950000000000003" customHeight="1">
      <c r="A13" s="113">
        <v>11</v>
      </c>
      <c r="B13" s="114" t="s">
        <v>247</v>
      </c>
      <c r="C13" s="125" t="s">
        <v>251</v>
      </c>
      <c r="D13" s="125" t="s">
        <v>248</v>
      </c>
      <c r="E13" s="118" t="s">
        <v>13</v>
      </c>
      <c r="F13" s="119"/>
    </row>
    <row r="14" spans="1:11" ht="33.950000000000003" customHeight="1">
      <c r="A14" s="113">
        <v>12</v>
      </c>
      <c r="B14" s="114" t="s">
        <v>252</v>
      </c>
      <c r="C14" s="125" t="s">
        <v>254</v>
      </c>
      <c r="D14" s="125" t="s">
        <v>253</v>
      </c>
      <c r="E14" s="126" t="s">
        <v>249</v>
      </c>
      <c r="F14" s="119"/>
    </row>
    <row r="15" spans="1:11" ht="33.950000000000003" customHeight="1">
      <c r="A15" s="113">
        <v>13</v>
      </c>
      <c r="B15" s="114" t="s">
        <v>21</v>
      </c>
      <c r="C15" s="115" t="s">
        <v>22</v>
      </c>
      <c r="D15" s="125" t="s">
        <v>255</v>
      </c>
      <c r="E15" s="118" t="s">
        <v>10</v>
      </c>
      <c r="F15" s="119"/>
    </row>
    <row r="16" spans="1:11" s="103" customFormat="1" ht="27.95" customHeight="1">
      <c r="A16" s="113">
        <v>14</v>
      </c>
      <c r="B16" s="118" t="s">
        <v>24</v>
      </c>
      <c r="C16" s="118" t="s">
        <v>8</v>
      </c>
      <c r="D16" s="125" t="s">
        <v>256</v>
      </c>
      <c r="E16" s="118" t="s">
        <v>10</v>
      </c>
      <c r="F16" s="120"/>
      <c r="G16" s="121"/>
      <c r="H16" s="122"/>
      <c r="I16" s="122"/>
      <c r="J16" s="122"/>
      <c r="K16" s="122"/>
    </row>
    <row r="17" spans="1:11" ht="27.95" customHeight="1">
      <c r="A17" s="113">
        <v>15</v>
      </c>
      <c r="B17" s="114" t="s">
        <v>25</v>
      </c>
      <c r="C17" s="115" t="s">
        <v>8</v>
      </c>
      <c r="D17" s="125" t="s">
        <v>257</v>
      </c>
      <c r="E17" s="118" t="s">
        <v>10</v>
      </c>
      <c r="F17" s="119"/>
      <c r="G17" s="95"/>
    </row>
    <row r="18" spans="1:11" s="102" customFormat="1" ht="26.1" customHeight="1">
      <c r="A18" s="113">
        <v>16</v>
      </c>
      <c r="B18" s="114" t="s">
        <v>26</v>
      </c>
      <c r="C18" s="115" t="s">
        <v>8</v>
      </c>
      <c r="D18" s="125" t="s">
        <v>258</v>
      </c>
      <c r="E18" s="118" t="s">
        <v>10</v>
      </c>
      <c r="F18" s="116"/>
      <c r="G18" s="123"/>
      <c r="H18" s="117"/>
      <c r="I18" s="117"/>
      <c r="J18" s="117"/>
      <c r="K18" s="117"/>
    </row>
    <row r="19" spans="1:11" s="102" customFormat="1" ht="29.1" customHeight="1">
      <c r="A19" s="113">
        <v>17</v>
      </c>
      <c r="B19" s="114" t="s">
        <v>27</v>
      </c>
      <c r="C19" s="115" t="s">
        <v>8</v>
      </c>
      <c r="D19" s="125" t="s">
        <v>259</v>
      </c>
      <c r="E19" s="118" t="s">
        <v>10</v>
      </c>
      <c r="F19" s="116"/>
      <c r="G19" s="124"/>
      <c r="H19" s="117"/>
      <c r="I19" s="117"/>
      <c r="J19" s="117"/>
      <c r="K19" s="117"/>
    </row>
    <row r="20" spans="1:11" ht="38.1" customHeight="1">
      <c r="A20" s="113">
        <v>18</v>
      </c>
      <c r="B20" s="115" t="s">
        <v>28</v>
      </c>
      <c r="C20" s="125" t="s">
        <v>261</v>
      </c>
      <c r="D20" s="125" t="s">
        <v>260</v>
      </c>
      <c r="E20" s="115" t="s">
        <v>20</v>
      </c>
      <c r="F20" s="116"/>
    </row>
    <row r="21" spans="1:11" ht="30" customHeight="1">
      <c r="A21" s="113">
        <v>19</v>
      </c>
      <c r="B21" s="126" t="s">
        <v>262</v>
      </c>
      <c r="C21" s="118" t="s">
        <v>29</v>
      </c>
      <c r="D21" s="125" t="s">
        <v>263</v>
      </c>
      <c r="E21" s="118"/>
      <c r="F21" s="116"/>
    </row>
    <row r="22" spans="1:11" ht="24" customHeight="1">
      <c r="A22" s="113">
        <v>20</v>
      </c>
      <c r="B22" s="118" t="s">
        <v>30</v>
      </c>
      <c r="C22" s="118" t="s">
        <v>29</v>
      </c>
      <c r="D22" s="125" t="s">
        <v>263</v>
      </c>
      <c r="E22" s="118"/>
      <c r="F22" s="116"/>
    </row>
    <row r="23" spans="1:11">
      <c r="A23" s="135" t="s">
        <v>31</v>
      </c>
      <c r="B23" s="136"/>
      <c r="C23" s="136" t="s">
        <v>32</v>
      </c>
      <c r="D23" s="136"/>
      <c r="E23" s="136"/>
      <c r="F23" s="139"/>
    </row>
    <row r="24" spans="1:11">
      <c r="A24" s="137"/>
      <c r="B24" s="138"/>
      <c r="C24" s="138"/>
      <c r="D24" s="138"/>
      <c r="E24" s="138"/>
      <c r="F24" s="140"/>
    </row>
  </sheetData>
  <mergeCells count="3">
    <mergeCell ref="A1:F1"/>
    <mergeCell ref="A23:B24"/>
    <mergeCell ref="C23:F24"/>
  </mergeCells>
  <phoneticPr fontId="6" type="noConversion"/>
  <pageMargins left="0.75" right="0.75" top="1" bottom="1" header="0.5" footer="0.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
  <sheetViews>
    <sheetView workbookViewId="0">
      <selection activeCell="H13" sqref="H13"/>
    </sheetView>
  </sheetViews>
  <sheetFormatPr defaultColWidth="9.140625" defaultRowHeight="12.75"/>
  <cols>
    <col min="1" max="1" width="4.42578125" customWidth="1"/>
    <col min="3" max="3" width="33.140625" customWidth="1"/>
    <col min="4" max="4" width="7.42578125" customWidth="1"/>
    <col min="7" max="7" width="12.140625"/>
  </cols>
  <sheetData>
    <row r="1" spans="1:7" s="1" customFormat="1" ht="60" customHeight="1">
      <c r="A1" s="199" t="s">
        <v>230</v>
      </c>
      <c r="B1" s="168"/>
      <c r="C1" s="168"/>
      <c r="D1" s="168"/>
      <c r="E1" s="168"/>
      <c r="F1" s="168"/>
      <c r="G1" s="168"/>
    </row>
    <row r="2" spans="1:7" s="1" customFormat="1" ht="13.5">
      <c r="A2" s="169" t="s">
        <v>1</v>
      </c>
      <c r="B2" s="169" t="s">
        <v>38</v>
      </c>
      <c r="C2" s="169" t="s">
        <v>95</v>
      </c>
      <c r="D2" s="169" t="s">
        <v>156</v>
      </c>
      <c r="E2" s="169" t="s">
        <v>70</v>
      </c>
      <c r="F2" s="172" t="s">
        <v>97</v>
      </c>
      <c r="G2" s="173"/>
    </row>
    <row r="3" spans="1:7" s="1" customFormat="1" ht="13.5">
      <c r="A3" s="169"/>
      <c r="B3" s="169"/>
      <c r="C3" s="169"/>
      <c r="D3" s="169"/>
      <c r="E3" s="169"/>
      <c r="F3" s="174"/>
      <c r="G3" s="175"/>
    </row>
    <row r="4" spans="1:7" s="1" customFormat="1" ht="22.5">
      <c r="A4" s="169"/>
      <c r="B4" s="169"/>
      <c r="C4" s="169"/>
      <c r="D4" s="169"/>
      <c r="E4" s="169"/>
      <c r="F4" s="2" t="s">
        <v>98</v>
      </c>
      <c r="G4" s="2" t="s">
        <v>100</v>
      </c>
    </row>
    <row r="5" spans="1:7" s="1" customFormat="1" ht="59.25" customHeight="1">
      <c r="A5" s="3">
        <v>1</v>
      </c>
      <c r="B5" s="4" t="s">
        <v>160</v>
      </c>
      <c r="C5" s="4" t="s">
        <v>231</v>
      </c>
      <c r="D5" s="3" t="s">
        <v>162</v>
      </c>
      <c r="E5" s="3">
        <v>-4</v>
      </c>
      <c r="F5" s="5">
        <f>105*1.2</f>
        <v>126</v>
      </c>
      <c r="G5" s="6">
        <f t="shared" ref="G5:G9" si="0">E5*F5</f>
        <v>-504</v>
      </c>
    </row>
    <row r="6" spans="1:7" s="1" customFormat="1" ht="39.75" customHeight="1">
      <c r="A6" s="3">
        <v>2</v>
      </c>
      <c r="B6" s="4" t="s">
        <v>163</v>
      </c>
      <c r="C6" s="4" t="s">
        <v>232</v>
      </c>
      <c r="D6" s="3" t="s">
        <v>137</v>
      </c>
      <c r="E6" s="3">
        <f>-107.78-5.15-3.75-3.75-5.19</f>
        <v>-125.62</v>
      </c>
      <c r="F6" s="5">
        <f>1.9*1.2</f>
        <v>2.2799999999999998</v>
      </c>
      <c r="G6" s="6">
        <f t="shared" si="0"/>
        <v>-286.41359999999997</v>
      </c>
    </row>
    <row r="7" spans="1:7" s="1" customFormat="1" ht="51.75" customHeight="1">
      <c r="A7" s="3">
        <v>3</v>
      </c>
      <c r="B7" s="4" t="s">
        <v>166</v>
      </c>
      <c r="C7" s="4" t="s">
        <v>233</v>
      </c>
      <c r="D7" s="3" t="s">
        <v>137</v>
      </c>
      <c r="E7" s="3">
        <f>-107.78-5.15-3.75-3.75-5.19</f>
        <v>-125.62</v>
      </c>
      <c r="F7" s="5">
        <f>14.5*1.2</f>
        <v>17.399999999999999</v>
      </c>
      <c r="G7" s="6">
        <f t="shared" si="0"/>
        <v>-2185.788</v>
      </c>
    </row>
    <row r="8" spans="1:7" s="1" customFormat="1" ht="56.25" customHeight="1">
      <c r="A8" s="3">
        <v>4</v>
      </c>
      <c r="B8" s="4" t="s">
        <v>169</v>
      </c>
      <c r="C8" s="4" t="s">
        <v>175</v>
      </c>
      <c r="D8" s="3" t="s">
        <v>171</v>
      </c>
      <c r="E8" s="3">
        <v>-12</v>
      </c>
      <c r="F8" s="3">
        <f>120*1.2</f>
        <v>144</v>
      </c>
      <c r="G8" s="6">
        <f t="shared" si="0"/>
        <v>-1728</v>
      </c>
    </row>
    <row r="9" spans="1:7" s="1" customFormat="1" ht="53.25" customHeight="1">
      <c r="A9" s="3">
        <v>5</v>
      </c>
      <c r="B9" s="4" t="s">
        <v>169</v>
      </c>
      <c r="C9" s="4" t="s">
        <v>176</v>
      </c>
      <c r="D9" s="3" t="s">
        <v>171</v>
      </c>
      <c r="E9" s="3">
        <v>-16</v>
      </c>
      <c r="F9" s="3">
        <f>120*1.2</f>
        <v>144</v>
      </c>
      <c r="G9" s="6">
        <f t="shared" si="0"/>
        <v>-2304</v>
      </c>
    </row>
    <row r="10" spans="1:7" ht="33" customHeight="1">
      <c r="A10" s="7">
        <v>6</v>
      </c>
      <c r="B10" s="200" t="s">
        <v>234</v>
      </c>
      <c r="C10" s="201"/>
      <c r="D10" s="3" t="s">
        <v>221</v>
      </c>
      <c r="E10" s="3"/>
      <c r="F10" s="3"/>
      <c r="G10" s="6">
        <f>SUM(G5:G9)</f>
        <v>-7008.2016000000003</v>
      </c>
    </row>
  </sheetData>
  <mergeCells count="8">
    <mergeCell ref="A1:G1"/>
    <mergeCell ref="B10:C10"/>
    <mergeCell ref="A2:A4"/>
    <mergeCell ref="B2:B4"/>
    <mergeCell ref="C2:C4"/>
    <mergeCell ref="D2:D4"/>
    <mergeCell ref="E2:E4"/>
    <mergeCell ref="F2:G3"/>
  </mergeCells>
  <phoneticPr fontId="6" type="noConversion"/>
  <pageMargins left="0.75" right="0.75" top="1" bottom="1" header="0.5" footer="0.5"/>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S14" sqref="S14"/>
    </sheetView>
  </sheetViews>
  <sheetFormatPr defaultColWidth="9.140625" defaultRowHeight="12.75"/>
  <cols>
    <col min="1" max="1" width="9.140625" style="9"/>
    <col min="2" max="2" width="21" customWidth="1"/>
    <col min="7" max="7" width="13" customWidth="1"/>
  </cols>
  <sheetData>
    <row r="1" spans="1:7" ht="41.1" customHeight="1">
      <c r="A1" s="202" t="s">
        <v>216</v>
      </c>
      <c r="B1" s="203"/>
      <c r="C1" s="203"/>
      <c r="D1" s="203"/>
      <c r="E1" s="203"/>
      <c r="F1" s="203"/>
      <c r="G1" s="203"/>
    </row>
    <row r="2" spans="1:7" s="8" customFormat="1" ht="21" customHeight="1">
      <c r="A2" s="10" t="s">
        <v>1</v>
      </c>
      <c r="B2" s="10" t="s">
        <v>38</v>
      </c>
      <c r="C2" s="10" t="s">
        <v>69</v>
      </c>
      <c r="D2" s="10" t="s">
        <v>217</v>
      </c>
      <c r="E2" s="10" t="s">
        <v>218</v>
      </c>
      <c r="F2" s="10" t="s">
        <v>78</v>
      </c>
      <c r="G2" s="10" t="s">
        <v>6</v>
      </c>
    </row>
    <row r="3" spans="1:7" s="9" customFormat="1" ht="21" customHeight="1">
      <c r="A3" s="11" t="s">
        <v>42</v>
      </c>
      <c r="B3" s="11" t="s">
        <v>219</v>
      </c>
      <c r="C3" s="12"/>
      <c r="D3" s="12"/>
      <c r="E3" s="12"/>
      <c r="F3" s="7">
        <f>F4</f>
        <v>3000</v>
      </c>
      <c r="G3" s="12"/>
    </row>
    <row r="4" spans="1:7" ht="21" customHeight="1">
      <c r="A4" s="12">
        <v>1</v>
      </c>
      <c r="B4" s="13" t="s">
        <v>220</v>
      </c>
      <c r="C4" s="11" t="s">
        <v>221</v>
      </c>
      <c r="D4" s="13"/>
      <c r="E4" s="13"/>
      <c r="F4" s="7">
        <v>3000</v>
      </c>
      <c r="G4" s="13"/>
    </row>
    <row r="5" spans="1:7" ht="21" customHeight="1">
      <c r="A5" s="11" t="s">
        <v>46</v>
      </c>
      <c r="B5" s="14" t="s">
        <v>222</v>
      </c>
      <c r="C5" s="11" t="s">
        <v>221</v>
      </c>
      <c r="D5" s="13"/>
      <c r="E5" s="13"/>
      <c r="F5" s="7">
        <f>F6+F7+F8+F9</f>
        <v>31000</v>
      </c>
      <c r="G5" s="13"/>
    </row>
    <row r="6" spans="1:7" ht="21" customHeight="1">
      <c r="A6" s="12">
        <v>1</v>
      </c>
      <c r="B6" s="15" t="s">
        <v>223</v>
      </c>
      <c r="C6" s="11" t="s">
        <v>221</v>
      </c>
      <c r="D6" s="13"/>
      <c r="E6" s="13"/>
      <c r="F6" s="7">
        <v>20000</v>
      </c>
      <c r="G6" s="14"/>
    </row>
    <row r="7" spans="1:7" ht="21" customHeight="1">
      <c r="A7" s="12">
        <v>2</v>
      </c>
      <c r="B7" s="15" t="s">
        <v>224</v>
      </c>
      <c r="C7" s="11" t="s">
        <v>221</v>
      </c>
      <c r="D7" s="13"/>
      <c r="E7" s="13"/>
      <c r="F7" s="7">
        <v>1000</v>
      </c>
      <c r="G7" s="14"/>
    </row>
    <row r="8" spans="1:7" ht="21" customHeight="1">
      <c r="A8" s="12">
        <v>3</v>
      </c>
      <c r="B8" s="15" t="s">
        <v>224</v>
      </c>
      <c r="C8" s="11" t="s">
        <v>221</v>
      </c>
      <c r="D8" s="13"/>
      <c r="E8" s="13"/>
      <c r="F8" s="7">
        <v>5000</v>
      </c>
      <c r="G8" s="14"/>
    </row>
    <row r="9" spans="1:7" ht="21" customHeight="1">
      <c r="A9" s="12">
        <v>4</v>
      </c>
      <c r="B9" s="15" t="s">
        <v>225</v>
      </c>
      <c r="C9" s="11" t="s">
        <v>221</v>
      </c>
      <c r="D9" s="13"/>
      <c r="E9" s="13"/>
      <c r="F9" s="7">
        <v>5000</v>
      </c>
      <c r="G9" s="14"/>
    </row>
    <row r="10" spans="1:7" ht="21" customHeight="1">
      <c r="A10" s="11" t="s">
        <v>48</v>
      </c>
      <c r="B10" s="14" t="s">
        <v>226</v>
      </c>
      <c r="C10" s="11" t="s">
        <v>75</v>
      </c>
      <c r="D10" s="13"/>
      <c r="E10" s="13"/>
      <c r="F10" s="7">
        <v>5000</v>
      </c>
      <c r="G10" s="14" t="s">
        <v>227</v>
      </c>
    </row>
    <row r="11" spans="1:7" ht="21" customHeight="1">
      <c r="A11" s="11" t="s">
        <v>52</v>
      </c>
      <c r="B11" s="14" t="s">
        <v>228</v>
      </c>
      <c r="C11" s="11" t="s">
        <v>229</v>
      </c>
      <c r="D11" s="13"/>
      <c r="E11" s="13"/>
      <c r="F11" s="7">
        <v>1000</v>
      </c>
      <c r="G11" s="13"/>
    </row>
    <row r="12" spans="1:7" ht="21" customHeight="1">
      <c r="A12" s="11" t="s">
        <v>56</v>
      </c>
      <c r="B12" s="14" t="s">
        <v>78</v>
      </c>
      <c r="C12" s="14" t="s">
        <v>221</v>
      </c>
      <c r="D12" s="13"/>
      <c r="E12" s="13"/>
      <c r="F12" s="7">
        <f>F3+F5+F10+F11</f>
        <v>40000</v>
      </c>
      <c r="G12" s="13"/>
    </row>
  </sheetData>
  <mergeCells count="1">
    <mergeCell ref="A1:G1"/>
  </mergeCells>
  <phoneticPr fontId="6" type="noConversion"/>
  <pageMargins left="0.75" right="0.75" top="1" bottom="1" header="0.5" footer="0.5"/>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tabSelected="1" workbookViewId="0">
      <selection activeCell="G12" sqref="G12"/>
    </sheetView>
  </sheetViews>
  <sheetFormatPr defaultColWidth="9.140625" defaultRowHeight="12.75"/>
  <cols>
    <col min="2" max="2" width="24" customWidth="1"/>
    <col min="4" max="4" width="14" customWidth="1"/>
    <col min="5" max="7" width="13.140625" customWidth="1"/>
    <col min="8" max="8" width="14.140625" customWidth="1"/>
  </cols>
  <sheetData>
    <row r="1" spans="1:8" ht="27.75" customHeight="1">
      <c r="A1" s="204" t="s">
        <v>264</v>
      </c>
      <c r="B1" s="205"/>
      <c r="C1" s="205"/>
      <c r="D1" s="205"/>
      <c r="E1" s="205"/>
      <c r="F1" s="205"/>
      <c r="G1" s="205"/>
      <c r="H1" s="205"/>
    </row>
    <row r="2" spans="1:8" ht="31.5" customHeight="1">
      <c r="A2" s="14" t="s">
        <v>265</v>
      </c>
      <c r="B2" s="14" t="s">
        <v>266</v>
      </c>
      <c r="C2" s="14" t="s">
        <v>267</v>
      </c>
      <c r="D2" s="131" t="s">
        <v>268</v>
      </c>
      <c r="E2" s="131" t="s">
        <v>264</v>
      </c>
      <c r="F2" s="131" t="s">
        <v>280</v>
      </c>
      <c r="G2" s="131" t="s">
        <v>278</v>
      </c>
      <c r="H2" s="131" t="s">
        <v>269</v>
      </c>
    </row>
    <row r="3" spans="1:8" ht="21" customHeight="1">
      <c r="A3" s="13">
        <v>1</v>
      </c>
      <c r="B3" s="14" t="s">
        <v>270</v>
      </c>
      <c r="C3" s="127" t="s">
        <v>273</v>
      </c>
      <c r="D3" s="13">
        <v>1936.62</v>
      </c>
      <c r="E3" s="13"/>
      <c r="F3" s="13"/>
      <c r="G3" s="13"/>
      <c r="H3" s="206" t="s">
        <v>275</v>
      </c>
    </row>
    <row r="4" spans="1:8" ht="21" customHeight="1">
      <c r="A4" s="13">
        <v>2</v>
      </c>
      <c r="B4" s="14" t="s">
        <v>279</v>
      </c>
      <c r="C4" s="127" t="s">
        <v>273</v>
      </c>
      <c r="D4" s="13">
        <f>幕墙!E4+幕墙!E5+幕墙!E6+幕墙!E7+幕墙!E8+幕墙!E9+幕墙!E10+幕墙!E11+幕墙!E12+幕墙!E13+幕墙!E14+幕墙!E16+幕墙!E17+幕墙!E18+幕墙!E26+幕墙!E29</f>
        <v>2857.06</v>
      </c>
      <c r="E4" s="130">
        <f>D4/$D$3</f>
        <v>1.4752816763226653</v>
      </c>
      <c r="F4" s="130">
        <f>幕墙!H4+幕墙!H5+幕墙!H6+幕墙!H7+幕墙!H8+幕墙!H9+幕墙!H10+幕墙!H11+幕墙!H12+幕墙!H13+幕墙!H14+幕墙!H16+幕墙!H17+幕墙!H18+幕墙!H26+幕墙!H29</f>
        <v>1426922.2876002456</v>
      </c>
      <c r="G4" s="208">
        <f>F4/D4</f>
        <v>499.43728434133186</v>
      </c>
      <c r="H4" s="207"/>
    </row>
    <row r="5" spans="1:8" ht="21" customHeight="1">
      <c r="A5" s="13">
        <v>4</v>
      </c>
      <c r="B5" s="14" t="s">
        <v>271</v>
      </c>
      <c r="C5" s="127" t="s">
        <v>273</v>
      </c>
      <c r="D5" s="13">
        <f>幕墙!E15+幕墙!E27+幕墙!E30</f>
        <v>461.30999999999995</v>
      </c>
      <c r="E5" s="130">
        <f t="shared" ref="E5:E7" si="0">D5/$D$3</f>
        <v>0.23820367444310189</v>
      </c>
      <c r="F5" s="130">
        <f>幕墙!H15+幕墙!H27+幕墙!H30</f>
        <v>283534.97397631849</v>
      </c>
      <c r="G5" s="208">
        <f t="shared" ref="G5:G7" si="1">F5/D5</f>
        <v>614.63001880800005</v>
      </c>
      <c r="H5" s="13"/>
    </row>
    <row r="6" spans="1:8" ht="21" customHeight="1">
      <c r="A6" s="13">
        <v>5</v>
      </c>
      <c r="B6" s="14" t="s">
        <v>277</v>
      </c>
      <c r="C6" s="127" t="s">
        <v>276</v>
      </c>
      <c r="D6" s="13">
        <f>幕墙!E26</f>
        <v>267.7</v>
      </c>
      <c r="E6" s="130">
        <f t="shared" si="0"/>
        <v>0.13823052534828723</v>
      </c>
      <c r="F6" s="130">
        <f>幕墙!H26</f>
        <v>25849.428314319997</v>
      </c>
      <c r="G6" s="208">
        <f t="shared" si="1"/>
        <v>96.561181599999998</v>
      </c>
      <c r="H6" s="13"/>
    </row>
    <row r="7" spans="1:8" ht="21" customHeight="1">
      <c r="A7" s="13">
        <v>6</v>
      </c>
      <c r="B7" s="14" t="s">
        <v>272</v>
      </c>
      <c r="C7" s="127" t="s">
        <v>274</v>
      </c>
      <c r="D7" s="13">
        <f>幕墙!E28</f>
        <v>2030.11</v>
      </c>
      <c r="E7" s="130">
        <f t="shared" si="0"/>
        <v>1.0482748293418429</v>
      </c>
      <c r="F7" s="130">
        <f>幕墙!H28</f>
        <v>274963.23051808</v>
      </c>
      <c r="G7" s="208">
        <f t="shared" si="1"/>
        <v>135.44252800000001</v>
      </c>
      <c r="H7" s="13"/>
    </row>
    <row r="8" spans="1:8" ht="21" customHeight="1">
      <c r="A8" s="13"/>
      <c r="B8" s="13"/>
      <c r="C8" s="13"/>
      <c r="D8" s="13"/>
      <c r="E8" s="13"/>
      <c r="F8" s="13"/>
      <c r="G8" s="13"/>
      <c r="H8" s="13"/>
    </row>
  </sheetData>
  <mergeCells count="2">
    <mergeCell ref="A1:H1"/>
    <mergeCell ref="H3:H4"/>
  </mergeCells>
  <phoneticPr fontId="6" type="noConversion"/>
  <pageMargins left="0.75" right="0.75" top="1" bottom="1" header="0.5" footer="0.5"/>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0"/>
  <sheetViews>
    <sheetView workbookViewId="0">
      <selection activeCell="G10" sqref="G10"/>
    </sheetView>
  </sheetViews>
  <sheetFormatPr defaultColWidth="10.28515625" defaultRowHeight="14.25"/>
  <cols>
    <col min="1" max="1" width="12" style="95" customWidth="1"/>
    <col min="2" max="2" width="11.85546875" style="95" customWidth="1"/>
    <col min="3" max="3" width="6.85546875" style="95" customWidth="1"/>
    <col min="4" max="4" width="11.85546875" style="95" customWidth="1"/>
    <col min="5" max="6" width="12.140625" style="95" customWidth="1"/>
    <col min="7" max="7" width="18.85546875" style="95" customWidth="1"/>
    <col min="8" max="10" width="10.28515625" style="95"/>
    <col min="11" max="12" width="13.140625" style="95"/>
    <col min="13" max="16384" width="10.28515625" style="95"/>
  </cols>
  <sheetData>
    <row r="1" spans="1:7" ht="51" customHeight="1">
      <c r="A1" s="141" t="s">
        <v>33</v>
      </c>
      <c r="B1" s="141"/>
      <c r="C1" s="141"/>
      <c r="D1" s="141"/>
      <c r="E1" s="141"/>
      <c r="F1" s="141"/>
      <c r="G1" s="141"/>
    </row>
    <row r="2" spans="1:7" ht="24" customHeight="1">
      <c r="A2" s="142" t="s">
        <v>34</v>
      </c>
      <c r="B2" s="142"/>
      <c r="C2" s="142"/>
      <c r="D2" s="142"/>
      <c r="E2" s="142"/>
      <c r="F2" s="142"/>
      <c r="G2" s="142"/>
    </row>
    <row r="3" spans="1:7" ht="24" customHeight="1">
      <c r="A3" s="143" t="s">
        <v>35</v>
      </c>
      <c r="B3" s="144"/>
      <c r="C3" s="144"/>
      <c r="D3" s="144"/>
      <c r="E3" s="144"/>
      <c r="F3" s="144"/>
      <c r="G3" s="144"/>
    </row>
    <row r="4" spans="1:7" ht="24" customHeight="1">
      <c r="A4" s="144" t="s">
        <v>36</v>
      </c>
      <c r="B4" s="144"/>
      <c r="C4" s="144"/>
      <c r="D4" s="144"/>
      <c r="E4" s="144"/>
      <c r="F4" s="144"/>
      <c r="G4" s="144"/>
    </row>
    <row r="5" spans="1:7" ht="24" customHeight="1">
      <c r="A5" s="144" t="s">
        <v>37</v>
      </c>
      <c r="B5" s="144"/>
      <c r="C5" s="144"/>
      <c r="D5" s="144"/>
      <c r="E5" s="144"/>
      <c r="F5" s="144"/>
      <c r="G5" s="144"/>
    </row>
    <row r="6" spans="1:7" ht="30" customHeight="1">
      <c r="A6" s="96" t="s">
        <v>1</v>
      </c>
      <c r="B6" s="145" t="s">
        <v>38</v>
      </c>
      <c r="C6" s="145"/>
      <c r="D6" s="145"/>
      <c r="E6" s="96" t="s">
        <v>39</v>
      </c>
      <c r="F6" s="96" t="s">
        <v>40</v>
      </c>
      <c r="G6" s="96" t="s">
        <v>41</v>
      </c>
    </row>
    <row r="7" spans="1:7" ht="21.95" customHeight="1">
      <c r="A7" s="96" t="s">
        <v>42</v>
      </c>
      <c r="B7" s="145" t="s">
        <v>43</v>
      </c>
      <c r="C7" s="145"/>
      <c r="D7" s="145"/>
      <c r="E7" s="97"/>
      <c r="F7" s="97"/>
      <c r="G7" s="98">
        <f>SUM(G8:G13)</f>
        <v>2349454.820163683</v>
      </c>
    </row>
    <row r="8" spans="1:7" ht="21.95" customHeight="1">
      <c r="A8" s="96">
        <v>1.1000000000000001</v>
      </c>
      <c r="B8" s="145" t="s">
        <v>44</v>
      </c>
      <c r="C8" s="145"/>
      <c r="D8" s="145"/>
      <c r="E8" s="97"/>
      <c r="F8" s="97"/>
      <c r="G8" s="98">
        <f>结算明细表!F7</f>
        <v>2570000</v>
      </c>
    </row>
    <row r="9" spans="1:7" ht="21.95" customHeight="1">
      <c r="A9" s="96">
        <v>1.2</v>
      </c>
      <c r="B9" s="145" t="str">
        <f>结算明细表!B8</f>
        <v>图纸会审及变更部分</v>
      </c>
      <c r="C9" s="145"/>
      <c r="D9" s="145"/>
      <c r="E9" s="97"/>
      <c r="F9" s="97"/>
      <c r="G9" s="98">
        <f>结算明细表!F8</f>
        <v>-250045.07202589297</v>
      </c>
    </row>
    <row r="10" spans="1:7" ht="21.95" customHeight="1">
      <c r="A10" s="96">
        <v>1.3</v>
      </c>
      <c r="B10" s="146" t="s">
        <v>45</v>
      </c>
      <c r="C10" s="147"/>
      <c r="D10" s="148"/>
      <c r="E10" s="97"/>
      <c r="F10" s="97"/>
      <c r="G10" s="98">
        <f>结算明细表!F9</f>
        <v>-38263.869704864286</v>
      </c>
    </row>
    <row r="11" spans="1:7" ht="21.95" customHeight="1">
      <c r="A11" s="96">
        <v>1.4</v>
      </c>
      <c r="B11" s="149" t="str">
        <f>结算明细表!B10</f>
        <v>现场增加内容</v>
      </c>
      <c r="C11" s="150"/>
      <c r="D11" s="151"/>
      <c r="E11" s="97"/>
      <c r="F11" s="97"/>
      <c r="G11" s="98">
        <f>结算明细表!F10</f>
        <v>114771.9634944399</v>
      </c>
    </row>
    <row r="12" spans="1:7" ht="21.95" customHeight="1">
      <c r="A12" s="96">
        <v>1.5</v>
      </c>
      <c r="B12" s="149" t="s">
        <v>23</v>
      </c>
      <c r="C12" s="150"/>
      <c r="D12" s="151"/>
      <c r="E12" s="97"/>
      <c r="F12" s="97"/>
      <c r="G12" s="98">
        <f>安装部分灯具扣款!G10</f>
        <v>-7008.2016000000003</v>
      </c>
    </row>
    <row r="13" spans="1:7" ht="21.95" customHeight="1">
      <c r="A13" s="96">
        <v>1.6</v>
      </c>
      <c r="B13" s="149" t="str">
        <f>结算明细表!B12</f>
        <v>扣款</v>
      </c>
      <c r="C13" s="150"/>
      <c r="D13" s="151"/>
      <c r="E13" s="97"/>
      <c r="F13" s="97"/>
      <c r="G13" s="98">
        <f>结算明细表!F12</f>
        <v>-40000</v>
      </c>
    </row>
    <row r="14" spans="1:7" ht="21.95" customHeight="1">
      <c r="A14" s="96" t="s">
        <v>46</v>
      </c>
      <c r="B14" s="145" t="s">
        <v>47</v>
      </c>
      <c r="C14" s="145"/>
      <c r="D14" s="145"/>
      <c r="E14" s="145"/>
      <c r="F14" s="145"/>
      <c r="G14" s="98">
        <f>结算明细表!F14-结算明细表!F13</f>
        <v>-454.82016368303448</v>
      </c>
    </row>
    <row r="15" spans="1:7" ht="21.95" customHeight="1">
      <c r="A15" s="155" t="s">
        <v>48</v>
      </c>
      <c r="B15" s="156" t="s">
        <v>49</v>
      </c>
      <c r="C15" s="156"/>
      <c r="D15" s="97" t="s">
        <v>50</v>
      </c>
      <c r="E15" s="152">
        <f>G7+G14</f>
        <v>2349000</v>
      </c>
      <c r="F15" s="152"/>
      <c r="G15" s="152"/>
    </row>
    <row r="16" spans="1:7" ht="21.95" customHeight="1">
      <c r="A16" s="155"/>
      <c r="B16" s="156"/>
      <c r="C16" s="156"/>
      <c r="D16" s="97" t="s">
        <v>51</v>
      </c>
      <c r="E16" s="153">
        <f>E15</f>
        <v>2349000</v>
      </c>
      <c r="F16" s="153"/>
      <c r="G16" s="153"/>
    </row>
    <row r="17" spans="1:7" ht="21.95" customHeight="1">
      <c r="A17" s="96" t="s">
        <v>52</v>
      </c>
      <c r="B17" s="145" t="s">
        <v>53</v>
      </c>
      <c r="C17" s="145"/>
      <c r="D17" s="145"/>
      <c r="E17" s="154">
        <v>0</v>
      </c>
      <c r="F17" s="154"/>
      <c r="G17" s="154"/>
    </row>
    <row r="18" spans="1:7" ht="21.95" customHeight="1">
      <c r="A18" s="96">
        <v>4.0999999999999996</v>
      </c>
      <c r="B18" s="145" t="s">
        <v>54</v>
      </c>
      <c r="C18" s="145"/>
      <c r="D18" s="145"/>
      <c r="E18" s="154">
        <v>0</v>
      </c>
      <c r="F18" s="154"/>
      <c r="G18" s="154"/>
    </row>
    <row r="19" spans="1:7" ht="21.95" customHeight="1">
      <c r="A19" s="96">
        <v>4.2</v>
      </c>
      <c r="B19" s="145" t="s">
        <v>55</v>
      </c>
      <c r="C19" s="145"/>
      <c r="D19" s="145"/>
      <c r="E19" s="154">
        <v>0</v>
      </c>
      <c r="F19" s="154"/>
      <c r="G19" s="154"/>
    </row>
    <row r="20" spans="1:7" ht="21.95" customHeight="1">
      <c r="A20" s="96" t="s">
        <v>56</v>
      </c>
      <c r="B20" s="145" t="s">
        <v>57</v>
      </c>
      <c r="C20" s="145"/>
      <c r="D20" s="145"/>
      <c r="E20" s="154" t="s">
        <v>58</v>
      </c>
      <c r="F20" s="154"/>
      <c r="G20" s="154"/>
    </row>
    <row r="21" spans="1:7" ht="21.95" customHeight="1">
      <c r="A21" s="155" t="s">
        <v>59</v>
      </c>
      <c r="B21" s="145" t="s">
        <v>60</v>
      </c>
      <c r="C21" s="145" t="s">
        <v>50</v>
      </c>
      <c r="D21" s="145"/>
      <c r="E21" s="152">
        <f>E15</f>
        <v>2349000</v>
      </c>
      <c r="F21" s="152"/>
      <c r="G21" s="152"/>
    </row>
    <row r="22" spans="1:7" ht="21.95" customHeight="1">
      <c r="A22" s="155"/>
      <c r="B22" s="145"/>
      <c r="C22" s="145" t="s">
        <v>51</v>
      </c>
      <c r="D22" s="145"/>
      <c r="E22" s="153">
        <f>E16</f>
        <v>2349000</v>
      </c>
      <c r="F22" s="153"/>
      <c r="G22" s="153"/>
    </row>
    <row r="23" spans="1:7" ht="21.95" customHeight="1">
      <c r="A23" s="155" t="s">
        <v>61</v>
      </c>
      <c r="B23" s="145" t="s">
        <v>62</v>
      </c>
      <c r="C23" s="145" t="s">
        <v>50</v>
      </c>
      <c r="D23" s="145"/>
      <c r="E23" s="152">
        <f>E15</f>
        <v>2349000</v>
      </c>
      <c r="F23" s="152"/>
      <c r="G23" s="152"/>
    </row>
    <row r="24" spans="1:7" ht="21.95" customHeight="1">
      <c r="A24" s="155"/>
      <c r="B24" s="145"/>
      <c r="C24" s="145" t="s">
        <v>51</v>
      </c>
      <c r="D24" s="145"/>
      <c r="E24" s="153">
        <f>E16</f>
        <v>2349000</v>
      </c>
      <c r="F24" s="153"/>
      <c r="G24" s="153"/>
    </row>
    <row r="25" spans="1:7">
      <c r="A25" s="99"/>
      <c r="B25" s="99"/>
      <c r="C25" s="99"/>
      <c r="D25" s="99"/>
      <c r="E25" s="99"/>
      <c r="F25" s="99"/>
      <c r="G25" s="99"/>
    </row>
    <row r="26" spans="1:7">
      <c r="A26" s="100" t="s">
        <v>63</v>
      </c>
      <c r="B26" s="100"/>
      <c r="C26" s="100"/>
      <c r="D26" s="100"/>
      <c r="E26" s="100" t="s">
        <v>64</v>
      </c>
      <c r="F26" s="100"/>
      <c r="G26" s="100"/>
    </row>
    <row r="27" spans="1:7">
      <c r="A27" s="101"/>
    </row>
    <row r="28" spans="1:7">
      <c r="A28" s="101"/>
    </row>
    <row r="29" spans="1:7">
      <c r="A29" s="100" t="s">
        <v>65</v>
      </c>
      <c r="B29" s="100"/>
      <c r="C29" s="100"/>
      <c r="D29" s="100"/>
      <c r="E29" s="100" t="s">
        <v>66</v>
      </c>
      <c r="F29" s="100"/>
      <c r="G29" s="100"/>
    </row>
    <row r="30" spans="1:7">
      <c r="A30" s="101"/>
    </row>
  </sheetData>
  <mergeCells count="39">
    <mergeCell ref="A15:A16"/>
    <mergeCell ref="A21:A22"/>
    <mergeCell ref="A23:A24"/>
    <mergeCell ref="B21:B22"/>
    <mergeCell ref="B23:B24"/>
    <mergeCell ref="B15:C16"/>
    <mergeCell ref="C22:D22"/>
    <mergeCell ref="B19:D19"/>
    <mergeCell ref="E22:G22"/>
    <mergeCell ref="C23:D23"/>
    <mergeCell ref="E23:G23"/>
    <mergeCell ref="C24:D24"/>
    <mergeCell ref="E24:G24"/>
    <mergeCell ref="E19:G19"/>
    <mergeCell ref="B20:D20"/>
    <mergeCell ref="E20:G20"/>
    <mergeCell ref="C21:D21"/>
    <mergeCell ref="E21:G21"/>
    <mergeCell ref="E15:G15"/>
    <mergeCell ref="E16:G16"/>
    <mergeCell ref="B17:D17"/>
    <mergeCell ref="E17:G17"/>
    <mergeCell ref="B18:D18"/>
    <mergeCell ref="E18:G18"/>
    <mergeCell ref="B11:D11"/>
    <mergeCell ref="B12:D12"/>
    <mergeCell ref="B13:D13"/>
    <mergeCell ref="B14:D14"/>
    <mergeCell ref="E14:F14"/>
    <mergeCell ref="B6:D6"/>
    <mergeCell ref="B7:D7"/>
    <mergeCell ref="B8:D8"/>
    <mergeCell ref="B9:D9"/>
    <mergeCell ref="B10:D10"/>
    <mergeCell ref="A1:G1"/>
    <mergeCell ref="A2:G2"/>
    <mergeCell ref="A3:G3"/>
    <mergeCell ref="A4:G4"/>
    <mergeCell ref="A5:G5"/>
  </mergeCells>
  <phoneticPr fontId="6" type="noConversion"/>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7"/>
  <sheetViews>
    <sheetView workbookViewId="0">
      <selection activeCell="H15" sqref="H15"/>
    </sheetView>
  </sheetViews>
  <sheetFormatPr defaultColWidth="10.28515625" defaultRowHeight="13.5"/>
  <cols>
    <col min="1" max="1" width="6.85546875" style="81" customWidth="1"/>
    <col min="2" max="2" width="20.42578125" style="81" customWidth="1"/>
    <col min="3" max="3" width="6.7109375" style="81" customWidth="1"/>
    <col min="4" max="4" width="6.5703125" style="81" customWidth="1"/>
    <col min="5" max="5" width="15.140625" style="81" customWidth="1"/>
    <col min="6" max="6" width="17.7109375" style="81" customWidth="1"/>
    <col min="7" max="7" width="13.85546875" style="81" customWidth="1"/>
    <col min="8" max="9" width="14.42578125" style="81"/>
    <col min="10" max="16384" width="10.28515625" style="81"/>
  </cols>
  <sheetData>
    <row r="1" spans="1:7" ht="62.1" customHeight="1">
      <c r="A1" s="157" t="s">
        <v>67</v>
      </c>
      <c r="B1" s="157"/>
      <c r="C1" s="157"/>
      <c r="D1" s="157"/>
      <c r="E1" s="157"/>
      <c r="F1" s="157"/>
      <c r="G1" s="157"/>
    </row>
    <row r="2" spans="1:7" ht="27" customHeight="1">
      <c r="A2" s="82" t="s">
        <v>1</v>
      </c>
      <c r="B2" s="82" t="s">
        <v>68</v>
      </c>
      <c r="C2" s="82" t="s">
        <v>69</v>
      </c>
      <c r="D2" s="82" t="s">
        <v>70</v>
      </c>
      <c r="E2" s="82" t="s">
        <v>71</v>
      </c>
      <c r="F2" s="82" t="s">
        <v>72</v>
      </c>
      <c r="G2" s="82" t="s">
        <v>6</v>
      </c>
    </row>
    <row r="3" spans="1:7" ht="27" customHeight="1">
      <c r="A3" s="83" t="s">
        <v>42</v>
      </c>
      <c r="B3" s="84" t="s">
        <v>73</v>
      </c>
      <c r="C3" s="85"/>
      <c r="D3" s="85"/>
      <c r="E3" s="85"/>
      <c r="F3" s="86"/>
      <c r="G3" s="85"/>
    </row>
    <row r="4" spans="1:7" ht="26.1" customHeight="1">
      <c r="A4" s="83">
        <v>1</v>
      </c>
      <c r="B4" s="87" t="s">
        <v>74</v>
      </c>
      <c r="C4" s="88" t="s">
        <v>75</v>
      </c>
      <c r="D4" s="88">
        <v>1</v>
      </c>
      <c r="E4" s="88">
        <v>2503020.19</v>
      </c>
      <c r="F4" s="89">
        <f>E4*D4</f>
        <v>2503020.19</v>
      </c>
      <c r="G4" s="158" t="s">
        <v>76</v>
      </c>
    </row>
    <row r="5" spans="1:7" ht="26.1" customHeight="1">
      <c r="A5" s="83">
        <v>2</v>
      </c>
      <c r="B5" s="87" t="s">
        <v>77</v>
      </c>
      <c r="C5" s="88" t="s">
        <v>75</v>
      </c>
      <c r="D5" s="88">
        <v>1</v>
      </c>
      <c r="E5" s="88">
        <v>71888.14</v>
      </c>
      <c r="F5" s="89">
        <f>E5*D5</f>
        <v>71888.14</v>
      </c>
      <c r="G5" s="159"/>
    </row>
    <row r="6" spans="1:7" ht="26.1" customHeight="1">
      <c r="A6" s="83">
        <v>3</v>
      </c>
      <c r="B6" s="87" t="s">
        <v>78</v>
      </c>
      <c r="C6" s="88" t="s">
        <v>75</v>
      </c>
      <c r="D6" s="88">
        <v>1</v>
      </c>
      <c r="E6" s="88"/>
      <c r="F6" s="89">
        <f>SUM(F4:F5)</f>
        <v>2574908.33</v>
      </c>
      <c r="G6" s="159"/>
    </row>
    <row r="7" spans="1:7" ht="26.1" customHeight="1">
      <c r="A7" s="83">
        <v>4</v>
      </c>
      <c r="B7" s="87" t="s">
        <v>79</v>
      </c>
      <c r="C7" s="88" t="s">
        <v>75</v>
      </c>
      <c r="D7" s="88">
        <v>1</v>
      </c>
      <c r="E7" s="88"/>
      <c r="F7" s="89">
        <v>2570000</v>
      </c>
      <c r="G7" s="160"/>
    </row>
    <row r="8" spans="1:7" ht="29.1" customHeight="1">
      <c r="A8" s="85" t="s">
        <v>46</v>
      </c>
      <c r="B8" s="84" t="s">
        <v>80</v>
      </c>
      <c r="C8" s="85" t="s">
        <v>75</v>
      </c>
      <c r="D8" s="85">
        <v>1</v>
      </c>
      <c r="E8" s="86"/>
      <c r="F8" s="86">
        <f>图纸会审及设计变更!H17</f>
        <v>-250045.07202589297</v>
      </c>
      <c r="G8" s="84"/>
    </row>
    <row r="9" spans="1:7" ht="29.1" customHeight="1">
      <c r="A9" s="85" t="s">
        <v>48</v>
      </c>
      <c r="B9" s="84" t="s">
        <v>45</v>
      </c>
      <c r="C9" s="85" t="s">
        <v>75</v>
      </c>
      <c r="D9" s="85">
        <v>1</v>
      </c>
      <c r="E9" s="86"/>
      <c r="F9" s="86">
        <f>与图纸不一致的地方!H26</f>
        <v>-38263.869704864286</v>
      </c>
      <c r="G9" s="84"/>
    </row>
    <row r="10" spans="1:7" ht="27.95" customHeight="1">
      <c r="A10" s="85" t="s">
        <v>52</v>
      </c>
      <c r="B10" s="84" t="s">
        <v>81</v>
      </c>
      <c r="C10" s="85" t="s">
        <v>75</v>
      </c>
      <c r="D10" s="85">
        <v>1</v>
      </c>
      <c r="E10" s="85"/>
      <c r="F10" s="86">
        <f>现场新增加部分!H11</f>
        <v>114771.9634944399</v>
      </c>
      <c r="G10" s="84"/>
    </row>
    <row r="11" spans="1:7" ht="27.95" customHeight="1">
      <c r="A11" s="85" t="s">
        <v>56</v>
      </c>
      <c r="B11" s="84" t="s">
        <v>23</v>
      </c>
      <c r="C11" s="85" t="s">
        <v>75</v>
      </c>
      <c r="D11" s="85"/>
      <c r="E11" s="85"/>
      <c r="F11" s="90">
        <f>安装部分灯具扣款!G10</f>
        <v>-7008.2016000000003</v>
      </c>
      <c r="G11" s="84"/>
    </row>
    <row r="12" spans="1:7" ht="24" customHeight="1">
      <c r="A12" s="83" t="s">
        <v>59</v>
      </c>
      <c r="B12" s="91" t="s">
        <v>82</v>
      </c>
      <c r="C12" s="88"/>
      <c r="D12" s="92"/>
      <c r="E12" s="92"/>
      <c r="F12" s="82">
        <f>-扣款!F12</f>
        <v>-40000</v>
      </c>
      <c r="G12" s="93"/>
    </row>
    <row r="13" spans="1:7" ht="21.95" customHeight="1">
      <c r="A13" s="83" t="s">
        <v>61</v>
      </c>
      <c r="B13" s="83" t="s">
        <v>78</v>
      </c>
      <c r="C13" s="88"/>
      <c r="D13" s="88"/>
      <c r="E13" s="88"/>
      <c r="F13" s="89">
        <f>SUM(F7:F12)</f>
        <v>2349454.820163683</v>
      </c>
      <c r="G13" s="88"/>
    </row>
    <row r="14" spans="1:7" ht="21.95" customHeight="1">
      <c r="A14" s="83" t="s">
        <v>83</v>
      </c>
      <c r="B14" s="88" t="s">
        <v>84</v>
      </c>
      <c r="C14" s="88"/>
      <c r="D14" s="88"/>
      <c r="E14" s="88"/>
      <c r="F14" s="94">
        <v>2349000</v>
      </c>
      <c r="G14" s="88"/>
    </row>
    <row r="15" spans="1:7" ht="24.95" customHeight="1">
      <c r="B15" s="81" t="s">
        <v>85</v>
      </c>
      <c r="E15" s="81" t="s">
        <v>86</v>
      </c>
    </row>
    <row r="16" spans="1:7" ht="24.95" customHeight="1">
      <c r="B16" s="81" t="s">
        <v>87</v>
      </c>
      <c r="E16" s="81" t="s">
        <v>87</v>
      </c>
    </row>
    <row r="17" ht="24.95" customHeight="1"/>
  </sheetData>
  <mergeCells count="2">
    <mergeCell ref="A1:G1"/>
    <mergeCell ref="G4:G7"/>
  </mergeCells>
  <phoneticPr fontId="6"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F11" sqref="F11"/>
    </sheetView>
  </sheetViews>
  <sheetFormatPr defaultColWidth="9.140625" defaultRowHeight="12.75"/>
  <cols>
    <col min="1" max="1" width="9.140625" style="74"/>
    <col min="2" max="2" width="30.140625" style="74" customWidth="1"/>
    <col min="3" max="3" width="24.85546875" style="74" customWidth="1"/>
    <col min="4" max="4" width="13" style="74" customWidth="1"/>
    <col min="5" max="16384" width="9.140625" style="74"/>
  </cols>
  <sheetData>
    <row r="1" spans="1:4" ht="56.1" customHeight="1">
      <c r="A1" s="161" t="s">
        <v>88</v>
      </c>
      <c r="B1" s="161"/>
      <c r="C1" s="161"/>
      <c r="D1" s="161"/>
    </row>
    <row r="2" spans="1:4" ht="33" customHeight="1">
      <c r="A2" s="75" t="s">
        <v>1</v>
      </c>
      <c r="B2" s="75" t="s">
        <v>89</v>
      </c>
      <c r="C2" s="75" t="s">
        <v>90</v>
      </c>
      <c r="D2" s="76"/>
    </row>
    <row r="3" spans="1:4" ht="53.1" customHeight="1">
      <c r="A3" s="77">
        <v>1</v>
      </c>
      <c r="B3" s="78" t="s">
        <v>91</v>
      </c>
      <c r="C3" s="79">
        <f>[1]中浩德栾川售楼部幕墙!H36</f>
        <v>2503020.1943329098</v>
      </c>
      <c r="D3" s="80"/>
    </row>
    <row r="4" spans="1:4" ht="53.1" customHeight="1">
      <c r="A4" s="77">
        <v>2</v>
      </c>
      <c r="B4" s="78" t="s">
        <v>92</v>
      </c>
      <c r="C4" s="79">
        <f>[1]栾川山水文苑售房部亮化工程量清单!G18</f>
        <v>71888.143200000006</v>
      </c>
      <c r="D4" s="80"/>
    </row>
    <row r="5" spans="1:4" ht="53.1" customHeight="1">
      <c r="A5" s="77" t="s">
        <v>42</v>
      </c>
      <c r="B5" s="78" t="s">
        <v>78</v>
      </c>
      <c r="C5" s="79">
        <f>SUM(C3:C4)</f>
        <v>2574908.3375329096</v>
      </c>
      <c r="D5" s="80"/>
    </row>
    <row r="6" spans="1:4" ht="53.1" customHeight="1">
      <c r="A6" s="77" t="s">
        <v>46</v>
      </c>
      <c r="B6" s="78" t="s">
        <v>93</v>
      </c>
      <c r="C6" s="79">
        <v>2570000</v>
      </c>
      <c r="D6" s="80"/>
    </row>
  </sheetData>
  <mergeCells count="1">
    <mergeCell ref="A1:D1"/>
  </mergeCells>
  <phoneticPr fontId="6"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36"/>
  <sheetViews>
    <sheetView zoomScale="120" zoomScaleNormal="120" workbookViewId="0">
      <selection activeCell="E15" sqref="E15:E30"/>
    </sheetView>
  </sheetViews>
  <sheetFormatPr defaultColWidth="9.140625" defaultRowHeight="12.75"/>
  <cols>
    <col min="1" max="1" width="5.5703125" style="68" customWidth="1"/>
    <col min="2" max="2" width="6.85546875" style="68" customWidth="1"/>
    <col min="3" max="3" width="39.85546875" style="68" customWidth="1"/>
    <col min="4" max="4" width="7" style="68" customWidth="1"/>
    <col min="5" max="5" width="7.7109375" style="71" customWidth="1"/>
    <col min="6" max="6" width="10.7109375" style="68" customWidth="1"/>
    <col min="7" max="7" width="8.5703125" style="68" customWidth="1"/>
    <col min="8" max="8" width="11" style="68" customWidth="1"/>
    <col min="9" max="16384" width="9.140625" style="68"/>
  </cols>
  <sheetData>
    <row r="1" spans="1:8" ht="30" customHeight="1">
      <c r="A1" s="162" t="s">
        <v>94</v>
      </c>
      <c r="B1" s="163"/>
      <c r="C1" s="163"/>
      <c r="D1" s="163"/>
      <c r="E1" s="163"/>
      <c r="F1" s="163"/>
      <c r="G1" s="163"/>
      <c r="H1" s="163"/>
    </row>
    <row r="2" spans="1:8" ht="29.1" customHeight="1">
      <c r="A2" s="167" t="s">
        <v>1</v>
      </c>
      <c r="B2" s="167" t="s">
        <v>38</v>
      </c>
      <c r="C2" s="167" t="s">
        <v>95</v>
      </c>
      <c r="D2" s="167" t="s">
        <v>96</v>
      </c>
      <c r="E2" s="167" t="s">
        <v>70</v>
      </c>
      <c r="F2" s="164" t="s">
        <v>97</v>
      </c>
      <c r="G2" s="164"/>
      <c r="H2" s="164"/>
    </row>
    <row r="3" spans="1:8" s="69" customFormat="1" ht="29.1" customHeight="1">
      <c r="A3" s="167"/>
      <c r="B3" s="167"/>
      <c r="C3" s="167"/>
      <c r="D3" s="167"/>
      <c r="E3" s="167"/>
      <c r="F3" s="33" t="s">
        <v>98</v>
      </c>
      <c r="G3" s="34" t="s">
        <v>99</v>
      </c>
      <c r="H3" s="34" t="s">
        <v>100</v>
      </c>
    </row>
    <row r="4" spans="1:8" ht="66" hidden="1" customHeight="1">
      <c r="A4" s="41">
        <v>1</v>
      </c>
      <c r="B4" s="47" t="s">
        <v>101</v>
      </c>
      <c r="C4" s="40" t="s">
        <v>102</v>
      </c>
      <c r="D4" s="41" t="s">
        <v>103</v>
      </c>
      <c r="E4" s="132">
        <v>22.04</v>
      </c>
      <c r="F4" s="43">
        <v>819.42122283840001</v>
      </c>
      <c r="G4" s="43">
        <v>455.41</v>
      </c>
      <c r="H4" s="44">
        <f t="shared" ref="H4:H35" si="0">F4*E4</f>
        <v>18060.043751358335</v>
      </c>
    </row>
    <row r="5" spans="1:8" ht="54.75" hidden="1" customHeight="1">
      <c r="A5" s="41">
        <v>2</v>
      </c>
      <c r="B5" s="47" t="s">
        <v>101</v>
      </c>
      <c r="C5" s="40" t="s">
        <v>104</v>
      </c>
      <c r="D5" s="41" t="s">
        <v>103</v>
      </c>
      <c r="E5" s="132">
        <v>68.400000000000006</v>
      </c>
      <c r="F5" s="43">
        <v>719.71917571840004</v>
      </c>
      <c r="G5" s="43">
        <v>337.28</v>
      </c>
      <c r="H5" s="44">
        <f t="shared" si="0"/>
        <v>49228.791619138567</v>
      </c>
    </row>
    <row r="6" spans="1:8" s="70" customFormat="1" ht="73.5" hidden="1">
      <c r="A6" s="41">
        <v>3</v>
      </c>
      <c r="B6" s="47" t="s">
        <v>101</v>
      </c>
      <c r="C6" s="40" t="s">
        <v>105</v>
      </c>
      <c r="D6" s="41" t="s">
        <v>103</v>
      </c>
      <c r="E6" s="132">
        <v>49.92</v>
      </c>
      <c r="F6" s="43">
        <v>1061.9567565984</v>
      </c>
      <c r="G6" s="43">
        <v>630.39</v>
      </c>
      <c r="H6" s="44">
        <f t="shared" si="0"/>
        <v>53012.881289392135</v>
      </c>
    </row>
    <row r="7" spans="1:8" s="70" customFormat="1" ht="87.95" hidden="1" customHeight="1">
      <c r="A7" s="41">
        <v>4</v>
      </c>
      <c r="B7" s="47" t="s">
        <v>101</v>
      </c>
      <c r="C7" s="40" t="s">
        <v>106</v>
      </c>
      <c r="D7" s="41" t="s">
        <v>103</v>
      </c>
      <c r="E7" s="132">
        <v>26.4</v>
      </c>
      <c r="F7" s="43">
        <v>685.87021979839994</v>
      </c>
      <c r="G7" s="43">
        <v>685.87021979839994</v>
      </c>
      <c r="H7" s="44">
        <f t="shared" si="0"/>
        <v>18106.973802677756</v>
      </c>
    </row>
    <row r="8" spans="1:8" s="70" customFormat="1" ht="105" hidden="1" customHeight="1">
      <c r="A8" s="41">
        <v>5</v>
      </c>
      <c r="B8" s="47" t="s">
        <v>107</v>
      </c>
      <c r="C8" s="40" t="s">
        <v>108</v>
      </c>
      <c r="D8" s="41" t="s">
        <v>103</v>
      </c>
      <c r="E8" s="132">
        <v>39</v>
      </c>
      <c r="F8" s="43">
        <v>493.30270392</v>
      </c>
      <c r="G8" s="43">
        <v>279.49</v>
      </c>
      <c r="H8" s="44">
        <f t="shared" si="0"/>
        <v>19238.805452879998</v>
      </c>
    </row>
    <row r="9" spans="1:8" ht="95.1" hidden="1" customHeight="1">
      <c r="A9" s="41">
        <v>6</v>
      </c>
      <c r="B9" s="47" t="s">
        <v>107</v>
      </c>
      <c r="C9" s="40" t="s">
        <v>109</v>
      </c>
      <c r="D9" s="41" t="s">
        <v>103</v>
      </c>
      <c r="E9" s="132">
        <v>166.72</v>
      </c>
      <c r="F9" s="43">
        <v>535.61681783999995</v>
      </c>
      <c r="G9" s="43">
        <v>315.73</v>
      </c>
      <c r="H9" s="44">
        <f t="shared" si="0"/>
        <v>89298.035870284788</v>
      </c>
    </row>
    <row r="10" spans="1:8" ht="98.1" hidden="1" customHeight="1">
      <c r="A10" s="41">
        <v>7</v>
      </c>
      <c r="B10" s="47" t="s">
        <v>107</v>
      </c>
      <c r="C10" s="40" t="s">
        <v>110</v>
      </c>
      <c r="D10" s="41" t="s">
        <v>103</v>
      </c>
      <c r="E10" s="132">
        <v>39.08</v>
      </c>
      <c r="F10" s="43">
        <v>666.59908327999995</v>
      </c>
      <c r="G10" s="43">
        <v>420.91</v>
      </c>
      <c r="H10" s="44">
        <f t="shared" si="0"/>
        <v>26050.692174582397</v>
      </c>
    </row>
    <row r="11" spans="1:8" ht="98.1" hidden="1" customHeight="1">
      <c r="A11" s="41">
        <v>8</v>
      </c>
      <c r="B11" s="47" t="s">
        <v>107</v>
      </c>
      <c r="C11" s="40" t="s">
        <v>111</v>
      </c>
      <c r="D11" s="41" t="s">
        <v>103</v>
      </c>
      <c r="E11" s="132">
        <v>50.59</v>
      </c>
      <c r="F11" s="43">
        <v>971.81181447999995</v>
      </c>
      <c r="G11" s="43">
        <v>682.31</v>
      </c>
      <c r="H11" s="44">
        <f t="shared" si="0"/>
        <v>49163.959694543199</v>
      </c>
    </row>
    <row r="12" spans="1:8" ht="39" hidden="1" customHeight="1">
      <c r="A12" s="41">
        <v>9</v>
      </c>
      <c r="B12" s="47" t="s">
        <v>112</v>
      </c>
      <c r="C12" s="40" t="s">
        <v>113</v>
      </c>
      <c r="D12" s="41" t="s">
        <v>103</v>
      </c>
      <c r="E12" s="132">
        <v>20.11</v>
      </c>
      <c r="F12" s="43">
        <v>338.60631999999998</v>
      </c>
      <c r="G12" s="43">
        <v>250</v>
      </c>
      <c r="H12" s="44">
        <f t="shared" si="0"/>
        <v>6809.3730951999996</v>
      </c>
    </row>
    <row r="13" spans="1:8" ht="77.099999999999994" hidden="1" customHeight="1">
      <c r="A13" s="41">
        <v>10</v>
      </c>
      <c r="B13" s="47" t="s">
        <v>114</v>
      </c>
      <c r="C13" s="40" t="s">
        <v>115</v>
      </c>
      <c r="D13" s="41" t="s">
        <v>103</v>
      </c>
      <c r="E13" s="132">
        <v>163.28</v>
      </c>
      <c r="F13" s="43">
        <v>943.54962931839998</v>
      </c>
      <c r="G13" s="43">
        <v>591.72</v>
      </c>
      <c r="H13" s="44">
        <f t="shared" si="0"/>
        <v>154062.78347510836</v>
      </c>
    </row>
    <row r="14" spans="1:8" ht="77.099999999999994" hidden="1" customHeight="1">
      <c r="A14" s="41">
        <v>11</v>
      </c>
      <c r="B14" s="47" t="s">
        <v>114</v>
      </c>
      <c r="C14" s="40" t="s">
        <v>116</v>
      </c>
      <c r="D14" s="41" t="s">
        <v>103</v>
      </c>
      <c r="E14" s="132">
        <v>203.65</v>
      </c>
      <c r="F14" s="43">
        <v>909.02346075840001</v>
      </c>
      <c r="G14" s="43">
        <v>562.15</v>
      </c>
      <c r="H14" s="44">
        <f t="shared" si="0"/>
        <v>185122.62778344817</v>
      </c>
    </row>
    <row r="15" spans="1:8" ht="87" customHeight="1">
      <c r="A15" s="41">
        <v>12</v>
      </c>
      <c r="B15" s="47" t="s">
        <v>117</v>
      </c>
      <c r="C15" s="40" t="s">
        <v>118</v>
      </c>
      <c r="D15" s="41" t="s">
        <v>103</v>
      </c>
      <c r="E15" s="129">
        <v>301.89999999999998</v>
      </c>
      <c r="F15" s="43">
        <v>614.63001880800005</v>
      </c>
      <c r="G15" s="43">
        <v>333.87599999999998</v>
      </c>
      <c r="H15" s="44">
        <f t="shared" si="0"/>
        <v>185556.80267813519</v>
      </c>
    </row>
    <row r="16" spans="1:8" ht="72.95" hidden="1" customHeight="1">
      <c r="A16" s="41">
        <v>13</v>
      </c>
      <c r="B16" s="47" t="s">
        <v>119</v>
      </c>
      <c r="C16" s="40" t="s">
        <v>120</v>
      </c>
      <c r="D16" s="41" t="s">
        <v>103</v>
      </c>
      <c r="E16" s="133">
        <v>277.39999999999998</v>
      </c>
      <c r="F16" s="43">
        <v>429.44622240000001</v>
      </c>
      <c r="G16" s="43">
        <v>271.8</v>
      </c>
      <c r="H16" s="44">
        <f t="shared" si="0"/>
        <v>119128.38209376</v>
      </c>
    </row>
    <row r="17" spans="1:8" ht="72.599999999999994" hidden="1" customHeight="1">
      <c r="A17" s="41">
        <v>14</v>
      </c>
      <c r="B17" s="47" t="s">
        <v>119</v>
      </c>
      <c r="C17" s="40" t="s">
        <v>121</v>
      </c>
      <c r="D17" s="41" t="s">
        <v>103</v>
      </c>
      <c r="E17" s="133">
        <v>1161.7</v>
      </c>
      <c r="F17" s="43">
        <v>407.79877008</v>
      </c>
      <c r="G17" s="43">
        <v>253.26</v>
      </c>
      <c r="H17" s="44">
        <f t="shared" si="0"/>
        <v>473739.831201936</v>
      </c>
    </row>
    <row r="18" spans="1:8" ht="51.4" hidden="1" customHeight="1">
      <c r="A18" s="41">
        <v>15</v>
      </c>
      <c r="B18" s="47" t="s">
        <v>119</v>
      </c>
      <c r="C18" s="40" t="s">
        <v>122</v>
      </c>
      <c r="D18" s="41" t="s">
        <v>103</v>
      </c>
      <c r="E18" s="133">
        <v>196.67</v>
      </c>
      <c r="F18" s="43">
        <v>429.44622240000001</v>
      </c>
      <c r="G18" s="43">
        <v>271.8</v>
      </c>
      <c r="H18" s="44">
        <f t="shared" si="0"/>
        <v>84459.188559407994</v>
      </c>
    </row>
    <row r="19" spans="1:8" ht="51.4" hidden="1" customHeight="1">
      <c r="A19" s="41">
        <v>16</v>
      </c>
      <c r="B19" s="47" t="s">
        <v>123</v>
      </c>
      <c r="C19" s="40" t="s">
        <v>124</v>
      </c>
      <c r="D19" s="41" t="s">
        <v>125</v>
      </c>
      <c r="E19" s="46">
        <v>0.57899999999999996</v>
      </c>
      <c r="F19" s="43">
        <v>8413.1994439999999</v>
      </c>
      <c r="G19" s="43">
        <v>4500</v>
      </c>
      <c r="H19" s="44">
        <f t="shared" si="0"/>
        <v>4871.2424780759993</v>
      </c>
    </row>
    <row r="20" spans="1:8" ht="51.4" hidden="1" customHeight="1">
      <c r="A20" s="41">
        <v>17</v>
      </c>
      <c r="B20" s="47" t="s">
        <v>123</v>
      </c>
      <c r="C20" s="40" t="s">
        <v>126</v>
      </c>
      <c r="D20" s="41" t="s">
        <v>125</v>
      </c>
      <c r="E20" s="46">
        <v>0.26700000000000002</v>
      </c>
      <c r="F20" s="43">
        <v>8413.1994439999999</v>
      </c>
      <c r="G20" s="43">
        <v>4500</v>
      </c>
      <c r="H20" s="44">
        <f t="shared" si="0"/>
        <v>2246.3242515480001</v>
      </c>
    </row>
    <row r="21" spans="1:8" ht="51.4" hidden="1" customHeight="1">
      <c r="A21" s="41">
        <v>18</v>
      </c>
      <c r="B21" s="47" t="s">
        <v>127</v>
      </c>
      <c r="C21" s="40" t="s">
        <v>128</v>
      </c>
      <c r="D21" s="41" t="s">
        <v>125</v>
      </c>
      <c r="E21" s="46">
        <v>27.913</v>
      </c>
      <c r="F21" s="43">
        <v>8413.1994439999999</v>
      </c>
      <c r="G21" s="43">
        <v>4500</v>
      </c>
      <c r="H21" s="44">
        <f t="shared" si="0"/>
        <v>234837.636080372</v>
      </c>
    </row>
    <row r="22" spans="1:8" ht="51.4" hidden="1" customHeight="1">
      <c r="A22" s="41">
        <v>19</v>
      </c>
      <c r="B22" s="47" t="s">
        <v>129</v>
      </c>
      <c r="C22" s="40" t="s">
        <v>130</v>
      </c>
      <c r="D22" s="41" t="s">
        <v>125</v>
      </c>
      <c r="E22" s="46">
        <v>12.709</v>
      </c>
      <c r="F22" s="43">
        <v>8413.1994439999999</v>
      </c>
      <c r="G22" s="43">
        <v>4500</v>
      </c>
      <c r="H22" s="44">
        <f t="shared" si="0"/>
        <v>106923.35173379599</v>
      </c>
    </row>
    <row r="23" spans="1:8" ht="51.4" hidden="1" customHeight="1">
      <c r="A23" s="41">
        <v>20</v>
      </c>
      <c r="B23" s="47" t="s">
        <v>131</v>
      </c>
      <c r="C23" s="40" t="s">
        <v>132</v>
      </c>
      <c r="D23" s="41" t="s">
        <v>125</v>
      </c>
      <c r="E23" s="42">
        <v>6.6459999999999999</v>
      </c>
      <c r="F23" s="43">
        <v>8413.1994439999999</v>
      </c>
      <c r="G23" s="43">
        <v>4500</v>
      </c>
      <c r="H23" s="44">
        <f t="shared" si="0"/>
        <v>55914.123504823998</v>
      </c>
    </row>
    <row r="24" spans="1:8" ht="51.4" hidden="1" customHeight="1">
      <c r="A24" s="41">
        <v>21</v>
      </c>
      <c r="B24" s="47" t="s">
        <v>133</v>
      </c>
      <c r="C24" s="40" t="s">
        <v>134</v>
      </c>
      <c r="D24" s="41" t="s">
        <v>125</v>
      </c>
      <c r="E24" s="42">
        <v>0.68500000000000005</v>
      </c>
      <c r="F24" s="43">
        <v>8413.1994439999999</v>
      </c>
      <c r="G24" s="43">
        <v>4500</v>
      </c>
      <c r="H24" s="44">
        <f t="shared" si="0"/>
        <v>5763.04161914</v>
      </c>
    </row>
    <row r="25" spans="1:8" ht="81.95" hidden="1" customHeight="1">
      <c r="A25" s="41">
        <v>22</v>
      </c>
      <c r="B25" s="47" t="s">
        <v>135</v>
      </c>
      <c r="C25" s="40" t="s">
        <v>136</v>
      </c>
      <c r="D25" s="41" t="s">
        <v>137</v>
      </c>
      <c r="E25" s="42">
        <v>105</v>
      </c>
      <c r="F25" s="43">
        <v>510.82850000000002</v>
      </c>
      <c r="G25" s="43">
        <v>309.5</v>
      </c>
      <c r="H25" s="44">
        <f t="shared" si="0"/>
        <v>53636.9925</v>
      </c>
    </row>
    <row r="26" spans="1:8" ht="51.4" hidden="1" customHeight="1">
      <c r="A26" s="41">
        <v>23</v>
      </c>
      <c r="B26" s="47" t="s">
        <v>138</v>
      </c>
      <c r="C26" s="40" t="s">
        <v>139</v>
      </c>
      <c r="D26" s="41" t="s">
        <v>103</v>
      </c>
      <c r="E26" s="133">
        <v>267.7</v>
      </c>
      <c r="F26" s="43">
        <v>96.561181599999998</v>
      </c>
      <c r="G26" s="43">
        <v>55.7</v>
      </c>
      <c r="H26" s="44">
        <f t="shared" si="0"/>
        <v>25849.428314319997</v>
      </c>
    </row>
    <row r="27" spans="1:8" ht="51.4" customHeight="1">
      <c r="A27" s="41">
        <v>24</v>
      </c>
      <c r="B27" s="47" t="s">
        <v>117</v>
      </c>
      <c r="C27" s="40" t="s">
        <v>140</v>
      </c>
      <c r="D27" s="41" t="s">
        <v>103</v>
      </c>
      <c r="E27" s="128">
        <v>132.29</v>
      </c>
      <c r="F27" s="43">
        <v>614.63001880800005</v>
      </c>
      <c r="G27" s="43">
        <v>333.87599999999998</v>
      </c>
      <c r="H27" s="44">
        <f t="shared" si="0"/>
        <v>81309.405188110322</v>
      </c>
    </row>
    <row r="28" spans="1:8" ht="48.95" hidden="1" customHeight="1">
      <c r="A28" s="41">
        <v>25</v>
      </c>
      <c r="B28" s="47" t="s">
        <v>141</v>
      </c>
      <c r="C28" s="40" t="s">
        <v>142</v>
      </c>
      <c r="D28" s="41" t="s">
        <v>137</v>
      </c>
      <c r="E28" s="46">
        <v>2030.11</v>
      </c>
      <c r="F28" s="43">
        <v>135.44252800000001</v>
      </c>
      <c r="G28" s="43">
        <v>100</v>
      </c>
      <c r="H28" s="44">
        <f t="shared" si="0"/>
        <v>274963.23051808</v>
      </c>
    </row>
    <row r="29" spans="1:8" ht="60" hidden="1" customHeight="1">
      <c r="A29" s="41">
        <v>26</v>
      </c>
      <c r="B29" s="47" t="s">
        <v>143</v>
      </c>
      <c r="C29" s="40" t="s">
        <v>144</v>
      </c>
      <c r="D29" s="41" t="s">
        <v>103</v>
      </c>
      <c r="E29" s="132">
        <v>104.4</v>
      </c>
      <c r="F29" s="43">
        <v>532.47595232000003</v>
      </c>
      <c r="G29" s="43">
        <v>299.04000000000002</v>
      </c>
      <c r="H29" s="44">
        <f t="shared" si="0"/>
        <v>55590.489422208004</v>
      </c>
    </row>
    <row r="30" spans="1:8" ht="42.95" customHeight="1">
      <c r="A30" s="41">
        <v>27</v>
      </c>
      <c r="B30" s="47" t="s">
        <v>145</v>
      </c>
      <c r="C30" s="40" t="s">
        <v>146</v>
      </c>
      <c r="D30" s="41" t="s">
        <v>103</v>
      </c>
      <c r="E30" s="128">
        <v>27.12</v>
      </c>
      <c r="F30" s="43">
        <v>614.63001880800005</v>
      </c>
      <c r="G30" s="43">
        <v>333.87599999999998</v>
      </c>
      <c r="H30" s="44">
        <f t="shared" si="0"/>
        <v>16668.76611007296</v>
      </c>
    </row>
    <row r="31" spans="1:8" ht="42.95" hidden="1" customHeight="1">
      <c r="A31" s="41">
        <v>28</v>
      </c>
      <c r="B31" s="47" t="s">
        <v>123</v>
      </c>
      <c r="C31" s="40" t="s">
        <v>147</v>
      </c>
      <c r="D31" s="41" t="s">
        <v>125</v>
      </c>
      <c r="E31" s="46">
        <v>0.77600000000000002</v>
      </c>
      <c r="F31" s="43">
        <v>8413.1994439999999</v>
      </c>
      <c r="G31" s="43">
        <v>4500</v>
      </c>
      <c r="H31" s="44">
        <f t="shared" si="0"/>
        <v>6528.6427685440003</v>
      </c>
    </row>
    <row r="32" spans="1:8" ht="42.95" hidden="1" customHeight="1">
      <c r="A32" s="41">
        <v>29</v>
      </c>
      <c r="B32" s="47" t="s">
        <v>148</v>
      </c>
      <c r="C32" s="40" t="s">
        <v>149</v>
      </c>
      <c r="D32" s="41" t="s">
        <v>125</v>
      </c>
      <c r="E32" s="46">
        <v>0.59599999999999997</v>
      </c>
      <c r="F32" s="43">
        <v>8413.1994439999999</v>
      </c>
      <c r="G32" s="43">
        <v>4500</v>
      </c>
      <c r="H32" s="44">
        <f t="shared" si="0"/>
        <v>5014.2668686239995</v>
      </c>
    </row>
    <row r="33" spans="1:8" ht="42.95" hidden="1" customHeight="1">
      <c r="A33" s="41">
        <v>30</v>
      </c>
      <c r="B33" s="47" t="s">
        <v>150</v>
      </c>
      <c r="C33" s="40" t="s">
        <v>151</v>
      </c>
      <c r="D33" s="41" t="s">
        <v>125</v>
      </c>
      <c r="E33" s="46">
        <v>0.41599999999999998</v>
      </c>
      <c r="F33" s="43">
        <v>8413.1994439999999</v>
      </c>
      <c r="G33" s="43">
        <v>4500</v>
      </c>
      <c r="H33" s="44">
        <f t="shared" si="0"/>
        <v>3499.890968704</v>
      </c>
    </row>
    <row r="34" spans="1:8" ht="42.95" hidden="1" customHeight="1">
      <c r="A34" s="41">
        <v>31</v>
      </c>
      <c r="B34" s="47" t="s">
        <v>123</v>
      </c>
      <c r="C34" s="40" t="s">
        <v>152</v>
      </c>
      <c r="D34" s="41" t="s">
        <v>125</v>
      </c>
      <c r="E34" s="46">
        <v>2.0739999999999998</v>
      </c>
      <c r="F34" s="43">
        <v>8413.1994439999999</v>
      </c>
      <c r="G34" s="43">
        <v>4500</v>
      </c>
      <c r="H34" s="44">
        <f t="shared" si="0"/>
        <v>17448.975646855997</v>
      </c>
    </row>
    <row r="35" spans="1:8" ht="42.95" hidden="1" customHeight="1">
      <c r="A35" s="41">
        <v>32</v>
      </c>
      <c r="B35" s="47" t="s">
        <v>153</v>
      </c>
      <c r="C35" s="40" t="s">
        <v>154</v>
      </c>
      <c r="D35" s="41" t="s">
        <v>125</v>
      </c>
      <c r="E35" s="46">
        <v>2.4860000000000002</v>
      </c>
      <c r="F35" s="43">
        <v>8413.1994439999999</v>
      </c>
      <c r="G35" s="43">
        <v>4500</v>
      </c>
      <c r="H35" s="44">
        <f t="shared" si="0"/>
        <v>20915.213817784002</v>
      </c>
    </row>
    <row r="36" spans="1:8" ht="37.5" hidden="1" customHeight="1">
      <c r="A36" s="165" t="s">
        <v>155</v>
      </c>
      <c r="B36" s="166"/>
      <c r="C36" s="166"/>
      <c r="D36" s="166"/>
      <c r="E36" s="166"/>
      <c r="F36" s="72"/>
      <c r="G36" s="72"/>
      <c r="H36" s="73">
        <f>SUM(H4:H35)</f>
        <v>2503020.1943329116</v>
      </c>
    </row>
  </sheetData>
  <autoFilter ref="A3:H36">
    <filterColumn colId="1">
      <filters>
        <filter val="石材墙面"/>
        <filter val="石材踢脚线"/>
      </filters>
    </filterColumn>
    <filterColumn colId="3">
      <filters>
        <filter val="m2"/>
      </filters>
    </filterColumn>
  </autoFilter>
  <mergeCells count="8">
    <mergeCell ref="A1:H1"/>
    <mergeCell ref="F2:H2"/>
    <mergeCell ref="A36:E36"/>
    <mergeCell ref="A2:A3"/>
    <mergeCell ref="B2:B3"/>
    <mergeCell ref="C2:C3"/>
    <mergeCell ref="D2:D3"/>
    <mergeCell ref="E2:E3"/>
  </mergeCells>
  <phoneticPr fontId="6"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A4" workbookViewId="0">
      <selection activeCell="A10" sqref="A10:XFD10"/>
    </sheetView>
  </sheetViews>
  <sheetFormatPr defaultColWidth="10.28515625" defaultRowHeight="13.5"/>
  <cols>
    <col min="1" max="2" width="10.28515625" style="1"/>
    <col min="3" max="3" width="35.7109375" style="1" customWidth="1"/>
    <col min="4" max="5" width="10.28515625" style="1"/>
    <col min="6" max="6" width="13.85546875" style="1" customWidth="1"/>
    <col min="7" max="7" width="13.42578125" style="1"/>
    <col min="8" max="16384" width="10.28515625" style="1"/>
  </cols>
  <sheetData>
    <row r="1" spans="1:7" ht="22.5">
      <c r="A1" s="168" t="s">
        <v>92</v>
      </c>
      <c r="B1" s="168"/>
      <c r="C1" s="168"/>
      <c r="D1" s="168"/>
      <c r="E1" s="168"/>
      <c r="F1" s="168"/>
      <c r="G1" s="168"/>
    </row>
    <row r="2" spans="1:7" ht="15.75" customHeight="1">
      <c r="A2" s="169" t="s">
        <v>1</v>
      </c>
      <c r="B2" s="169" t="s">
        <v>38</v>
      </c>
      <c r="C2" s="169" t="s">
        <v>95</v>
      </c>
      <c r="D2" s="169" t="s">
        <v>156</v>
      </c>
      <c r="E2" s="169" t="s">
        <v>70</v>
      </c>
      <c r="F2" s="172" t="s">
        <v>97</v>
      </c>
      <c r="G2" s="173"/>
    </row>
    <row r="3" spans="1:7" ht="20.25" customHeight="1">
      <c r="A3" s="169"/>
      <c r="B3" s="169"/>
      <c r="C3" s="169"/>
      <c r="D3" s="169"/>
      <c r="E3" s="169"/>
      <c r="F3" s="174"/>
      <c r="G3" s="175"/>
    </row>
    <row r="4" spans="1:7" ht="24.75" customHeight="1">
      <c r="A4" s="169"/>
      <c r="B4" s="169"/>
      <c r="C4" s="169"/>
      <c r="D4" s="169"/>
      <c r="E4" s="169"/>
      <c r="F4" s="2" t="s">
        <v>98</v>
      </c>
      <c r="G4" s="2" t="s">
        <v>100</v>
      </c>
    </row>
    <row r="5" spans="1:7" ht="67.5">
      <c r="A5" s="3">
        <v>1</v>
      </c>
      <c r="B5" s="4" t="s">
        <v>157</v>
      </c>
      <c r="C5" s="4" t="s">
        <v>158</v>
      </c>
      <c r="D5" s="3" t="s">
        <v>159</v>
      </c>
      <c r="E5" s="62">
        <v>1</v>
      </c>
      <c r="F5" s="5">
        <f>450*1.2</f>
        <v>540</v>
      </c>
      <c r="G5" s="3">
        <f t="shared" ref="G5:G17" si="0">E5*F5</f>
        <v>540</v>
      </c>
    </row>
    <row r="6" spans="1:7" ht="59.25" customHeight="1">
      <c r="A6" s="3">
        <v>2</v>
      </c>
      <c r="B6" s="4" t="s">
        <v>160</v>
      </c>
      <c r="C6" s="4" t="s">
        <v>161</v>
      </c>
      <c r="D6" s="3" t="s">
        <v>162</v>
      </c>
      <c r="E6" s="62">
        <v>32</v>
      </c>
      <c r="F6" s="5">
        <f>105*1.2</f>
        <v>126</v>
      </c>
      <c r="G6" s="3">
        <f t="shared" si="0"/>
        <v>4032</v>
      </c>
    </row>
    <row r="7" spans="1:7" ht="53.25" customHeight="1">
      <c r="A7" s="63">
        <v>3</v>
      </c>
      <c r="B7" s="64" t="s">
        <v>163</v>
      </c>
      <c r="C7" s="4" t="s">
        <v>164</v>
      </c>
      <c r="D7" s="63" t="s">
        <v>137</v>
      </c>
      <c r="E7" s="65">
        <v>636.41</v>
      </c>
      <c r="F7" s="5">
        <f>1.7*1.2</f>
        <v>2.04</v>
      </c>
      <c r="G7" s="3">
        <f t="shared" si="0"/>
        <v>1298.2764</v>
      </c>
    </row>
    <row r="8" spans="1:7" ht="39.75" customHeight="1">
      <c r="A8" s="63">
        <v>4</v>
      </c>
      <c r="B8" s="64" t="s">
        <v>163</v>
      </c>
      <c r="C8" s="4" t="s">
        <v>165</v>
      </c>
      <c r="D8" s="63" t="s">
        <v>137</v>
      </c>
      <c r="E8" s="65">
        <v>613.79</v>
      </c>
      <c r="F8" s="5">
        <f>1.9*1.2</f>
        <v>2.2799999999999998</v>
      </c>
      <c r="G8" s="3">
        <f t="shared" si="0"/>
        <v>1399.4411999999998</v>
      </c>
    </row>
    <row r="9" spans="1:7" ht="53.25" customHeight="1">
      <c r="A9" s="63">
        <v>5</v>
      </c>
      <c r="B9" s="64" t="s">
        <v>166</v>
      </c>
      <c r="C9" s="4" t="s">
        <v>167</v>
      </c>
      <c r="D9" s="63" t="s">
        <v>137</v>
      </c>
      <c r="E9" s="65">
        <v>654.27</v>
      </c>
      <c r="F9" s="5">
        <f>7.9*1.2</f>
        <v>9.48</v>
      </c>
      <c r="G9" s="3">
        <f t="shared" si="0"/>
        <v>6202.4795999999997</v>
      </c>
    </row>
    <row r="10" spans="1:7" ht="51.75" customHeight="1">
      <c r="A10" s="63">
        <v>6</v>
      </c>
      <c r="B10" s="64" t="s">
        <v>166</v>
      </c>
      <c r="C10" s="4" t="s">
        <v>168</v>
      </c>
      <c r="D10" s="63" t="s">
        <v>137</v>
      </c>
      <c r="E10" s="65">
        <v>613.79</v>
      </c>
      <c r="F10" s="5">
        <f>14.5*1.2</f>
        <v>17.399999999999999</v>
      </c>
      <c r="G10" s="3">
        <f t="shared" si="0"/>
        <v>10679.945999999998</v>
      </c>
    </row>
    <row r="11" spans="1:7" ht="56.25" customHeight="1">
      <c r="A11" s="63">
        <v>7</v>
      </c>
      <c r="B11" s="63" t="s">
        <v>169</v>
      </c>
      <c r="C11" s="4" t="s">
        <v>170</v>
      </c>
      <c r="D11" s="63" t="s">
        <v>171</v>
      </c>
      <c r="E11" s="65">
        <v>170</v>
      </c>
      <c r="F11" s="3">
        <f>55*1.2</f>
        <v>66</v>
      </c>
      <c r="G11" s="3">
        <f t="shared" si="0"/>
        <v>11220</v>
      </c>
    </row>
    <row r="12" spans="1:7" ht="57.75" customHeight="1">
      <c r="A12" s="63">
        <v>8</v>
      </c>
      <c r="B12" s="63" t="s">
        <v>169</v>
      </c>
      <c r="C12" s="4" t="s">
        <v>172</v>
      </c>
      <c r="D12" s="63" t="s">
        <v>171</v>
      </c>
      <c r="E12" s="65">
        <v>8</v>
      </c>
      <c r="F12" s="3">
        <f>60*1.2</f>
        <v>72</v>
      </c>
      <c r="G12" s="3">
        <f t="shared" si="0"/>
        <v>576</v>
      </c>
    </row>
    <row r="13" spans="1:7" ht="60.75" customHeight="1">
      <c r="A13" s="63">
        <v>9</v>
      </c>
      <c r="B13" s="63" t="s">
        <v>169</v>
      </c>
      <c r="C13" s="4" t="s">
        <v>173</v>
      </c>
      <c r="D13" s="63" t="s">
        <v>171</v>
      </c>
      <c r="E13" s="65">
        <v>328</v>
      </c>
      <c r="F13" s="3">
        <f>79*1.2</f>
        <v>94.8</v>
      </c>
      <c r="G13" s="3">
        <f t="shared" si="0"/>
        <v>31094.399999999998</v>
      </c>
    </row>
    <row r="14" spans="1:7" ht="48.75" customHeight="1">
      <c r="A14" s="63">
        <v>10</v>
      </c>
      <c r="B14" s="63" t="s">
        <v>169</v>
      </c>
      <c r="C14" s="4" t="s">
        <v>174</v>
      </c>
      <c r="D14" s="63" t="s">
        <v>171</v>
      </c>
      <c r="E14" s="65">
        <v>2</v>
      </c>
      <c r="F14" s="3">
        <f>79*1.2</f>
        <v>94.8</v>
      </c>
      <c r="G14" s="3">
        <f t="shared" si="0"/>
        <v>189.6</v>
      </c>
    </row>
    <row r="15" spans="1:7" ht="56.25" customHeight="1">
      <c r="A15" s="63">
        <v>11</v>
      </c>
      <c r="B15" s="64" t="s">
        <v>169</v>
      </c>
      <c r="C15" s="4" t="s">
        <v>175</v>
      </c>
      <c r="D15" s="63" t="s">
        <v>171</v>
      </c>
      <c r="E15" s="65">
        <v>12</v>
      </c>
      <c r="F15" s="5">
        <f>120*1.2</f>
        <v>144</v>
      </c>
      <c r="G15" s="3">
        <f t="shared" si="0"/>
        <v>1728</v>
      </c>
    </row>
    <row r="16" spans="1:7" ht="53.25" customHeight="1">
      <c r="A16" s="63">
        <v>12</v>
      </c>
      <c r="B16" s="64" t="s">
        <v>169</v>
      </c>
      <c r="C16" s="4" t="s">
        <v>176</v>
      </c>
      <c r="D16" s="63" t="s">
        <v>171</v>
      </c>
      <c r="E16" s="65">
        <v>16</v>
      </c>
      <c r="F16" s="3">
        <f>120*1.2</f>
        <v>144</v>
      </c>
      <c r="G16" s="3">
        <f t="shared" si="0"/>
        <v>2304</v>
      </c>
    </row>
    <row r="17" spans="1:7" ht="75.75" customHeight="1">
      <c r="A17" s="63">
        <v>13</v>
      </c>
      <c r="B17" s="64" t="s">
        <v>169</v>
      </c>
      <c r="C17" s="4" t="s">
        <v>177</v>
      </c>
      <c r="D17" s="63" t="s">
        <v>171</v>
      </c>
      <c r="E17" s="65">
        <v>2</v>
      </c>
      <c r="F17" s="3">
        <f>260*1.2</f>
        <v>312</v>
      </c>
      <c r="G17" s="3">
        <f t="shared" si="0"/>
        <v>624</v>
      </c>
    </row>
    <row r="18" spans="1:7" ht="33" customHeight="1">
      <c r="A18" s="2">
        <v>12</v>
      </c>
      <c r="B18" s="169" t="s">
        <v>78</v>
      </c>
      <c r="C18" s="169"/>
      <c r="D18" s="169"/>
      <c r="E18" s="169"/>
      <c r="F18" s="66"/>
      <c r="G18" s="67">
        <f>SUM(G5:G17)</f>
        <v>71888.143200000006</v>
      </c>
    </row>
    <row r="19" spans="1:7" ht="97.5" customHeight="1">
      <c r="A19" s="170" t="s">
        <v>178</v>
      </c>
      <c r="B19" s="171"/>
      <c r="C19" s="171"/>
      <c r="D19" s="171"/>
      <c r="E19" s="171"/>
      <c r="F19" s="171"/>
      <c r="G19" s="171"/>
    </row>
  </sheetData>
  <mergeCells count="9">
    <mergeCell ref="A1:G1"/>
    <mergeCell ref="B18:E18"/>
    <mergeCell ref="A19:G19"/>
    <mergeCell ref="A2:A4"/>
    <mergeCell ref="B2:B4"/>
    <mergeCell ref="C2:C4"/>
    <mergeCell ref="D2:D4"/>
    <mergeCell ref="E2:E4"/>
    <mergeCell ref="F2:G3"/>
  </mergeCells>
  <phoneticPr fontId="6"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A13" workbookViewId="0">
      <selection activeCell="F14" sqref="F14"/>
    </sheetView>
  </sheetViews>
  <sheetFormatPr defaultColWidth="9.140625" defaultRowHeight="12.75"/>
  <cols>
    <col min="1" max="1" width="4.140625" style="49" customWidth="1"/>
    <col min="2" max="2" width="9.140625" style="49"/>
    <col min="3" max="3" width="34.28515625" style="49" customWidth="1"/>
    <col min="4" max="4" width="4.140625" style="49" customWidth="1"/>
    <col min="5" max="5" width="7.28515625" style="49" customWidth="1"/>
    <col min="6" max="6" width="8.42578125" style="49" customWidth="1"/>
    <col min="7" max="7" width="8.7109375" style="49" customWidth="1"/>
    <col min="8" max="8" width="9.85546875" style="49" customWidth="1"/>
    <col min="9" max="9" width="12" style="49" customWidth="1"/>
    <col min="10" max="16384" width="9.140625" style="49"/>
  </cols>
  <sheetData>
    <row r="1" spans="1:9" ht="27.95" customHeight="1">
      <c r="A1" s="162" t="s">
        <v>94</v>
      </c>
      <c r="B1" s="163"/>
      <c r="C1" s="163"/>
      <c r="D1" s="163"/>
      <c r="E1" s="163"/>
      <c r="F1" s="163"/>
      <c r="G1" s="163"/>
      <c r="H1" s="163"/>
    </row>
    <row r="2" spans="1:9" ht="17.100000000000001" customHeight="1">
      <c r="A2" s="167" t="s">
        <v>1</v>
      </c>
      <c r="B2" s="167" t="s">
        <v>38</v>
      </c>
      <c r="C2" s="167" t="s">
        <v>95</v>
      </c>
      <c r="D2" s="167" t="s">
        <v>96</v>
      </c>
      <c r="E2" s="167" t="s">
        <v>70</v>
      </c>
      <c r="F2" s="164" t="s">
        <v>97</v>
      </c>
      <c r="G2" s="164"/>
      <c r="H2" s="182"/>
      <c r="I2" s="176" t="s">
        <v>6</v>
      </c>
    </row>
    <row r="3" spans="1:9" ht="24.95" customHeight="1">
      <c r="A3" s="167"/>
      <c r="B3" s="167"/>
      <c r="C3" s="167"/>
      <c r="D3" s="167"/>
      <c r="E3" s="167"/>
      <c r="F3" s="33" t="s">
        <v>98</v>
      </c>
      <c r="G3" s="34" t="s">
        <v>99</v>
      </c>
      <c r="H3" s="35" t="s">
        <v>100</v>
      </c>
      <c r="I3" s="177"/>
    </row>
    <row r="4" spans="1:9" ht="105" customHeight="1">
      <c r="A4" s="41">
        <v>5</v>
      </c>
      <c r="B4" s="47" t="s">
        <v>107</v>
      </c>
      <c r="C4" s="40" t="s">
        <v>108</v>
      </c>
      <c r="D4" s="41" t="s">
        <v>103</v>
      </c>
      <c r="E4" s="46">
        <f>-3.2*3</f>
        <v>-9.6000000000000014</v>
      </c>
      <c r="F4" s="43">
        <v>493.30270392</v>
      </c>
      <c r="G4" s="43">
        <v>279.49</v>
      </c>
      <c r="H4" s="51">
        <f t="shared" ref="H4:H11" si="0">F4*E4</f>
        <v>-4735.7059576320007</v>
      </c>
      <c r="I4" s="58" t="s">
        <v>179</v>
      </c>
    </row>
    <row r="5" spans="1:9" ht="93" customHeight="1">
      <c r="A5" s="41">
        <v>4</v>
      </c>
      <c r="B5" s="47" t="s">
        <v>101</v>
      </c>
      <c r="C5" s="40" t="s">
        <v>106</v>
      </c>
      <c r="D5" s="41" t="s">
        <v>103</v>
      </c>
      <c r="E5" s="46">
        <f>-(6*2.2+4.8*2.2)</f>
        <v>-23.76</v>
      </c>
      <c r="F5" s="43">
        <f>685.87-493.3</f>
        <v>192.57</v>
      </c>
      <c r="G5" s="43">
        <v>685.87021979839994</v>
      </c>
      <c r="H5" s="44">
        <f t="shared" si="0"/>
        <v>-4575.4632000000001</v>
      </c>
      <c r="I5" s="59" t="s">
        <v>180</v>
      </c>
    </row>
    <row r="6" spans="1:9" ht="81" customHeight="1">
      <c r="A6" s="41">
        <v>6</v>
      </c>
      <c r="B6" s="47" t="s">
        <v>107</v>
      </c>
      <c r="C6" s="40" t="s">
        <v>181</v>
      </c>
      <c r="D6" s="41" t="s">
        <v>103</v>
      </c>
      <c r="E6" s="46">
        <f>-1.23*0.1</f>
        <v>-0.123</v>
      </c>
      <c r="F6" s="43">
        <v>535.61681783999995</v>
      </c>
      <c r="G6" s="43">
        <v>315.73</v>
      </c>
      <c r="H6" s="44">
        <f t="shared" si="0"/>
        <v>-65.880868594319992</v>
      </c>
      <c r="I6" s="178" t="s">
        <v>182</v>
      </c>
    </row>
    <row r="7" spans="1:9" ht="87" customHeight="1">
      <c r="A7" s="41">
        <v>7</v>
      </c>
      <c r="B7" s="47" t="s">
        <v>107</v>
      </c>
      <c r="C7" s="40" t="s">
        <v>183</v>
      </c>
      <c r="D7" s="41" t="s">
        <v>103</v>
      </c>
      <c r="E7" s="46">
        <f>-1.23*0.1</f>
        <v>-0.123</v>
      </c>
      <c r="F7" s="43">
        <v>666.59908327999995</v>
      </c>
      <c r="G7" s="43">
        <v>420.91</v>
      </c>
      <c r="H7" s="44">
        <f t="shared" si="0"/>
        <v>-81.991687243439998</v>
      </c>
      <c r="I7" s="179"/>
    </row>
    <row r="8" spans="1:9" ht="68.099999999999994" customHeight="1">
      <c r="A8" s="41">
        <v>11</v>
      </c>
      <c r="B8" s="47" t="s">
        <v>114</v>
      </c>
      <c r="C8" s="40" t="s">
        <v>116</v>
      </c>
      <c r="D8" s="41" t="s">
        <v>103</v>
      </c>
      <c r="E8" s="46">
        <f>-(12.73*2+44.067)*0.2</f>
        <v>-13.9054</v>
      </c>
      <c r="F8" s="43">
        <v>909.02346075840001</v>
      </c>
      <c r="G8" s="43">
        <v>562.15</v>
      </c>
      <c r="H8" s="44">
        <f t="shared" si="0"/>
        <v>-12640.334831229855</v>
      </c>
      <c r="I8" s="60" t="s">
        <v>184</v>
      </c>
    </row>
    <row r="9" spans="1:9" ht="81.95" customHeight="1">
      <c r="A9" s="41">
        <v>12</v>
      </c>
      <c r="B9" s="47" t="s">
        <v>117</v>
      </c>
      <c r="C9" s="40" t="s">
        <v>118</v>
      </c>
      <c r="D9" s="41" t="s">
        <v>103</v>
      </c>
      <c r="E9" s="42">
        <v>301.89999999999998</v>
      </c>
      <c r="F9" s="43">
        <f t="shared" ref="F9:F11" si="1">130-333.88</f>
        <v>-203.88</v>
      </c>
      <c r="G9" s="43">
        <v>333.87599999999998</v>
      </c>
      <c r="H9" s="44">
        <f t="shared" si="0"/>
        <v>-61551.371999999996</v>
      </c>
      <c r="I9" s="178" t="s">
        <v>185</v>
      </c>
    </row>
    <row r="10" spans="1:9" ht="81.95" customHeight="1">
      <c r="A10" s="41">
        <v>24</v>
      </c>
      <c r="B10" s="47" t="s">
        <v>117</v>
      </c>
      <c r="C10" s="40" t="s">
        <v>140</v>
      </c>
      <c r="D10" s="41" t="s">
        <v>103</v>
      </c>
      <c r="E10" s="46">
        <v>132.29</v>
      </c>
      <c r="F10" s="43">
        <f t="shared" si="1"/>
        <v>-203.88</v>
      </c>
      <c r="G10" s="43">
        <v>333.87599999999998</v>
      </c>
      <c r="H10" s="44">
        <f t="shared" si="0"/>
        <v>-26971.285199999998</v>
      </c>
      <c r="I10" s="180"/>
    </row>
    <row r="11" spans="1:9" ht="81.95" customHeight="1">
      <c r="A11" s="41">
        <v>27</v>
      </c>
      <c r="B11" s="47" t="s">
        <v>145</v>
      </c>
      <c r="C11" s="40" t="s">
        <v>146</v>
      </c>
      <c r="D11" s="41" t="s">
        <v>103</v>
      </c>
      <c r="E11" s="46">
        <v>27.12</v>
      </c>
      <c r="F11" s="43">
        <f t="shared" si="1"/>
        <v>-203.88</v>
      </c>
      <c r="G11" s="43">
        <v>333.87599999999998</v>
      </c>
      <c r="H11" s="44">
        <f t="shared" si="0"/>
        <v>-5529.2255999999998</v>
      </c>
      <c r="I11" s="180"/>
    </row>
    <row r="12" spans="1:9" ht="62.1" customHeight="1">
      <c r="A12" s="41">
        <v>13</v>
      </c>
      <c r="B12" s="47" t="s">
        <v>119</v>
      </c>
      <c r="C12" s="40" t="s">
        <v>120</v>
      </c>
      <c r="D12" s="41" t="s">
        <v>103</v>
      </c>
      <c r="E12" s="42">
        <v>277.39999999999998</v>
      </c>
      <c r="F12" s="43">
        <v>-10</v>
      </c>
      <c r="G12" s="43">
        <v>271.8</v>
      </c>
      <c r="H12" s="44">
        <f t="shared" ref="H12:H16" si="2">F12*E12</f>
        <v>-2774</v>
      </c>
      <c r="I12" s="178" t="s">
        <v>186</v>
      </c>
    </row>
    <row r="13" spans="1:9" ht="62.1" customHeight="1">
      <c r="A13" s="41">
        <v>14</v>
      </c>
      <c r="B13" s="47" t="s">
        <v>119</v>
      </c>
      <c r="C13" s="40" t="s">
        <v>121</v>
      </c>
      <c r="D13" s="41" t="s">
        <v>103</v>
      </c>
      <c r="E13" s="42">
        <v>1161.7</v>
      </c>
      <c r="F13" s="43">
        <v>-10</v>
      </c>
      <c r="G13" s="43">
        <v>253.26</v>
      </c>
      <c r="H13" s="44">
        <f t="shared" si="2"/>
        <v>-11617</v>
      </c>
      <c r="I13" s="181"/>
    </row>
    <row r="14" spans="1:9" ht="81" customHeight="1">
      <c r="A14" s="52">
        <v>18</v>
      </c>
      <c r="B14" s="53" t="s">
        <v>127</v>
      </c>
      <c r="C14" s="54" t="s">
        <v>128</v>
      </c>
      <c r="D14" s="52" t="s">
        <v>125</v>
      </c>
      <c r="E14" s="55">
        <f>27.913/5.74*(3.059-5.74)</f>
        <v>-13.037413414634146</v>
      </c>
      <c r="F14" s="43">
        <v>8413.1994439999999</v>
      </c>
      <c r="G14" s="43">
        <v>4500</v>
      </c>
      <c r="H14" s="44">
        <f t="shared" si="2"/>
        <v>-109686.35929119814</v>
      </c>
      <c r="I14" s="60" t="s">
        <v>187</v>
      </c>
    </row>
    <row r="15" spans="1:9" ht="60" customHeight="1">
      <c r="A15" s="41">
        <v>26</v>
      </c>
      <c r="B15" s="47" t="s">
        <v>143</v>
      </c>
      <c r="C15" s="40" t="s">
        <v>144</v>
      </c>
      <c r="D15" s="41" t="s">
        <v>103</v>
      </c>
      <c r="E15" s="46">
        <f>104.4*-0.1</f>
        <v>-10.440000000000001</v>
      </c>
      <c r="F15" s="43">
        <v>532.47595232000003</v>
      </c>
      <c r="G15" s="43">
        <v>299.04000000000002</v>
      </c>
      <c r="H15" s="44">
        <f t="shared" si="2"/>
        <v>-5559.0489422208011</v>
      </c>
      <c r="I15" s="60" t="s">
        <v>188</v>
      </c>
    </row>
    <row r="16" spans="1:9" ht="42" customHeight="1">
      <c r="A16" s="41">
        <v>15</v>
      </c>
      <c r="B16" s="47" t="s">
        <v>119</v>
      </c>
      <c r="C16" s="40" t="s">
        <v>122</v>
      </c>
      <c r="D16" s="41" t="s">
        <v>103</v>
      </c>
      <c r="E16" s="42">
        <v>196.67</v>
      </c>
      <c r="F16" s="43">
        <f>407.79877008-429.4462224</f>
        <v>-21.647452320000014</v>
      </c>
      <c r="G16" s="43">
        <v>271.8</v>
      </c>
      <c r="H16" s="44">
        <f t="shared" si="2"/>
        <v>-4257.4044477744028</v>
      </c>
      <c r="I16" s="61" t="s">
        <v>189</v>
      </c>
    </row>
    <row r="17" spans="1:9" ht="26.1" customHeight="1">
      <c r="A17" s="56"/>
      <c r="B17" s="57" t="s">
        <v>78</v>
      </c>
      <c r="C17" s="56"/>
      <c r="D17" s="56"/>
      <c r="E17" s="56"/>
      <c r="F17" s="56"/>
      <c r="G17" s="56"/>
      <c r="H17" s="56">
        <f>SUM(H4:H16)</f>
        <v>-250045.07202589297</v>
      </c>
      <c r="I17" s="56"/>
    </row>
  </sheetData>
  <mergeCells count="11">
    <mergeCell ref="I2:I3"/>
    <mergeCell ref="I6:I7"/>
    <mergeCell ref="I9:I11"/>
    <mergeCell ref="I12:I13"/>
    <mergeCell ref="A1:H1"/>
    <mergeCell ref="F2:H2"/>
    <mergeCell ref="A2:A3"/>
    <mergeCell ref="B2:B3"/>
    <mergeCell ref="C2:C3"/>
    <mergeCell ref="D2:D3"/>
    <mergeCell ref="E2:E3"/>
  </mergeCells>
  <phoneticPr fontId="6" type="noConversion"/>
  <pageMargins left="0.35763888888888901" right="0.35763888888888901" top="0.60624999999999996" bottom="0.60624999999999996" header="0.5" footer="0.5"/>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V7" sqref="V7"/>
    </sheetView>
  </sheetViews>
  <sheetFormatPr defaultColWidth="9.140625" defaultRowHeight="14.25"/>
  <cols>
    <col min="1" max="1" width="4.140625" style="31" customWidth="1"/>
    <col min="2" max="2" width="9" style="32" customWidth="1"/>
    <col min="3" max="3" width="28.140625" style="31" customWidth="1"/>
    <col min="4" max="4" width="4.140625" style="31" customWidth="1"/>
    <col min="5" max="5" width="8.42578125" style="31" customWidth="1"/>
    <col min="6" max="6" width="9.28515625" style="31" customWidth="1"/>
    <col min="7" max="7" width="9.85546875" style="31" customWidth="1"/>
    <col min="8" max="8" width="9.7109375" style="31" customWidth="1"/>
    <col min="9" max="9" width="14.85546875" style="31" customWidth="1"/>
    <col min="10" max="16384" width="9.140625" style="31"/>
  </cols>
  <sheetData>
    <row r="1" spans="1:9" ht="20.25">
      <c r="A1" s="162" t="s">
        <v>94</v>
      </c>
      <c r="B1" s="163"/>
      <c r="C1" s="163"/>
      <c r="D1" s="163"/>
      <c r="E1" s="163"/>
      <c r="F1" s="163"/>
      <c r="G1" s="163"/>
      <c r="H1" s="163"/>
      <c r="I1" s="49"/>
    </row>
    <row r="2" spans="1:9" ht="27.95" customHeight="1">
      <c r="A2" s="167" t="s">
        <v>1</v>
      </c>
      <c r="B2" s="167" t="s">
        <v>38</v>
      </c>
      <c r="C2" s="167" t="s">
        <v>95</v>
      </c>
      <c r="D2" s="167" t="s">
        <v>96</v>
      </c>
      <c r="E2" s="167" t="s">
        <v>70</v>
      </c>
      <c r="F2" s="164" t="s">
        <v>97</v>
      </c>
      <c r="G2" s="164"/>
      <c r="H2" s="182"/>
      <c r="I2" s="176" t="s">
        <v>6</v>
      </c>
    </row>
    <row r="3" spans="1:9" ht="21.75">
      <c r="A3" s="167"/>
      <c r="B3" s="167"/>
      <c r="C3" s="167"/>
      <c r="D3" s="167"/>
      <c r="E3" s="167"/>
      <c r="F3" s="33" t="s">
        <v>98</v>
      </c>
      <c r="G3" s="34" t="s">
        <v>99</v>
      </c>
      <c r="H3" s="35" t="s">
        <v>100</v>
      </c>
      <c r="I3" s="177"/>
    </row>
    <row r="4" spans="1:9" ht="21.95" customHeight="1">
      <c r="A4" s="36" t="s">
        <v>42</v>
      </c>
      <c r="B4" s="183" t="s">
        <v>190</v>
      </c>
      <c r="C4" s="184"/>
      <c r="D4" s="37"/>
      <c r="E4" s="37"/>
      <c r="F4" s="37"/>
      <c r="G4" s="37"/>
      <c r="H4" s="37"/>
      <c r="I4" s="37"/>
    </row>
    <row r="5" spans="1:9" ht="63" customHeight="1">
      <c r="A5" s="38">
        <v>1</v>
      </c>
      <c r="B5" s="39" t="s">
        <v>191</v>
      </c>
      <c r="C5" s="40" t="s">
        <v>121</v>
      </c>
      <c r="D5" s="41" t="s">
        <v>103</v>
      </c>
      <c r="E5" s="42"/>
      <c r="F5" s="43">
        <v>407.79877008</v>
      </c>
      <c r="G5" s="43">
        <v>253.26</v>
      </c>
      <c r="H5" s="44">
        <f t="shared" ref="H5:H7" si="0">F5*E5</f>
        <v>0</v>
      </c>
      <c r="I5" s="50" t="s">
        <v>192</v>
      </c>
    </row>
    <row r="6" spans="1:9" ht="45" customHeight="1">
      <c r="A6" s="38">
        <v>2</v>
      </c>
      <c r="B6" s="39" t="s">
        <v>193</v>
      </c>
      <c r="C6" s="40" t="s">
        <v>194</v>
      </c>
      <c r="D6" s="41" t="s">
        <v>125</v>
      </c>
      <c r="E6" s="45">
        <f>-9*0.268*(8.92+2.543)*2/1000</f>
        <v>-5.5297512000000007E-2</v>
      </c>
      <c r="F6" s="43">
        <v>8413.1994439999999</v>
      </c>
      <c r="G6" s="43">
        <v>4500</v>
      </c>
      <c r="H6" s="44">
        <f t="shared" si="0"/>
        <v>-465.22899721298336</v>
      </c>
      <c r="I6" s="37"/>
    </row>
    <row r="7" spans="1:9" ht="63">
      <c r="A7" s="38">
        <v>3</v>
      </c>
      <c r="B7" s="39" t="s">
        <v>195</v>
      </c>
      <c r="C7" s="40" t="s">
        <v>142</v>
      </c>
      <c r="D7" s="41" t="s">
        <v>137</v>
      </c>
      <c r="E7" s="46">
        <f>-49*0.268*2</f>
        <v>-26.264000000000003</v>
      </c>
      <c r="F7" s="43">
        <v>135.44252800000001</v>
      </c>
      <c r="G7" s="43">
        <v>100</v>
      </c>
      <c r="H7" s="44">
        <f t="shared" si="0"/>
        <v>-3557.2625553920006</v>
      </c>
      <c r="I7" s="37"/>
    </row>
    <row r="8" spans="1:9" ht="23.1" customHeight="1">
      <c r="A8" s="36" t="s">
        <v>46</v>
      </c>
      <c r="B8" s="185" t="s">
        <v>196</v>
      </c>
      <c r="C8" s="186"/>
      <c r="D8" s="37"/>
      <c r="E8" s="37"/>
      <c r="F8" s="37"/>
      <c r="G8" s="37"/>
      <c r="H8" s="37"/>
      <c r="I8" s="37"/>
    </row>
    <row r="9" spans="1:9" ht="73.5">
      <c r="A9" s="38">
        <v>1</v>
      </c>
      <c r="B9" s="39" t="s">
        <v>191</v>
      </c>
      <c r="C9" s="40" t="s">
        <v>121</v>
      </c>
      <c r="D9" s="41" t="s">
        <v>103</v>
      </c>
      <c r="E9" s="42">
        <f>-15.7*2*0.22*2</f>
        <v>-13.815999999999999</v>
      </c>
      <c r="F9" s="43">
        <v>407.79877008</v>
      </c>
      <c r="G9" s="43">
        <v>253.26</v>
      </c>
      <c r="H9" s="44">
        <f t="shared" ref="H9:H11" si="1">F9*E9</f>
        <v>-5634.1478074252791</v>
      </c>
      <c r="I9" s="37"/>
    </row>
    <row r="10" spans="1:9" ht="42">
      <c r="A10" s="38">
        <v>2</v>
      </c>
      <c r="B10" s="39" t="s">
        <v>193</v>
      </c>
      <c r="C10" s="40" t="s">
        <v>194</v>
      </c>
      <c r="D10" s="41" t="s">
        <v>125</v>
      </c>
      <c r="E10" s="45">
        <f>-17*0.222*(8.92+2.543)*2/1000</f>
        <v>-8.6522724000000009E-2</v>
      </c>
      <c r="F10" s="43">
        <v>8413.1994439999999</v>
      </c>
      <c r="G10" s="43">
        <v>4500</v>
      </c>
      <c r="H10" s="44">
        <f t="shared" si="1"/>
        <v>-727.93293345016548</v>
      </c>
      <c r="I10" s="37"/>
    </row>
    <row r="11" spans="1:9" ht="63">
      <c r="A11" s="38">
        <v>3</v>
      </c>
      <c r="B11" s="39" t="s">
        <v>195</v>
      </c>
      <c r="C11" s="40" t="s">
        <v>142</v>
      </c>
      <c r="D11" s="41" t="s">
        <v>137</v>
      </c>
      <c r="E11" s="46">
        <f>-79*0.222*2</f>
        <v>-35.076000000000001</v>
      </c>
      <c r="F11" s="43">
        <v>135.44252800000001</v>
      </c>
      <c r="G11" s="43">
        <v>100</v>
      </c>
      <c r="H11" s="44">
        <f t="shared" si="1"/>
        <v>-4750.7821121280003</v>
      </c>
      <c r="I11" s="37"/>
    </row>
    <row r="12" spans="1:9" ht="18.95" customHeight="1">
      <c r="A12" s="36" t="s">
        <v>48</v>
      </c>
      <c r="B12" s="183" t="s">
        <v>197</v>
      </c>
      <c r="C12" s="184"/>
      <c r="D12" s="37"/>
      <c r="E12" s="37"/>
      <c r="F12" s="37"/>
      <c r="G12" s="37"/>
      <c r="H12" s="37"/>
      <c r="I12" s="37"/>
    </row>
    <row r="13" spans="1:9" ht="73.5">
      <c r="A13" s="38">
        <v>1</v>
      </c>
      <c r="B13" s="39" t="s">
        <v>191</v>
      </c>
      <c r="C13" s="40" t="s">
        <v>121</v>
      </c>
      <c r="D13" s="41" t="s">
        <v>103</v>
      </c>
      <c r="E13" s="42">
        <f>-11.2*2*0.232</f>
        <v>-5.1967999999999996</v>
      </c>
      <c r="F13" s="43">
        <v>407.79877008</v>
      </c>
      <c r="G13" s="43">
        <v>253.26</v>
      </c>
      <c r="H13" s="44">
        <f t="shared" ref="H13:H17" si="2">F13*E13</f>
        <v>-2119.2486483517437</v>
      </c>
      <c r="I13" s="37"/>
    </row>
    <row r="14" spans="1:9" ht="42">
      <c r="A14" s="38">
        <v>2</v>
      </c>
      <c r="B14" s="39" t="s">
        <v>193</v>
      </c>
      <c r="C14" s="40" t="s">
        <v>194</v>
      </c>
      <c r="D14" s="41" t="s">
        <v>125</v>
      </c>
      <c r="E14" s="45">
        <f>-9*0.232*(8.92+2.543+8.92)/1000</f>
        <v>-4.2559704000000011E-2</v>
      </c>
      <c r="F14" s="43">
        <v>8413.1994439999999</v>
      </c>
      <c r="G14" s="43">
        <v>4500</v>
      </c>
      <c r="H14" s="44">
        <f t="shared" si="2"/>
        <v>-358.06327802960465</v>
      </c>
      <c r="I14" s="37"/>
    </row>
    <row r="15" spans="1:9" ht="63">
      <c r="A15" s="38">
        <v>3</v>
      </c>
      <c r="B15" s="39" t="s">
        <v>195</v>
      </c>
      <c r="C15" s="40" t="s">
        <v>142</v>
      </c>
      <c r="D15" s="41" t="s">
        <v>137</v>
      </c>
      <c r="E15" s="46">
        <f>-56*0.102</f>
        <v>-5.7119999999999997</v>
      </c>
      <c r="F15" s="43">
        <v>135.44252800000001</v>
      </c>
      <c r="G15" s="43">
        <v>100</v>
      </c>
      <c r="H15" s="44">
        <f t="shared" si="2"/>
        <v>-773.64771993600004</v>
      </c>
      <c r="I15" s="37"/>
    </row>
    <row r="16" spans="1:9" ht="73.5">
      <c r="A16" s="38">
        <v>4</v>
      </c>
      <c r="B16" s="47" t="s">
        <v>119</v>
      </c>
      <c r="C16" s="40" t="s">
        <v>120</v>
      </c>
      <c r="D16" s="41" t="s">
        <v>103</v>
      </c>
      <c r="E16" s="42">
        <f>-(6+6)*0.13*2+9.6*0.13</f>
        <v>-1.8720000000000001</v>
      </c>
      <c r="F16" s="43">
        <v>429.44622240000001</v>
      </c>
      <c r="G16" s="43">
        <v>271.8</v>
      </c>
      <c r="H16" s="44">
        <f t="shared" si="2"/>
        <v>-803.92332833280011</v>
      </c>
      <c r="I16" s="37"/>
    </row>
    <row r="17" spans="1:9" ht="51.95" customHeight="1">
      <c r="A17" s="38">
        <v>5</v>
      </c>
      <c r="B17" s="39" t="s">
        <v>193</v>
      </c>
      <c r="C17" s="40" t="s">
        <v>198</v>
      </c>
      <c r="D17" s="41" t="s">
        <v>125</v>
      </c>
      <c r="E17" s="45">
        <f>-(9+5+5)*0.13*8.92/1000</f>
        <v>-2.2032400000000004E-2</v>
      </c>
      <c r="F17" s="43">
        <v>8413.1994439999999</v>
      </c>
      <c r="G17" s="43">
        <v>4500</v>
      </c>
      <c r="H17" s="44">
        <f t="shared" si="2"/>
        <v>-185.36297542998562</v>
      </c>
      <c r="I17" s="37"/>
    </row>
    <row r="18" spans="1:9" ht="24" customHeight="1">
      <c r="A18" s="36" t="s">
        <v>52</v>
      </c>
      <c r="B18" s="185" t="s">
        <v>199</v>
      </c>
      <c r="C18" s="186"/>
      <c r="D18" s="37"/>
      <c r="E18" s="37"/>
      <c r="F18" s="37"/>
      <c r="G18" s="37"/>
      <c r="H18" s="37"/>
      <c r="I18" s="37"/>
    </row>
    <row r="19" spans="1:9" ht="73.5">
      <c r="A19" s="38">
        <v>1</v>
      </c>
      <c r="B19" s="39" t="s">
        <v>191</v>
      </c>
      <c r="C19" s="40" t="s">
        <v>121</v>
      </c>
      <c r="D19" s="41" t="s">
        <v>103</v>
      </c>
      <c r="E19" s="42">
        <f>-23.1*2*0.1*2</f>
        <v>-9.24</v>
      </c>
      <c r="F19" s="43">
        <v>407.79877008</v>
      </c>
      <c r="G19" s="43">
        <v>253.26</v>
      </c>
      <c r="H19" s="44">
        <f t="shared" ref="H19:H21" si="3">F19*E19</f>
        <v>-3768.0606355392001</v>
      </c>
      <c r="I19" s="37"/>
    </row>
    <row r="20" spans="1:9" ht="42">
      <c r="A20" s="38">
        <v>2</v>
      </c>
      <c r="B20" s="39" t="s">
        <v>193</v>
      </c>
      <c r="C20" s="40" t="s">
        <v>194</v>
      </c>
      <c r="D20" s="41" t="s">
        <v>125</v>
      </c>
      <c r="E20" s="45">
        <f>-18*0.1*(8.92+2.543)*2/1000</f>
        <v>-4.1266800000000006E-2</v>
      </c>
      <c r="F20" s="43">
        <v>8413.1994439999999</v>
      </c>
      <c r="G20" s="43">
        <v>4500</v>
      </c>
      <c r="H20" s="44">
        <f t="shared" si="3"/>
        <v>-347.18581881565927</v>
      </c>
      <c r="I20" s="37"/>
    </row>
    <row r="21" spans="1:9" ht="63">
      <c r="A21" s="38">
        <v>3</v>
      </c>
      <c r="B21" s="39" t="s">
        <v>195</v>
      </c>
      <c r="C21" s="40" t="s">
        <v>142</v>
      </c>
      <c r="D21" s="41" t="s">
        <v>137</v>
      </c>
      <c r="E21" s="46">
        <f>-116*0.1*2</f>
        <v>-23.200000000000003</v>
      </c>
      <c r="F21" s="43">
        <v>135.44252800000001</v>
      </c>
      <c r="G21" s="43">
        <v>100</v>
      </c>
      <c r="H21" s="44">
        <f t="shared" si="3"/>
        <v>-3142.2666496000006</v>
      </c>
      <c r="I21" s="37"/>
    </row>
    <row r="22" spans="1:9">
      <c r="A22" s="36" t="s">
        <v>56</v>
      </c>
      <c r="B22" s="183" t="s">
        <v>200</v>
      </c>
      <c r="C22" s="184"/>
      <c r="D22" s="37"/>
      <c r="E22" s="37"/>
      <c r="F22" s="37"/>
      <c r="G22" s="37"/>
      <c r="H22" s="37"/>
      <c r="I22" s="37"/>
    </row>
    <row r="23" spans="1:9" ht="73.5">
      <c r="A23" s="38">
        <v>1</v>
      </c>
      <c r="B23" s="39" t="s">
        <v>191</v>
      </c>
      <c r="C23" s="40" t="s">
        <v>121</v>
      </c>
      <c r="D23" s="41" t="s">
        <v>103</v>
      </c>
      <c r="E23" s="42">
        <f>-21.5*2*0.235</f>
        <v>-10.104999999999999</v>
      </c>
      <c r="F23" s="43">
        <v>407.79877008</v>
      </c>
      <c r="G23" s="43">
        <v>253.26</v>
      </c>
      <c r="H23" s="44">
        <f t="shared" ref="H23:H25" si="4">F23*E23</f>
        <v>-4120.8065716583997</v>
      </c>
      <c r="I23" s="37"/>
    </row>
    <row r="24" spans="1:9" ht="42">
      <c r="A24" s="38">
        <v>2</v>
      </c>
      <c r="B24" s="39" t="s">
        <v>193</v>
      </c>
      <c r="C24" s="40" t="s">
        <v>194</v>
      </c>
      <c r="D24" s="41" t="s">
        <v>125</v>
      </c>
      <c r="E24" s="45">
        <f>-18*0.235*(8.92)*2/1000</f>
        <v>-7.546319999999998E-2</v>
      </c>
      <c r="F24" s="43">
        <v>8413.1994439999999</v>
      </c>
      <c r="G24" s="43">
        <v>4500</v>
      </c>
      <c r="H24" s="44">
        <f t="shared" si="4"/>
        <v>-634.88695228246058</v>
      </c>
      <c r="I24" s="37"/>
    </row>
    <row r="25" spans="1:9" ht="63">
      <c r="A25" s="38">
        <v>3</v>
      </c>
      <c r="B25" s="39" t="s">
        <v>195</v>
      </c>
      <c r="C25" s="40" t="s">
        <v>142</v>
      </c>
      <c r="D25" s="41" t="s">
        <v>137</v>
      </c>
      <c r="E25" s="46">
        <f>-108*0.235*2</f>
        <v>-50.76</v>
      </c>
      <c r="F25" s="43">
        <v>135.44252800000001</v>
      </c>
      <c r="G25" s="43">
        <v>100</v>
      </c>
      <c r="H25" s="44">
        <f t="shared" si="4"/>
        <v>-6875.06272128</v>
      </c>
      <c r="I25" s="37"/>
    </row>
    <row r="26" spans="1:9" ht="24" customHeight="1">
      <c r="A26" s="48" t="s">
        <v>56</v>
      </c>
      <c r="B26" s="39" t="s">
        <v>78</v>
      </c>
      <c r="C26" s="37"/>
      <c r="D26" s="37"/>
      <c r="E26" s="37"/>
      <c r="F26" s="37"/>
      <c r="G26" s="37"/>
      <c r="H26" s="37">
        <f>SUM(H5:H25)</f>
        <v>-38263.869704864286</v>
      </c>
      <c r="I26" s="37"/>
    </row>
  </sheetData>
  <mergeCells count="13">
    <mergeCell ref="I2:I3"/>
    <mergeCell ref="B18:C18"/>
    <mergeCell ref="B22:C22"/>
    <mergeCell ref="A2:A3"/>
    <mergeCell ref="B2:B3"/>
    <mergeCell ref="C2:C3"/>
    <mergeCell ref="A1:H1"/>
    <mergeCell ref="F2:H2"/>
    <mergeCell ref="B4:C4"/>
    <mergeCell ref="B8:C8"/>
    <mergeCell ref="B12:C12"/>
    <mergeCell ref="D2:D3"/>
    <mergeCell ref="E2:E3"/>
  </mergeCells>
  <phoneticPr fontId="6" type="noConversion"/>
  <pageMargins left="0.35763888888888901" right="0.35763888888888901" top="0.60624999999999996" bottom="0.60624999999999996" header="0.5" footer="0.5"/>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152" zoomScaleNormal="152" workbookViewId="0">
      <selection activeCell="J9" sqref="J9"/>
    </sheetView>
  </sheetViews>
  <sheetFormatPr defaultColWidth="9.140625" defaultRowHeight="12.75"/>
  <cols>
    <col min="1" max="1" width="4.140625" style="16" customWidth="1"/>
    <col min="2" max="2" width="15.42578125" customWidth="1"/>
    <col min="3" max="3" width="16.28515625" customWidth="1"/>
    <col min="4" max="4" width="4.7109375" customWidth="1"/>
    <col min="5" max="5" width="9.42578125" customWidth="1"/>
    <col min="6" max="6" width="8.7109375" customWidth="1"/>
    <col min="7" max="7" width="7.85546875" customWidth="1"/>
    <col min="8" max="8" width="9.7109375" customWidth="1"/>
    <col min="9" max="9" width="11.7109375" customWidth="1"/>
  </cols>
  <sheetData>
    <row r="1" spans="1:9" ht="42.95" customHeight="1">
      <c r="A1" s="192" t="s">
        <v>201</v>
      </c>
      <c r="B1" s="193"/>
      <c r="C1" s="193"/>
      <c r="D1" s="193"/>
      <c r="E1" s="193"/>
      <c r="F1" s="193"/>
      <c r="G1" s="193"/>
      <c r="H1" s="193"/>
      <c r="I1" s="193"/>
    </row>
    <row r="2" spans="1:9" ht="23.1" customHeight="1">
      <c r="A2" s="195" t="s">
        <v>1</v>
      </c>
      <c r="B2" s="167" t="s">
        <v>38</v>
      </c>
      <c r="C2" s="167" t="s">
        <v>95</v>
      </c>
      <c r="D2" s="167" t="s">
        <v>96</v>
      </c>
      <c r="E2" s="196" t="s">
        <v>70</v>
      </c>
      <c r="F2" s="169" t="s">
        <v>97</v>
      </c>
      <c r="G2" s="169"/>
      <c r="H2" s="194"/>
      <c r="I2" s="197" t="s">
        <v>6</v>
      </c>
    </row>
    <row r="3" spans="1:9" ht="30" customHeight="1">
      <c r="A3" s="195"/>
      <c r="B3" s="167"/>
      <c r="C3" s="167"/>
      <c r="D3" s="167"/>
      <c r="E3" s="196"/>
      <c r="F3" s="18" t="s">
        <v>98</v>
      </c>
      <c r="G3" s="2" t="s">
        <v>99</v>
      </c>
      <c r="H3" s="17" t="s">
        <v>100</v>
      </c>
      <c r="I3" s="198"/>
    </row>
    <row r="4" spans="1:9" ht="29.1" customHeight="1">
      <c r="A4" s="19">
        <v>1</v>
      </c>
      <c r="B4" s="20" t="s">
        <v>202</v>
      </c>
      <c r="C4" s="21" t="s">
        <v>203</v>
      </c>
      <c r="D4" s="22" t="s">
        <v>103</v>
      </c>
      <c r="E4" s="23">
        <f>53.124</f>
        <v>53.124000000000002</v>
      </c>
      <c r="F4" s="24">
        <v>230</v>
      </c>
      <c r="G4" s="23"/>
      <c r="H4" s="25">
        <f>E4*F4</f>
        <v>12218.52</v>
      </c>
      <c r="I4" s="30" t="s">
        <v>204</v>
      </c>
    </row>
    <row r="5" spans="1:9" ht="35.1" customHeight="1">
      <c r="A5" s="19">
        <v>2</v>
      </c>
      <c r="B5" s="26" t="s">
        <v>205</v>
      </c>
      <c r="C5" s="21" t="s">
        <v>206</v>
      </c>
      <c r="D5" s="22" t="s">
        <v>103</v>
      </c>
      <c r="E5" s="23">
        <v>23.635999999999999</v>
      </c>
      <c r="F5" s="27">
        <f>614.630018808-203.88</f>
        <v>410.75001880800005</v>
      </c>
      <c r="G5" s="23">
        <v>130</v>
      </c>
      <c r="H5" s="25">
        <f t="shared" ref="H5:H10" si="0">F5*E5</f>
        <v>9708.4874445458881</v>
      </c>
      <c r="I5" s="30" t="s">
        <v>207</v>
      </c>
    </row>
    <row r="6" spans="1:9" ht="27.95" customHeight="1">
      <c r="A6" s="19">
        <v>3</v>
      </c>
      <c r="B6" s="26" t="s">
        <v>208</v>
      </c>
      <c r="C6" s="28" t="s">
        <v>209</v>
      </c>
      <c r="D6" s="22" t="s">
        <v>103</v>
      </c>
      <c r="E6" s="23">
        <f>13.36*4*1.868</f>
        <v>99.825919999999996</v>
      </c>
      <c r="F6" s="6">
        <v>407.79877008</v>
      </c>
      <c r="G6" s="23"/>
      <c r="H6" s="25">
        <f t="shared" si="0"/>
        <v>40708.887398104474</v>
      </c>
      <c r="I6" s="187" t="s">
        <v>210</v>
      </c>
    </row>
    <row r="7" spans="1:9" ht="18.95" customHeight="1">
      <c r="A7" s="29"/>
      <c r="B7" s="23"/>
      <c r="C7" s="28" t="s">
        <v>211</v>
      </c>
      <c r="D7" s="22" t="s">
        <v>103</v>
      </c>
      <c r="E7" s="23">
        <f>66.35*1.008</f>
        <v>66.880799999999994</v>
      </c>
      <c r="F7" s="6">
        <v>407.79877008</v>
      </c>
      <c r="G7" s="23"/>
      <c r="H7" s="25">
        <f t="shared" si="0"/>
        <v>27273.907981966462</v>
      </c>
      <c r="I7" s="188"/>
    </row>
    <row r="8" spans="1:9" ht="18.95" customHeight="1">
      <c r="A8" s="29"/>
      <c r="B8" s="23"/>
      <c r="C8" s="28" t="s">
        <v>212</v>
      </c>
      <c r="D8" s="22" t="s">
        <v>103</v>
      </c>
      <c r="E8" s="23">
        <f>(5.267*0.55+1.092*2+(4.86+2.695)*0.04*2)*4</f>
        <v>22.741000000000003</v>
      </c>
      <c r="F8" s="6">
        <v>407.79877008</v>
      </c>
      <c r="G8" s="23"/>
      <c r="H8" s="25">
        <f t="shared" si="0"/>
        <v>9273.7518303892812</v>
      </c>
      <c r="I8" s="189"/>
    </row>
    <row r="9" spans="1:9" ht="18.95" customHeight="1">
      <c r="A9" s="29"/>
      <c r="B9" s="23"/>
      <c r="C9" s="22" t="s">
        <v>213</v>
      </c>
      <c r="D9" s="22" t="s">
        <v>125</v>
      </c>
      <c r="E9" s="23">
        <f>(13.36*4*4+66.35*2)*4.44/1000</f>
        <v>1.5382824000000002</v>
      </c>
      <c r="F9" s="6">
        <v>8413.1994439999999</v>
      </c>
      <c r="G9" s="6">
        <v>4500</v>
      </c>
      <c r="H9" s="25">
        <f t="shared" si="0"/>
        <v>12941.876632394988</v>
      </c>
      <c r="I9" s="190" t="s">
        <v>214</v>
      </c>
    </row>
    <row r="10" spans="1:9" ht="18.95" customHeight="1">
      <c r="A10" s="29"/>
      <c r="B10" s="23"/>
      <c r="C10" s="22" t="s">
        <v>215</v>
      </c>
      <c r="D10" s="22" t="s">
        <v>125</v>
      </c>
      <c r="E10" s="23">
        <f>(((0.36+0.117+0.157)*2+0.12)*7*4+(2.15+1.91+1.7)*33)*1.374/1000</f>
        <v>0.31456905600000001</v>
      </c>
      <c r="F10" s="6">
        <v>8413.1994439999999</v>
      </c>
      <c r="G10" s="6">
        <v>4500</v>
      </c>
      <c r="H10" s="25">
        <f t="shared" si="0"/>
        <v>2646.5322070388052</v>
      </c>
      <c r="I10" s="191"/>
    </row>
    <row r="11" spans="1:9" ht="18.95" customHeight="1">
      <c r="A11" s="29"/>
      <c r="B11" s="28" t="s">
        <v>78</v>
      </c>
      <c r="C11" s="23"/>
      <c r="D11" s="23"/>
      <c r="E11" s="23"/>
      <c r="F11" s="23"/>
      <c r="G11" s="23"/>
      <c r="H11" s="23">
        <f>SUM(H4:H10)</f>
        <v>114771.9634944399</v>
      </c>
      <c r="I11" s="23"/>
    </row>
  </sheetData>
  <mergeCells count="10">
    <mergeCell ref="I6:I8"/>
    <mergeCell ref="I9:I10"/>
    <mergeCell ref="A1:I1"/>
    <mergeCell ref="F2:H2"/>
    <mergeCell ref="A2:A3"/>
    <mergeCell ref="B2:B3"/>
    <mergeCell ref="C2:C3"/>
    <mergeCell ref="D2:D3"/>
    <mergeCell ref="E2:E3"/>
    <mergeCell ref="I2:I3"/>
  </mergeCells>
  <phoneticPr fontId="6"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目录</vt:lpstr>
      <vt:lpstr>结算汇总表</vt:lpstr>
      <vt:lpstr>结算明细表</vt:lpstr>
      <vt:lpstr>合同价</vt:lpstr>
      <vt:lpstr>幕墙</vt:lpstr>
      <vt:lpstr>亮化</vt:lpstr>
      <vt:lpstr>图纸会审及设计变更</vt:lpstr>
      <vt:lpstr>与图纸不一致的地方</vt:lpstr>
      <vt:lpstr>现场新增加部分</vt:lpstr>
      <vt:lpstr>安装部分灯具扣款</vt:lpstr>
      <vt:lpstr>扣款</vt:lpstr>
      <vt:lpstr>指标分析</vt:lpstr>
    </vt:vector>
  </TitlesOfParts>
  <Company>ComponentOne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张磊</cp:lastModifiedBy>
  <cp:lastPrinted>2022-05-30T01:43:33Z</cp:lastPrinted>
  <dcterms:created xsi:type="dcterms:W3CDTF">2020-11-19T09:45:00Z</dcterms:created>
  <dcterms:modified xsi:type="dcterms:W3CDTF">2022-05-30T03:45:02Z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F7290688C4AB4CFB9303B059FCA2159F</vt:lpwstr>
  </property>
</Properties>
</file>