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、结算明细" sheetId="11" r:id="rId3"/>
    <sheet name="5、工程量" sheetId="12" r:id="rId4"/>
  </sheets>
  <definedNames>
    <definedName name="_xlnm.Print_Area" localSheetId="0">'2资料存档目录'!$A$1:$F$17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<sst xmlns="http://schemas.openxmlformats.org/spreadsheetml/2006/main" count="383" uniqueCount="269">
  <si>
    <t>栾川山水文苑样板间通道装修施工合同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</si>
  <si>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</si>
  <si>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</si>
  <si>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</si>
  <si>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</si>
  <si>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</si>
  <si>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</si>
  <si>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栾川山水文苑样板间通道装修施工合同结算审批表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</si>
  <si>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</si>
  <si>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</si>
  <si>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</si>
  <si>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</si>
  <si>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</si>
  <si>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</si>
  <si>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</si>
  <si>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</si>
  <si>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</si>
  <si>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</si>
  <si>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</si>
  <si>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工程量测量及计算书</t>
  </si>
  <si>
    <t>1份2页</t>
  </si>
  <si>
    <t>第6-7页</t>
  </si>
  <si>
    <t>结算申请单</t>
  </si>
  <si>
    <t>第8页</t>
  </si>
  <si>
    <t>结算通知书</t>
  </si>
  <si>
    <t>第9页</t>
  </si>
  <si>
    <t>授权委托书</t>
  </si>
  <si>
    <t>第10-12页</t>
  </si>
  <si>
    <t>往来账目明细</t>
  </si>
  <si>
    <t>第13页</t>
  </si>
  <si>
    <t>竣工验收单</t>
  </si>
  <si>
    <t>1份10页</t>
  </si>
  <si>
    <t>第14-23页</t>
  </si>
  <si>
    <t>约谈纪录</t>
  </si>
  <si>
    <t>第24页</t>
  </si>
  <si>
    <t>1份7页</t>
  </si>
  <si>
    <t>第25-31页</t>
  </si>
  <si>
    <t>签字版</t>
  </si>
  <si>
    <t>造价师：</t>
  </si>
  <si>
    <t>日期：</t>
  </si>
  <si>
    <t>栾川山水文苑样板间通道装修施工合同结算汇总表</t>
  </si>
  <si>
    <t xml:space="preserve">合同编号：LCS1-YX-126                                  合同金额：81000元 </t>
  </si>
  <si>
    <t>合同名称：栾川山水文苑样板间通道装修施工合同</t>
  </si>
  <si>
    <t>甲    方：栾川县浩德颐康文旅有限公司</t>
  </si>
  <si>
    <t>乙    方：河南润泽广告有限公司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</si>
  <si>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</si>
  <si>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</si>
  <si>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</si>
  <si>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</si>
  <si>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</si>
  <si>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</si>
  <si>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</si>
  <si>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</si>
  <si>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</si>
  <si>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</si>
  <si>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</si>
  <si>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</si>
  <si>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</si>
  <si>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</si>
  <si>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</si>
  <si>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</si>
  <si>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</si>
  <si>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</si>
  <si>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</si>
  <si>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</si>
  <si>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</si>
  <si>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</si>
  <si>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</si>
  <si>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</si>
  <si>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</si>
  <si>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</si>
  <si>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</si>
  <si>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</si>
  <si>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</si>
  <si>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</si>
  <si>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</si>
  <si>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</si>
  <si>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</si>
  <si>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</si>
  <si>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栾川山水文苑样板间通道装修施工合同结算价明细汇总表</t>
  </si>
  <si>
    <t>名称（位置）</t>
  </si>
  <si>
    <t>材质</t>
  </si>
  <si>
    <t>规格</t>
  </si>
  <si>
    <t>单位</t>
  </si>
  <si>
    <t>实际验收量</t>
  </si>
  <si>
    <t>单价（元）</t>
  </si>
  <si>
    <t>总价（元）</t>
  </si>
  <si>
    <t>合同内</t>
  </si>
  <si>
    <t>草皮</t>
  </si>
  <si>
    <t>多层草皮</t>
  </si>
  <si>
    <t>2cm</t>
  </si>
  <si>
    <t>m2</t>
  </si>
  <si>
    <t>详见现场测量单</t>
  </si>
  <si>
    <t>形象墙装饰</t>
  </si>
  <si>
    <t>装饰花</t>
  </si>
  <si>
    <t>异型假花</t>
  </si>
  <si>
    <t>发光字</t>
  </si>
  <si>
    <t>亚克力</t>
  </si>
  <si>
    <t>3cm</t>
  </si>
  <si>
    <t>广告字</t>
  </si>
  <si>
    <t>PVC</t>
  </si>
  <si>
    <t>1cm</t>
  </si>
  <si>
    <t>剪影造型</t>
  </si>
  <si>
    <t>金属字</t>
  </si>
  <si>
    <t>拉丝</t>
  </si>
  <si>
    <t>地毯</t>
  </si>
  <si>
    <t>加厚灰色</t>
  </si>
  <si>
    <t>3mm</t>
  </si>
  <si>
    <t>剩余地毯</t>
  </si>
  <si>
    <t>营销部接收，约谈记录</t>
  </si>
  <si>
    <t>顶部灯箱</t>
  </si>
  <si>
    <t>软膜灯箱</t>
  </si>
  <si>
    <t>8cm</t>
  </si>
  <si>
    <t>广告灯箱</t>
  </si>
  <si>
    <t>射灯</t>
  </si>
  <si>
    <t>个</t>
  </si>
  <si>
    <t>轨道</t>
  </si>
  <si>
    <t>金属</t>
  </si>
  <si>
    <t>米</t>
  </si>
  <si>
    <t>电线</t>
  </si>
  <si>
    <t>m</t>
  </si>
  <si>
    <t>木龙骨</t>
  </si>
  <si>
    <t>配电箱 电表</t>
  </si>
  <si>
    <t>合同外增加部分</t>
  </si>
  <si>
    <t>大门金属边条</t>
  </si>
  <si>
    <t>宽3cm</t>
  </si>
  <si>
    <t>约谈记录</t>
  </si>
  <si>
    <t>地毯（样板间）</t>
  </si>
  <si>
    <t>加厚红色</t>
  </si>
  <si>
    <t>地毯（样板间）剩余</t>
  </si>
  <si>
    <t>筒灯</t>
  </si>
  <si>
    <t>超博</t>
  </si>
  <si>
    <t>直径8cm</t>
  </si>
  <si>
    <t>pvc线管</t>
  </si>
  <si>
    <t>防水套管</t>
  </si>
  <si>
    <t>直径32mm</t>
  </si>
  <si>
    <t>开关</t>
  </si>
  <si>
    <t>常规</t>
  </si>
  <si>
    <t>西门子</t>
  </si>
  <si>
    <t>两项插头</t>
  </si>
  <si>
    <t>可折弯</t>
  </si>
  <si>
    <t>90度插头</t>
  </si>
  <si>
    <t>卡线槽</t>
  </si>
  <si>
    <t>塑料</t>
  </si>
  <si>
    <t>2cm宽</t>
  </si>
  <si>
    <t>万能胶</t>
  </si>
  <si>
    <t>墙砖使用</t>
  </si>
  <si>
    <t>20升</t>
  </si>
  <si>
    <t>筒</t>
  </si>
  <si>
    <t>电缆线</t>
  </si>
  <si>
    <t>国标</t>
  </si>
  <si>
    <t>3*6</t>
  </si>
  <si>
    <t>盘</t>
  </si>
  <si>
    <t>装饰盆栽</t>
  </si>
  <si>
    <t>50cm</t>
  </si>
  <si>
    <t>盆</t>
  </si>
  <si>
    <t>合计</t>
  </si>
  <si>
    <t>最终结算</t>
  </si>
  <si>
    <t>栾川山水文苑样板间通道装修材料尺寸确认表</t>
  </si>
  <si>
    <t>位置</t>
  </si>
  <si>
    <t>尺寸（单位：米）</t>
  </si>
  <si>
    <t>合计（平方）</t>
  </si>
  <si>
    <t>左1入口</t>
  </si>
  <si>
    <t>2.6*（7.7+0.2+3.45+0.55）</t>
  </si>
  <si>
    <t>2.6*（7.7+0.2）</t>
  </si>
  <si>
    <t>2.7*0.55</t>
  </si>
  <si>
    <t>2.8*（2.7+2.7+1.4）</t>
  </si>
  <si>
    <t>截面楼梯</t>
  </si>
  <si>
    <t>1.25*2.5</t>
  </si>
  <si>
    <t>右1</t>
  </si>
  <si>
    <t>2.8*（5.9+2.4）</t>
  </si>
  <si>
    <t>2.7*（1.9+0.55）</t>
  </si>
  <si>
    <t>2.6*9.2</t>
  </si>
  <si>
    <t>顶面</t>
  </si>
  <si>
    <t>2.3*9.2</t>
  </si>
  <si>
    <t>1.74*1.95</t>
  </si>
  <si>
    <t>1.23*2.65</t>
  </si>
  <si>
    <t>入口处</t>
  </si>
  <si>
    <t>2*1.73</t>
  </si>
  <si>
    <t>1.35*2.5</t>
  </si>
  <si>
    <t>1.52*（2.18+0.17）</t>
  </si>
  <si>
    <t>（2+8.7）*1.8</t>
  </si>
  <si>
    <t>1.6*0.87</t>
  </si>
  <si>
    <t>楼梯</t>
  </si>
  <si>
    <t>0.87*2.2</t>
  </si>
  <si>
    <t>楼梯右墙</t>
  </si>
  <si>
    <t>2.38+2.16</t>
  </si>
  <si>
    <t>（2.3*2.2）左右两面*2</t>
  </si>
  <si>
    <t>2.6*0.74（左墙角）</t>
  </si>
  <si>
    <t>0.37*2.5</t>
  </si>
  <si>
    <t>入口底</t>
  </si>
  <si>
    <t>3.2*1.3</t>
  </si>
  <si>
    <t>入梯口</t>
  </si>
  <si>
    <t>2.5*1.8</t>
  </si>
  <si>
    <t>1.8*1</t>
  </si>
  <si>
    <t>0.72*3.5</t>
  </si>
  <si>
    <t>2.2*2.7*2（左右两面）</t>
  </si>
  <si>
    <t>3.5*20.2</t>
  </si>
  <si>
    <t>顶灯</t>
  </si>
  <si>
    <t>3.7*0.2</t>
  </si>
  <si>
    <t>背山面水</t>
  </si>
  <si>
    <t>3.8*2.7*2</t>
  </si>
  <si>
    <t>4.7*1.2</t>
  </si>
  <si>
    <t>品味皇家园林</t>
  </si>
  <si>
    <t>2.44*1.3</t>
  </si>
  <si>
    <t>2.44*2.22</t>
  </si>
  <si>
    <t>4.5*2.2</t>
  </si>
  <si>
    <t>3.75*2.4</t>
  </si>
  <si>
    <t>顶6*1.2</t>
  </si>
  <si>
    <t>11大</t>
  </si>
  <si>
    <t>2.8*2.37</t>
  </si>
  <si>
    <t>右墙</t>
  </si>
  <si>
    <t>2.8*1.7</t>
  </si>
  <si>
    <t>四大体系</t>
  </si>
  <si>
    <t>3.8*2.6*2</t>
  </si>
  <si>
    <t>1.2*（3.3+0.4+0.4）</t>
  </si>
  <si>
    <t>四季、双全</t>
  </si>
  <si>
    <t>3*（1.9+4.35）</t>
  </si>
  <si>
    <t>（2.6*2.8）*2</t>
  </si>
  <si>
    <t>（0.9+1.2+2.2+0.2+0.1+0.4）*1.2</t>
  </si>
  <si>
    <t>入户门</t>
  </si>
  <si>
    <t>2.5*2.8</t>
  </si>
  <si>
    <t>门头顶</t>
  </si>
  <si>
    <t>1.2*0.8*2</t>
  </si>
  <si>
    <t>2.75*2.8</t>
  </si>
  <si>
    <t>头灯</t>
  </si>
  <si>
    <t>（2.5+1.4+0.9）*2.8</t>
  </si>
  <si>
    <t>5.2*（1.8+1.4）</t>
  </si>
  <si>
    <t>门顶</t>
  </si>
  <si>
    <t>5.2*1.7</t>
  </si>
  <si>
    <t>总计</t>
  </si>
  <si>
    <t>2.8*2.8</t>
  </si>
  <si>
    <t>2.6*2.8</t>
  </si>
  <si>
    <t>1.2*2.4*3</t>
  </si>
  <si>
    <t>1*2*2</t>
  </si>
  <si>
    <t>1*1.6*2</t>
  </si>
  <si>
    <t>1*3*5</t>
  </si>
  <si>
    <t>2.45*0.9</t>
  </si>
  <si>
    <t>金属条</t>
  </si>
  <si>
    <t>金属边条</t>
  </si>
  <si>
    <t>2.1+2.1+2.3</t>
  </si>
  <si>
    <t>3+3+3.5</t>
  </si>
  <si>
    <t>（6.6+3+2.5+0.4+1.1+4+0.2+6.6+
4.1+6.4+2.5+5.6+2.5+6.9+2.5+1.5
+5.8+2.5+5.4+8+10+19+8+16）*2</t>
  </si>
  <si>
    <t>（8+2.5+1.5+2.5+4.6+2.5+7.5+9.2
+7.6+6.9+4.7+5.2+4.7+8+3+6+6
12+16+0.5+8.4+8+9+12+10）*2</t>
  </si>
  <si>
    <t>（12+5+3+8+5.2+4+4.3+1.8+
2.8+6.8）*2灰色地毯</t>
  </si>
  <si>
    <t>样板间x2 红色地毯</t>
  </si>
  <si>
    <t>八</t>
  </si>
  <si>
    <t>PVC字、剪影造型</t>
  </si>
  <si>
    <t>PVC字</t>
  </si>
  <si>
    <t>0.18*13+0.15*72+0.25*8+0.09*15+
0.12*3+0.2*12+0.16*12+1.9*2+1.2*3+0.12*8+0.12*8+0.16*8+0.17*12+0.16*19+0.16*10+0.25*4+0.17*1*2+0.16*9</t>
  </si>
  <si>
    <t>0.75*2+0.94*2+1.3*2+0.92*2+0.17*33+0.22*24+0.25*11+0.27*9+3.4+1.4+2.2+1.3*5+1.1*5+0.55*5+0.28*5+1*4+0.6*4+0.8*4+0.79*10+0.57*10+2.4+2.4+0.13*18</t>
  </si>
  <si>
    <t>PVC线管</t>
  </si>
  <si>
    <t>12+5+3+8+6+9+7</t>
  </si>
  <si>
    <t>50米</t>
  </si>
  <si>
    <t>3+3+3+3+3+3+3+3+3+3+5+2+3</t>
  </si>
  <si>
    <t>40个</t>
  </si>
  <si>
    <t>3+3+3+3+3+3</t>
  </si>
  <si>
    <t>15个</t>
  </si>
  <si>
    <t>1.5+2+3+1.5+2.5+2+3+6+5+1.5+2</t>
  </si>
  <si>
    <t>30米</t>
  </si>
  <si>
    <t>楼体金属条</t>
  </si>
  <si>
    <t>8+7+8+7+6+9</t>
  </si>
  <si>
    <t>45根</t>
  </si>
  <si>
    <t>26+14+32+10</t>
  </si>
  <si>
    <t>82米</t>
  </si>
  <si>
    <t>4+3+4+3+2</t>
  </si>
  <si>
    <t>16米</t>
  </si>
  <si>
    <t>签字/盖章</t>
  </si>
  <si>
    <t>洛阳途策文化传媒有限公司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</si>
</sst>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sz val="12"/>
      <name val="微软雅黑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2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3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17" borderId="33" applyNumberFormat="0" applyAlignment="0" applyProtection="0">
      <alignment vertical="center"/>
    </xf>
    <xf numFmtId="0" fontId="35" fillId="17" borderId="28" applyNumberFormat="0" applyAlignment="0" applyProtection="0">
      <alignment vertical="center"/>
    </xf>
    <xf numFmtId="0" fontId="36" fillId="18" borderId="3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1" fillId="6" borderId="37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1" fillId="6" borderId="3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3" fillId="44" borderId="3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43" fillId="44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43" applyNumberFormat="0" applyFill="0" applyAlignment="0" applyProtection="0">
      <alignment vertical="center"/>
    </xf>
    <xf numFmtId="0" fontId="52" fillId="0" borderId="43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3" fillId="42" borderId="29" applyNumberFormat="0" applyAlignment="0" applyProtection="0">
      <alignment vertical="center"/>
    </xf>
    <xf numFmtId="0" fontId="53" fillId="42" borderId="29" applyNumberFormat="0" applyAlignment="0" applyProtection="0">
      <alignment vertical="center"/>
    </xf>
    <xf numFmtId="0" fontId="0" fillId="54" borderId="44" applyNumberFormat="0" applyFont="0" applyAlignment="0" applyProtection="0">
      <alignment vertical="center"/>
    </xf>
    <xf numFmtId="0" fontId="0" fillId="54" borderId="44" applyNumberFormat="0" applyFont="0" applyAlignment="0" applyProtection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0" xfId="139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justify" vertical="top" wrapText="1"/>
    </xf>
    <xf numFmtId="0" fontId="10" fillId="0" borderId="12" xfId="0" applyFont="1" applyBorder="1" applyAlignment="1">
      <alignment horizontal="justify" vertical="top" wrapText="1"/>
    </xf>
    <xf numFmtId="176" fontId="10" fillId="0" borderId="12" xfId="0" applyNumberFormat="1" applyFont="1" applyBorder="1" applyAlignment="1">
      <alignment horizontal="justify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justify" vertical="top" wrapText="1"/>
    </xf>
    <xf numFmtId="0" fontId="9" fillId="0" borderId="16" xfId="0" applyFont="1" applyBorder="1" applyAlignment="1">
      <alignment horizontal="justify" vertical="top" wrapText="1"/>
    </xf>
    <xf numFmtId="177" fontId="10" fillId="0" borderId="8" xfId="0" applyNumberFormat="1" applyFont="1" applyBorder="1" applyAlignment="1">
      <alignment horizontal="justify" vertical="top" wrapText="1"/>
    </xf>
    <xf numFmtId="177" fontId="10" fillId="0" borderId="9" xfId="0" applyNumberFormat="1" applyFont="1" applyBorder="1" applyAlignment="1">
      <alignment horizontal="justify" vertical="top" wrapText="1"/>
    </xf>
    <xf numFmtId="177" fontId="10" fillId="0" borderId="10" xfId="0" applyNumberFormat="1" applyFont="1" applyBorder="1" applyAlignment="1">
      <alignment horizontal="justify" vertical="top" wrapText="1"/>
    </xf>
    <xf numFmtId="0" fontId="9" fillId="0" borderId="17" xfId="0" applyFont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  <xf numFmtId="178" fontId="7" fillId="0" borderId="8" xfId="0" applyNumberFormat="1" applyFont="1" applyBorder="1" applyAlignment="1">
      <alignment horizontal="left" vertical="top" wrapText="1"/>
    </xf>
    <xf numFmtId="178" fontId="7" fillId="0" borderId="9" xfId="0" applyNumberFormat="1" applyFont="1" applyBorder="1" applyAlignment="1">
      <alignment horizontal="left" vertical="top" wrapText="1"/>
    </xf>
    <xf numFmtId="178" fontId="7" fillId="0" borderId="10" xfId="0" applyNumberFormat="1" applyFont="1" applyBorder="1" applyAlignment="1">
      <alignment horizontal="left" vertical="top" wrapText="1"/>
    </xf>
    <xf numFmtId="0" fontId="9" fillId="0" borderId="14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6" fillId="0" borderId="21" xfId="41" applyFont="1" applyFill="1" applyBorder="1" applyAlignment="1">
      <alignment horizontal="center" vertical="center" wrapText="1"/>
    </xf>
    <xf numFmtId="0" fontId="16" fillId="0" borderId="4" xfId="41" applyFont="1" applyFill="1" applyBorder="1" applyAlignment="1">
      <alignment vertical="center" wrapText="1"/>
    </xf>
    <xf numFmtId="0" fontId="16" fillId="0" borderId="4" xfId="41" applyFont="1" applyFill="1" applyBorder="1" applyAlignment="1">
      <alignment horizontal="center" vertical="center" wrapText="1"/>
    </xf>
    <xf numFmtId="0" fontId="16" fillId="0" borderId="22" xfId="4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0" fillId="0" borderId="2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14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C16" sqref="C16:F17"/>
    </sheetView>
  </sheetViews>
  <sheetFormatPr defaultColWidth="9" defaultRowHeight="14.25"/>
  <cols>
    <col min="1" max="1" width="7.25" style="70" customWidth="1"/>
    <col min="2" max="2" width="45.25" style="71" customWidth="1"/>
    <col min="3" max="3" width="8.9" style="70" customWidth="1"/>
    <col min="4" max="4" width="9.625" style="70" customWidth="1"/>
    <col min="5" max="5" width="11" style="71" customWidth="1"/>
    <col min="6" max="6" width="10" style="72" customWidth="1"/>
    <col min="7" max="7" width="8.5" style="71" customWidth="1"/>
    <col min="8" max="12" width="9" style="71"/>
  </cols>
  <sheetData>
    <row r="1" ht="36" customHeight="1" spans="1:9">
      <c r="A1" s="73" t="s">
        <v>0</v>
      </c>
      <c r="B1" s="73"/>
      <c r="C1" s="73"/>
      <c r="D1" s="73"/>
      <c r="E1" s="73"/>
      <c r="F1" s="73"/>
      <c r="G1" s="74"/>
      <c r="H1" s="74"/>
      <c r="I1" s="74"/>
    </row>
    <row r="2" ht="30.75" customHeight="1" spans="1:6">
      <c r="A2" s="75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7" t="s">
        <v>6</v>
      </c>
    </row>
    <row r="3" s="66" customFormat="1" ht="36" customHeight="1" spans="1:12">
      <c r="A3" s="78">
        <v>1</v>
      </c>
      <c r="B3" s="79" t="s">
        <v>7</v>
      </c>
      <c r="C3" s="80" t="s">
        <v>8</v>
      </c>
      <c r="D3" s="80" t="s">
        <v>9</v>
      </c>
      <c r="E3" s="79" t="s">
        <v>10</v>
      </c>
      <c r="F3" s="81"/>
      <c r="G3" s="82"/>
      <c r="H3" s="82"/>
      <c r="I3" s="82"/>
      <c r="J3" s="82"/>
      <c r="K3" s="82"/>
      <c r="L3" s="82"/>
    </row>
    <row r="4" s="66" customFormat="1" ht="27" customHeight="1" spans="1:12">
      <c r="A4" s="78">
        <v>2</v>
      </c>
      <c r="B4" s="79" t="s">
        <v>11</v>
      </c>
      <c r="C4" s="80" t="s">
        <v>8</v>
      </c>
      <c r="D4" s="80" t="s">
        <v>12</v>
      </c>
      <c r="E4" s="79" t="s">
        <v>10</v>
      </c>
      <c r="F4" s="81"/>
      <c r="G4" s="82"/>
      <c r="H4" s="82"/>
      <c r="I4" s="82"/>
      <c r="J4" s="82"/>
      <c r="K4" s="82"/>
      <c r="L4" s="82"/>
    </row>
    <row r="5" s="66" customFormat="1" ht="27" customHeight="1" spans="1:12">
      <c r="A5" s="78">
        <v>3</v>
      </c>
      <c r="B5" s="79" t="s">
        <v>13</v>
      </c>
      <c r="C5" s="80" t="s">
        <v>8</v>
      </c>
      <c r="D5" s="80" t="s">
        <v>14</v>
      </c>
      <c r="E5" s="79" t="s">
        <v>10</v>
      </c>
      <c r="F5" s="81"/>
      <c r="G5" s="82"/>
      <c r="H5" s="82"/>
      <c r="I5" s="82"/>
      <c r="J5" s="82"/>
      <c r="K5" s="82"/>
      <c r="L5" s="82"/>
    </row>
    <row r="6" s="66" customFormat="1" ht="27" customHeight="1" spans="1:12">
      <c r="A6" s="78">
        <v>4</v>
      </c>
      <c r="B6" s="79" t="s">
        <v>15</v>
      </c>
      <c r="C6" s="80" t="s">
        <v>8</v>
      </c>
      <c r="D6" s="80" t="s">
        <v>16</v>
      </c>
      <c r="E6" s="79" t="s">
        <v>10</v>
      </c>
      <c r="F6" s="81"/>
      <c r="G6" s="82"/>
      <c r="H6" s="82"/>
      <c r="I6" s="82"/>
      <c r="J6" s="82"/>
      <c r="K6" s="82"/>
      <c r="L6" s="82"/>
    </row>
    <row r="7" s="66" customFormat="1" ht="27" customHeight="1" spans="1:12">
      <c r="A7" s="78">
        <v>5</v>
      </c>
      <c r="B7" s="79" t="s">
        <v>17</v>
      </c>
      <c r="C7" s="80" t="s">
        <v>8</v>
      </c>
      <c r="D7" s="80" t="s">
        <v>18</v>
      </c>
      <c r="E7" s="79" t="s">
        <v>10</v>
      </c>
      <c r="F7" s="81"/>
      <c r="G7" s="82"/>
      <c r="H7" s="82"/>
      <c r="I7" s="82"/>
      <c r="J7" s="82"/>
      <c r="K7" s="82"/>
      <c r="L7" s="82"/>
    </row>
    <row r="8" s="66" customFormat="1" ht="27" customHeight="1" spans="1:12">
      <c r="A8" s="78">
        <v>6</v>
      </c>
      <c r="B8" s="79" t="s">
        <v>19</v>
      </c>
      <c r="C8" s="80" t="s">
        <v>20</v>
      </c>
      <c r="D8" s="80" t="s">
        <v>21</v>
      </c>
      <c r="E8" s="79" t="s">
        <v>10</v>
      </c>
      <c r="F8" s="81"/>
      <c r="G8" s="82"/>
      <c r="H8" s="82"/>
      <c r="I8" s="82"/>
      <c r="J8" s="82"/>
      <c r="K8" s="82"/>
      <c r="L8" s="82"/>
    </row>
    <row r="9" s="66" customFormat="1" ht="32" customHeight="1" spans="1:12">
      <c r="A9" s="78">
        <v>7</v>
      </c>
      <c r="B9" s="79" t="s">
        <v>22</v>
      </c>
      <c r="C9" s="80" t="s">
        <v>8</v>
      </c>
      <c r="D9" s="80" t="s">
        <v>23</v>
      </c>
      <c r="E9" s="79" t="s">
        <v>10</v>
      </c>
      <c r="F9" s="81"/>
      <c r="G9" s="83"/>
      <c r="H9" s="82"/>
      <c r="I9" s="82"/>
      <c r="J9" s="82"/>
      <c r="K9" s="82"/>
      <c r="L9" s="82"/>
    </row>
    <row r="10" s="66" customFormat="1" ht="32" customHeight="1" spans="1:12">
      <c r="A10" s="78">
        <v>8</v>
      </c>
      <c r="B10" s="79" t="s">
        <v>24</v>
      </c>
      <c r="C10" s="80" t="s">
        <v>8</v>
      </c>
      <c r="D10" s="80" t="s">
        <v>25</v>
      </c>
      <c r="E10" s="79" t="s">
        <v>10</v>
      </c>
      <c r="F10" s="81"/>
      <c r="G10" s="83"/>
      <c r="H10" s="82"/>
      <c r="I10" s="82"/>
      <c r="J10" s="82"/>
      <c r="K10" s="82"/>
      <c r="L10" s="82"/>
    </row>
    <row r="11" s="67" customFormat="1" ht="32" customHeight="1" spans="1:12">
      <c r="A11" s="78">
        <v>9</v>
      </c>
      <c r="B11" s="79" t="s">
        <v>26</v>
      </c>
      <c r="C11" s="80" t="s">
        <v>8</v>
      </c>
      <c r="D11" s="80" t="s">
        <v>27</v>
      </c>
      <c r="E11" s="79" t="s">
        <v>10</v>
      </c>
      <c r="F11" s="81"/>
      <c r="G11" s="84"/>
      <c r="H11" s="85"/>
      <c r="I11" s="94"/>
      <c r="J11" s="94"/>
      <c r="K11" s="94"/>
      <c r="L11" s="94"/>
    </row>
    <row r="12" s="68" customFormat="1" ht="33" customHeight="1" spans="1:12">
      <c r="A12" s="78">
        <v>10</v>
      </c>
      <c r="B12" s="79" t="s">
        <v>28</v>
      </c>
      <c r="C12" s="80" t="s">
        <v>8</v>
      </c>
      <c r="D12" s="80" t="s">
        <v>29</v>
      </c>
      <c r="E12" s="79" t="s">
        <v>10</v>
      </c>
      <c r="F12" s="81"/>
      <c r="G12" s="84"/>
      <c r="H12" s="85"/>
      <c r="I12" s="85"/>
      <c r="J12" s="85"/>
      <c r="K12" s="85"/>
      <c r="L12" s="85"/>
    </row>
    <row r="13" s="69" customFormat="1" ht="33" customHeight="1" spans="1:12">
      <c r="A13" s="78">
        <v>11</v>
      </c>
      <c r="B13" s="79" t="s">
        <v>30</v>
      </c>
      <c r="C13" s="80" t="s">
        <v>31</v>
      </c>
      <c r="D13" s="80" t="s">
        <v>32</v>
      </c>
      <c r="E13" s="79" t="s">
        <v>10</v>
      </c>
      <c r="F13" s="81"/>
      <c r="G13" s="86"/>
      <c r="H13" s="87"/>
      <c r="I13" s="87"/>
      <c r="J13" s="87"/>
      <c r="K13" s="87"/>
      <c r="L13" s="87"/>
    </row>
    <row r="14" s="69" customFormat="1" ht="33" customHeight="1" spans="1:12">
      <c r="A14" s="78">
        <v>12</v>
      </c>
      <c r="B14" s="79" t="s">
        <v>33</v>
      </c>
      <c r="C14" s="80" t="s">
        <v>8</v>
      </c>
      <c r="D14" s="80" t="s">
        <v>34</v>
      </c>
      <c r="E14" s="79" t="s">
        <v>10</v>
      </c>
      <c r="F14" s="81"/>
      <c r="G14" s="86"/>
      <c r="H14" s="87"/>
      <c r="I14" s="87"/>
      <c r="J14" s="87"/>
      <c r="K14" s="87"/>
      <c r="L14" s="87"/>
    </row>
    <row r="15" s="66" customFormat="1" ht="32" customHeight="1" spans="1:12">
      <c r="A15" s="78">
        <v>13</v>
      </c>
      <c r="B15" s="79" t="s">
        <v>7</v>
      </c>
      <c r="C15" s="80" t="s">
        <v>35</v>
      </c>
      <c r="D15" s="80" t="s">
        <v>36</v>
      </c>
      <c r="E15" s="79" t="s">
        <v>37</v>
      </c>
      <c r="F15" s="81"/>
      <c r="G15" s="83"/>
      <c r="H15" s="82"/>
      <c r="I15" s="82"/>
      <c r="J15" s="82"/>
      <c r="K15" s="82"/>
      <c r="L15" s="82"/>
    </row>
    <row r="16" ht="34" customHeight="1" spans="1:6">
      <c r="A16" s="88" t="s">
        <v>38</v>
      </c>
      <c r="B16" s="89"/>
      <c r="C16" s="89" t="s">
        <v>39</v>
      </c>
      <c r="D16" s="89"/>
      <c r="E16" s="89"/>
      <c r="F16" s="90"/>
    </row>
    <row r="17" ht="34" customHeight="1" spans="1:6">
      <c r="A17" s="91"/>
      <c r="B17" s="92"/>
      <c r="C17" s="92"/>
      <c r="D17" s="92"/>
      <c r="E17" s="92"/>
      <c r="F17" s="93"/>
    </row>
    <row r="32" ht="43.5" customHeight="1"/>
  </sheetData>
  <mergeCells count="3">
    <mergeCell ref="A1:F1"/>
    <mergeCell ref="A16:B17"/>
    <mergeCell ref="C16:F17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G11" sqref="G11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30" t="s">
        <v>40</v>
      </c>
      <c r="B1" s="30"/>
      <c r="C1" s="30"/>
      <c r="D1" s="30"/>
      <c r="E1" s="30"/>
      <c r="F1" s="30"/>
      <c r="G1" s="30"/>
      <c r="H1" s="30"/>
    </row>
    <row r="2" ht="31.8" customHeight="1" spans="1:8">
      <c r="A2" s="31" t="s">
        <v>41</v>
      </c>
      <c r="B2" s="31"/>
      <c r="C2" s="31"/>
      <c r="D2" s="31"/>
      <c r="E2" s="31"/>
      <c r="F2" s="31"/>
      <c r="G2" s="31"/>
      <c r="H2" s="31"/>
    </row>
    <row r="3" ht="23.25" customHeight="1" spans="1:8">
      <c r="A3" s="31" t="s">
        <v>42</v>
      </c>
      <c r="B3" s="31"/>
      <c r="C3" s="31"/>
      <c r="D3" s="31"/>
      <c r="E3" s="31"/>
      <c r="F3" s="31"/>
      <c r="G3" s="31"/>
      <c r="H3" s="31"/>
    </row>
    <row r="4" ht="25.5" customHeight="1" spans="1:8">
      <c r="A4" s="31" t="s">
        <v>43</v>
      </c>
      <c r="B4" s="31"/>
      <c r="C4" s="31"/>
      <c r="D4" s="31"/>
      <c r="E4" s="31"/>
      <c r="F4" s="31"/>
      <c r="G4" s="31"/>
      <c r="H4" s="31"/>
    </row>
    <row r="5" ht="30" customHeight="1" spans="1:8">
      <c r="A5" s="32" t="s">
        <v>44</v>
      </c>
      <c r="B5" s="32"/>
      <c r="C5" s="32"/>
      <c r="D5" s="32"/>
      <c r="E5" s="32"/>
      <c r="F5" s="32"/>
      <c r="G5" s="32"/>
      <c r="H5" s="32"/>
    </row>
    <row r="6" ht="20.25" customHeight="1" spans="1:8">
      <c r="A6" s="33" t="s">
        <v>1</v>
      </c>
      <c r="B6" s="34" t="s">
        <v>45</v>
      </c>
      <c r="C6" s="35"/>
      <c r="D6" s="36"/>
      <c r="E6" s="36" t="s">
        <v>46</v>
      </c>
      <c r="F6" s="36" t="s">
        <v>47</v>
      </c>
      <c r="G6" s="36" t="s">
        <v>48</v>
      </c>
      <c r="H6" s="36" t="s">
        <v>49</v>
      </c>
    </row>
    <row r="7" ht="20.25" customHeight="1" spans="1:8">
      <c r="A7" s="37" t="s">
        <v>50</v>
      </c>
      <c r="B7" s="38" t="s">
        <v>51</v>
      </c>
      <c r="C7" s="39"/>
      <c r="D7" s="40"/>
      <c r="E7" s="41">
        <f>E8+E9+E10+E11</f>
        <v>0</v>
      </c>
      <c r="F7" s="41">
        <v>0</v>
      </c>
      <c r="G7" s="41">
        <f>G8+G9+G10+G11</f>
        <v>0</v>
      </c>
      <c r="H7" s="42">
        <f>H8+H10-H12</f>
        <v>57800</v>
      </c>
    </row>
    <row r="8" ht="20.25" customHeight="1" spans="1:8">
      <c r="A8" s="43">
        <v>1.1</v>
      </c>
      <c r="B8" s="44" t="s">
        <v>52</v>
      </c>
      <c r="C8" s="45"/>
      <c r="D8" s="46"/>
      <c r="E8" s="41">
        <v>0</v>
      </c>
      <c r="F8" s="41">
        <v>0</v>
      </c>
      <c r="G8" s="41">
        <v>0</v>
      </c>
      <c r="H8" s="42">
        <f>'4、结算明细'!H3</f>
        <v>46768.5</v>
      </c>
    </row>
    <row r="9" ht="20.25" customHeight="1" spans="1:8">
      <c r="A9" s="43">
        <v>1.2</v>
      </c>
      <c r="B9" s="44" t="s">
        <v>53</v>
      </c>
      <c r="C9" s="45"/>
      <c r="D9" s="46"/>
      <c r="E9" s="41">
        <v>0</v>
      </c>
      <c r="F9" s="41">
        <v>0</v>
      </c>
      <c r="G9" s="41">
        <v>0</v>
      </c>
      <c r="H9" s="41"/>
    </row>
    <row r="10" ht="20.25" customHeight="1" spans="1:8">
      <c r="A10" s="43">
        <v>1.3</v>
      </c>
      <c r="B10" s="44" t="s">
        <v>54</v>
      </c>
      <c r="C10" s="45"/>
      <c r="D10" s="46"/>
      <c r="E10" s="41">
        <v>0</v>
      </c>
      <c r="F10" s="41">
        <v>0</v>
      </c>
      <c r="G10" s="41">
        <v>0</v>
      </c>
      <c r="H10" s="41">
        <f>'4、结算明细'!H19</f>
        <v>11074.22</v>
      </c>
    </row>
    <row r="11" ht="20.25" customHeight="1" spans="1:8">
      <c r="A11" s="43">
        <v>1.4</v>
      </c>
      <c r="B11" s="44" t="s">
        <v>55</v>
      </c>
      <c r="C11" s="45"/>
      <c r="D11" s="46"/>
      <c r="E11" s="41">
        <v>0</v>
      </c>
      <c r="F11" s="41">
        <v>0</v>
      </c>
      <c r="G11" s="41">
        <v>0</v>
      </c>
      <c r="H11" s="42"/>
    </row>
    <row r="12" ht="20.25" customHeight="1" spans="1:8">
      <c r="A12" s="43">
        <v>1.5</v>
      </c>
      <c r="B12" s="44" t="s">
        <v>56</v>
      </c>
      <c r="C12" s="45"/>
      <c r="D12" s="46"/>
      <c r="E12" s="47"/>
      <c r="F12" s="48"/>
      <c r="G12" s="41"/>
      <c r="H12" s="42">
        <f>'4、结算明细'!H31-'4、结算明细'!H32</f>
        <v>42.72</v>
      </c>
    </row>
    <row r="13" ht="20.25" customHeight="1" spans="1:8">
      <c r="A13" s="37" t="s">
        <v>57</v>
      </c>
      <c r="B13" s="38" t="s">
        <v>58</v>
      </c>
      <c r="C13" s="39"/>
      <c r="D13" s="40"/>
      <c r="E13" s="44">
        <v>0</v>
      </c>
      <c r="F13" s="46"/>
      <c r="G13" s="41">
        <v>0</v>
      </c>
      <c r="H13" s="41">
        <v>0</v>
      </c>
    </row>
    <row r="14" ht="20.25" customHeight="1" spans="1:8">
      <c r="A14" s="43">
        <v>2.1</v>
      </c>
      <c r="B14" s="44" t="s">
        <v>59</v>
      </c>
      <c r="C14" s="45"/>
      <c r="D14" s="46"/>
      <c r="E14" s="44">
        <v>0</v>
      </c>
      <c r="F14" s="46"/>
      <c r="G14" s="41">
        <v>0</v>
      </c>
      <c r="H14" s="41">
        <v>0</v>
      </c>
    </row>
    <row r="15" ht="20.25" customHeight="1" spans="1:8">
      <c r="A15" s="43">
        <v>2.2</v>
      </c>
      <c r="B15" s="44" t="s">
        <v>59</v>
      </c>
      <c r="C15" s="45"/>
      <c r="D15" s="46"/>
      <c r="E15" s="44">
        <v>0</v>
      </c>
      <c r="F15" s="46"/>
      <c r="G15" s="41">
        <v>0</v>
      </c>
      <c r="H15" s="41">
        <v>0</v>
      </c>
    </row>
    <row r="16" ht="20.25" customHeight="1" spans="1:8">
      <c r="A16" s="49" t="s">
        <v>60</v>
      </c>
      <c r="B16" s="50" t="s">
        <v>61</v>
      </c>
      <c r="C16" s="51"/>
      <c r="D16" s="41" t="s">
        <v>62</v>
      </c>
      <c r="E16" s="52">
        <f>H7</f>
        <v>57800</v>
      </c>
      <c r="F16" s="53"/>
      <c r="G16" s="53"/>
      <c r="H16" s="54"/>
    </row>
    <row r="17" ht="20.25" customHeight="1" spans="1:8">
      <c r="A17" s="37"/>
      <c r="B17" s="55"/>
      <c r="C17" s="56"/>
      <c r="D17" s="41" t="s">
        <v>63</v>
      </c>
      <c r="E17" s="57">
        <f>E16</f>
        <v>57800</v>
      </c>
      <c r="F17" s="58"/>
      <c r="G17" s="58"/>
      <c r="H17" s="59"/>
    </row>
    <row r="18" ht="20.25" customHeight="1" spans="1:8">
      <c r="A18" s="37" t="s">
        <v>64</v>
      </c>
      <c r="B18" s="38" t="s">
        <v>65</v>
      </c>
      <c r="C18" s="39"/>
      <c r="D18" s="40"/>
      <c r="E18" s="44">
        <v>0</v>
      </c>
      <c r="F18" s="45"/>
      <c r="G18" s="45"/>
      <c r="H18" s="46"/>
    </row>
    <row r="19" ht="20.25" customHeight="1" spans="1:8">
      <c r="A19" s="43">
        <v>4.1</v>
      </c>
      <c r="B19" s="44" t="s">
        <v>66</v>
      </c>
      <c r="C19" s="45"/>
      <c r="D19" s="46"/>
      <c r="E19" s="44">
        <v>0</v>
      </c>
      <c r="F19" s="45"/>
      <c r="G19" s="45"/>
      <c r="H19" s="46"/>
    </row>
    <row r="20" ht="20.25" customHeight="1" spans="1:8">
      <c r="A20" s="43">
        <v>4.2</v>
      </c>
      <c r="B20" s="44" t="s">
        <v>67</v>
      </c>
      <c r="C20" s="45"/>
      <c r="D20" s="46"/>
      <c r="E20" s="44">
        <v>0</v>
      </c>
      <c r="F20" s="45"/>
      <c r="G20" s="45"/>
      <c r="H20" s="46"/>
    </row>
    <row r="21" ht="20.25" customHeight="1" spans="1:8">
      <c r="A21" s="37" t="s">
        <v>68</v>
      </c>
      <c r="B21" s="38" t="s">
        <v>69</v>
      </c>
      <c r="C21" s="39"/>
      <c r="D21" s="40"/>
      <c r="E21" s="44">
        <v>0</v>
      </c>
      <c r="F21" s="45"/>
      <c r="G21" s="45"/>
      <c r="H21" s="46"/>
    </row>
    <row r="22" ht="20.25" customHeight="1" spans="1:8">
      <c r="A22" s="43">
        <v>5.1</v>
      </c>
      <c r="B22" s="44" t="s">
        <v>70</v>
      </c>
      <c r="C22" s="45"/>
      <c r="D22" s="46"/>
      <c r="E22" s="44" t="s">
        <v>71</v>
      </c>
      <c r="F22" s="45"/>
      <c r="G22" s="45"/>
      <c r="H22" s="46"/>
    </row>
    <row r="23" ht="20.25" customHeight="1" spans="1:8">
      <c r="A23" s="43">
        <v>5.2</v>
      </c>
      <c r="B23" s="44" t="s">
        <v>72</v>
      </c>
      <c r="C23" s="45"/>
      <c r="D23" s="46"/>
      <c r="E23" s="44" t="s">
        <v>71</v>
      </c>
      <c r="F23" s="45"/>
      <c r="G23" s="45"/>
      <c r="H23" s="46"/>
    </row>
    <row r="24" ht="20.25" customHeight="1" spans="1:8">
      <c r="A24" s="49" t="s">
        <v>73</v>
      </c>
      <c r="B24" s="60" t="s">
        <v>74</v>
      </c>
      <c r="C24" s="44" t="s">
        <v>62</v>
      </c>
      <c r="D24" s="46"/>
      <c r="E24" s="52">
        <f>E16</f>
        <v>57800</v>
      </c>
      <c r="F24" s="45"/>
      <c r="G24" s="45"/>
      <c r="H24" s="46"/>
    </row>
    <row r="25" ht="20.25" customHeight="1" spans="1:8">
      <c r="A25" s="37"/>
      <c r="B25" s="61"/>
      <c r="C25" s="44" t="s">
        <v>63</v>
      </c>
      <c r="D25" s="46"/>
      <c r="E25" s="57">
        <f>E17</f>
        <v>57800</v>
      </c>
      <c r="F25" s="58"/>
      <c r="G25" s="58"/>
      <c r="H25" s="59"/>
    </row>
    <row r="26" ht="20.25" customHeight="1" spans="1:8">
      <c r="A26" s="49" t="s">
        <v>75</v>
      </c>
      <c r="B26" s="60" t="s">
        <v>76</v>
      </c>
      <c r="C26" s="44" t="s">
        <v>62</v>
      </c>
      <c r="D26" s="46"/>
      <c r="E26" s="52">
        <f>E24</f>
        <v>57800</v>
      </c>
      <c r="F26" s="45"/>
      <c r="G26" s="45"/>
      <c r="H26" s="46"/>
    </row>
    <row r="27" ht="20.25" customHeight="1" spans="1:8">
      <c r="A27" s="37"/>
      <c r="B27" s="61"/>
      <c r="C27" s="44" t="s">
        <v>63</v>
      </c>
      <c r="D27" s="46"/>
      <c r="E27" s="57">
        <f>E17</f>
        <v>57800</v>
      </c>
      <c r="F27" s="58"/>
      <c r="G27" s="58"/>
      <c r="H27" s="59"/>
    </row>
    <row r="28" spans="1:8">
      <c r="A28" s="62"/>
      <c r="B28" s="62"/>
      <c r="C28" s="62"/>
      <c r="D28" s="62"/>
      <c r="E28" s="62"/>
      <c r="F28" s="62"/>
      <c r="G28" s="62"/>
      <c r="H28" s="62"/>
    </row>
    <row r="29" spans="1:8">
      <c r="A29" s="63" t="s">
        <v>77</v>
      </c>
      <c r="B29" s="63"/>
      <c r="C29" s="63"/>
      <c r="D29" s="63"/>
      <c r="E29" s="63"/>
      <c r="F29" s="63"/>
      <c r="G29" s="63"/>
      <c r="H29" s="63"/>
    </row>
    <row r="30" spans="1:1">
      <c r="A30" s="64"/>
    </row>
    <row r="31" spans="1:1">
      <c r="A31" s="64"/>
    </row>
    <row r="32" spans="1:8">
      <c r="A32" s="63" t="s">
        <v>78</v>
      </c>
      <c r="B32" s="63"/>
      <c r="C32" s="63"/>
      <c r="D32" s="63"/>
      <c r="E32" s="63"/>
      <c r="F32" s="63"/>
      <c r="G32" s="63"/>
      <c r="H32" s="63"/>
    </row>
    <row r="33" spans="1:1">
      <c r="A33" s="64"/>
    </row>
    <row r="34" ht="27" customHeight="1" spans="1:8">
      <c r="A34" s="65"/>
      <c r="B34" s="65"/>
      <c r="C34" s="65"/>
      <c r="D34" s="65"/>
      <c r="E34" s="65"/>
      <c r="F34" s="65"/>
      <c r="G34" s="65"/>
      <c r="H34" s="65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3" workbookViewId="0">
      <selection activeCell="I32" sqref="I32"/>
    </sheetView>
  </sheetViews>
  <sheetFormatPr defaultColWidth="9" defaultRowHeight="14.25"/>
  <cols>
    <col min="1" max="1" width="5.875" customWidth="1"/>
    <col min="2" max="2" width="17" customWidth="1"/>
    <col min="3" max="3" width="10" customWidth="1"/>
    <col min="4" max="4" width="11.375" customWidth="1"/>
    <col min="5" max="5" width="6.375" customWidth="1"/>
    <col min="6" max="6" width="13.75" style="21" customWidth="1"/>
    <col min="7" max="7" width="11.25" customWidth="1"/>
    <col min="8" max="8" width="12.5" customWidth="1"/>
    <col min="9" max="9" width="18.625" customWidth="1"/>
  </cols>
  <sheetData>
    <row r="1" ht="41" customHeight="1" spans="1:9">
      <c r="A1" s="22" t="s">
        <v>79</v>
      </c>
      <c r="B1" s="22"/>
      <c r="C1" s="22"/>
      <c r="D1" s="22"/>
      <c r="E1" s="22"/>
      <c r="F1" s="22"/>
      <c r="G1" s="22"/>
      <c r="H1" s="22"/>
      <c r="I1" s="22"/>
    </row>
    <row r="2" ht="29" customHeight="1" spans="1:9">
      <c r="A2" s="23" t="s">
        <v>1</v>
      </c>
      <c r="B2" s="23" t="s">
        <v>80</v>
      </c>
      <c r="C2" s="23" t="s">
        <v>81</v>
      </c>
      <c r="D2" s="23" t="s">
        <v>82</v>
      </c>
      <c r="E2" s="23" t="s">
        <v>83</v>
      </c>
      <c r="F2" s="24" t="s">
        <v>84</v>
      </c>
      <c r="G2" s="23" t="s">
        <v>85</v>
      </c>
      <c r="H2" s="23" t="s">
        <v>86</v>
      </c>
      <c r="I2" s="27" t="s">
        <v>6</v>
      </c>
    </row>
    <row r="3" ht="29" customHeight="1" spans="1:9">
      <c r="A3" s="23" t="s">
        <v>50</v>
      </c>
      <c r="B3" s="23" t="s">
        <v>87</v>
      </c>
      <c r="C3" s="23"/>
      <c r="D3" s="23"/>
      <c r="E3" s="23"/>
      <c r="F3" s="24"/>
      <c r="G3" s="23"/>
      <c r="H3" s="23">
        <f>SUM(H4:H18)</f>
        <v>46768.5</v>
      </c>
      <c r="I3" s="27"/>
    </row>
    <row r="4" ht="24" customHeight="1" spans="1:9">
      <c r="A4" s="23">
        <v>1</v>
      </c>
      <c r="B4" s="23" t="s">
        <v>88</v>
      </c>
      <c r="C4" s="23" t="s">
        <v>89</v>
      </c>
      <c r="D4" s="23" t="s">
        <v>90</v>
      </c>
      <c r="E4" s="23" t="s">
        <v>91</v>
      </c>
      <c r="F4" s="24">
        <v>495</v>
      </c>
      <c r="G4" s="23">
        <v>25</v>
      </c>
      <c r="H4" s="25">
        <f t="shared" ref="H4:H18" si="0">G4*F4</f>
        <v>12375</v>
      </c>
      <c r="I4" s="27" t="s">
        <v>92</v>
      </c>
    </row>
    <row r="5" ht="23" customHeight="1" spans="1:9">
      <c r="A5" s="23">
        <v>2</v>
      </c>
      <c r="B5" s="23" t="s">
        <v>93</v>
      </c>
      <c r="C5" s="23" t="s">
        <v>94</v>
      </c>
      <c r="D5" s="23" t="s">
        <v>95</v>
      </c>
      <c r="E5" s="23" t="s">
        <v>91</v>
      </c>
      <c r="F5" s="24">
        <v>19.88</v>
      </c>
      <c r="G5" s="23">
        <v>100</v>
      </c>
      <c r="H5" s="25">
        <f t="shared" si="0"/>
        <v>1988</v>
      </c>
      <c r="I5" s="27" t="s">
        <v>92</v>
      </c>
    </row>
    <row r="6" ht="23" customHeight="1" spans="1:9">
      <c r="A6" s="23">
        <v>3</v>
      </c>
      <c r="B6" s="23" t="s">
        <v>96</v>
      </c>
      <c r="C6" s="23" t="s">
        <v>97</v>
      </c>
      <c r="D6" s="23" t="s">
        <v>98</v>
      </c>
      <c r="E6" s="23" t="s">
        <v>91</v>
      </c>
      <c r="F6" s="24">
        <v>2.34</v>
      </c>
      <c r="G6" s="23">
        <f>4000/5</f>
        <v>800</v>
      </c>
      <c r="H6" s="25">
        <f t="shared" si="0"/>
        <v>1872</v>
      </c>
      <c r="I6" s="27" t="s">
        <v>92</v>
      </c>
    </row>
    <row r="7" ht="21" customHeight="1" spans="1:9">
      <c r="A7" s="23">
        <v>4</v>
      </c>
      <c r="B7" s="23" t="s">
        <v>99</v>
      </c>
      <c r="C7" s="23" t="s">
        <v>100</v>
      </c>
      <c r="D7" s="23" t="s">
        <v>101</v>
      </c>
      <c r="E7" s="23" t="s">
        <v>91</v>
      </c>
      <c r="F7" s="24">
        <f>'5、工程量'!C82</f>
        <v>42.23</v>
      </c>
      <c r="G7" s="23">
        <v>110</v>
      </c>
      <c r="H7" s="25">
        <f t="shared" si="0"/>
        <v>4645.3</v>
      </c>
      <c r="I7" s="27" t="s">
        <v>92</v>
      </c>
    </row>
    <row r="8" ht="22" customHeight="1" spans="1:9">
      <c r="A8" s="23">
        <v>5</v>
      </c>
      <c r="B8" s="23" t="s">
        <v>102</v>
      </c>
      <c r="C8" s="23" t="s">
        <v>100</v>
      </c>
      <c r="D8" s="23" t="s">
        <v>101</v>
      </c>
      <c r="E8" s="23" t="s">
        <v>91</v>
      </c>
      <c r="F8" s="24">
        <f>'5、工程量'!C84</f>
        <v>77.14</v>
      </c>
      <c r="G8" s="23">
        <v>110</v>
      </c>
      <c r="H8" s="25">
        <f t="shared" si="0"/>
        <v>8485.4</v>
      </c>
      <c r="I8" s="27" t="s">
        <v>92</v>
      </c>
    </row>
    <row r="9" ht="31" customHeight="1" spans="1:9">
      <c r="A9" s="23">
        <v>6</v>
      </c>
      <c r="B9" s="23" t="s">
        <v>103</v>
      </c>
      <c r="C9" s="23" t="s">
        <v>104</v>
      </c>
      <c r="D9" s="23" t="s">
        <v>98</v>
      </c>
      <c r="E9" s="23" t="s">
        <v>91</v>
      </c>
      <c r="F9" s="24">
        <v>1.75</v>
      </c>
      <c r="G9" s="23">
        <v>200</v>
      </c>
      <c r="H9" s="25">
        <f t="shared" si="0"/>
        <v>350</v>
      </c>
      <c r="I9" s="27"/>
    </row>
    <row r="10" ht="31" customHeight="1" spans="1:9">
      <c r="A10" s="23">
        <v>7</v>
      </c>
      <c r="B10" s="23" t="s">
        <v>105</v>
      </c>
      <c r="C10" s="23" t="s">
        <v>106</v>
      </c>
      <c r="D10" s="23" t="s">
        <v>107</v>
      </c>
      <c r="E10" s="23" t="s">
        <v>91</v>
      </c>
      <c r="F10" s="24">
        <v>105.8</v>
      </c>
      <c r="G10" s="23">
        <v>20</v>
      </c>
      <c r="H10" s="25">
        <f t="shared" si="0"/>
        <v>2116</v>
      </c>
      <c r="I10" s="27"/>
    </row>
    <row r="11" ht="31" customHeight="1" spans="1:9">
      <c r="A11" s="23">
        <v>8</v>
      </c>
      <c r="B11" s="23" t="s">
        <v>108</v>
      </c>
      <c r="C11" s="23" t="s">
        <v>106</v>
      </c>
      <c r="D11" s="23" t="s">
        <v>107</v>
      </c>
      <c r="E11" s="23" t="s">
        <v>91</v>
      </c>
      <c r="F11" s="24">
        <v>68.8</v>
      </c>
      <c r="G11" s="24">
        <v>12</v>
      </c>
      <c r="H11" s="25">
        <f t="shared" si="0"/>
        <v>825.6</v>
      </c>
      <c r="I11" s="29" t="s">
        <v>109</v>
      </c>
    </row>
    <row r="12" ht="31" customHeight="1" spans="1:9">
      <c r="A12" s="23">
        <v>9</v>
      </c>
      <c r="B12" s="23" t="s">
        <v>110</v>
      </c>
      <c r="C12" s="23" t="s">
        <v>111</v>
      </c>
      <c r="D12" s="23" t="s">
        <v>112</v>
      </c>
      <c r="E12" s="23" t="s">
        <v>91</v>
      </c>
      <c r="F12" s="24">
        <v>17.205</v>
      </c>
      <c r="G12" s="23">
        <v>280</v>
      </c>
      <c r="H12" s="25">
        <f t="shared" si="0"/>
        <v>4817.4</v>
      </c>
      <c r="I12" s="27"/>
    </row>
    <row r="13" ht="31" customHeight="1" spans="1:9">
      <c r="A13" s="23">
        <v>10</v>
      </c>
      <c r="B13" s="23" t="s">
        <v>113</v>
      </c>
      <c r="C13" s="23" t="s">
        <v>111</v>
      </c>
      <c r="D13" s="23" t="s">
        <v>112</v>
      </c>
      <c r="E13" s="23" t="s">
        <v>91</v>
      </c>
      <c r="F13" s="24">
        <v>15.84</v>
      </c>
      <c r="G13" s="23">
        <v>220</v>
      </c>
      <c r="H13" s="25">
        <f t="shared" si="0"/>
        <v>3484.8</v>
      </c>
      <c r="I13" s="27"/>
    </row>
    <row r="14" ht="31" customHeight="1" spans="1:9">
      <c r="A14" s="23">
        <v>11</v>
      </c>
      <c r="B14" s="23" t="s">
        <v>114</v>
      </c>
      <c r="C14" s="23" t="s">
        <v>114</v>
      </c>
      <c r="D14" s="23"/>
      <c r="E14" s="23" t="s">
        <v>115</v>
      </c>
      <c r="F14" s="24">
        <v>40</v>
      </c>
      <c r="G14" s="23">
        <v>75</v>
      </c>
      <c r="H14" s="25">
        <f t="shared" si="0"/>
        <v>3000</v>
      </c>
      <c r="I14" s="27"/>
    </row>
    <row r="15" ht="31" customHeight="1" spans="1:9">
      <c r="A15" s="23">
        <v>12</v>
      </c>
      <c r="B15" s="23" t="s">
        <v>116</v>
      </c>
      <c r="C15" s="23" t="s">
        <v>117</v>
      </c>
      <c r="D15" s="23"/>
      <c r="E15" s="23" t="s">
        <v>118</v>
      </c>
      <c r="F15" s="24">
        <v>45</v>
      </c>
      <c r="G15" s="23">
        <v>25</v>
      </c>
      <c r="H15" s="25">
        <f t="shared" si="0"/>
        <v>1125</v>
      </c>
      <c r="I15" s="27"/>
    </row>
    <row r="16" ht="31" customHeight="1" spans="1:9">
      <c r="A16" s="23">
        <v>13</v>
      </c>
      <c r="B16" s="23" t="s">
        <v>119</v>
      </c>
      <c r="C16" s="23"/>
      <c r="D16" s="23">
        <v>2.5</v>
      </c>
      <c r="E16" s="23" t="s">
        <v>120</v>
      </c>
      <c r="F16" s="24">
        <v>578</v>
      </c>
      <c r="G16" s="23">
        <v>2</v>
      </c>
      <c r="H16" s="25">
        <f t="shared" si="0"/>
        <v>1156</v>
      </c>
      <c r="I16" s="27"/>
    </row>
    <row r="17" ht="31" customHeight="1" spans="1:9">
      <c r="A17" s="23">
        <v>14</v>
      </c>
      <c r="B17" s="23" t="s">
        <v>121</v>
      </c>
      <c r="C17" s="23"/>
      <c r="D17" s="23" t="s">
        <v>90</v>
      </c>
      <c r="E17" s="23" t="s">
        <v>91</v>
      </c>
      <c r="F17" s="24">
        <v>16</v>
      </c>
      <c r="G17" s="23">
        <v>8</v>
      </c>
      <c r="H17" s="25">
        <f t="shared" si="0"/>
        <v>128</v>
      </c>
      <c r="I17" s="27"/>
    </row>
    <row r="18" ht="31" customHeight="1" spans="1:9">
      <c r="A18" s="23">
        <v>15</v>
      </c>
      <c r="B18" s="23" t="s">
        <v>122</v>
      </c>
      <c r="C18" s="23"/>
      <c r="D18" s="23"/>
      <c r="E18" s="23" t="s">
        <v>115</v>
      </c>
      <c r="F18" s="24">
        <v>1</v>
      </c>
      <c r="G18" s="23">
        <v>400</v>
      </c>
      <c r="H18" s="25">
        <f t="shared" si="0"/>
        <v>400</v>
      </c>
      <c r="I18" s="27"/>
    </row>
    <row r="19" ht="26" customHeight="1" spans="1:9">
      <c r="A19" s="23" t="s">
        <v>57</v>
      </c>
      <c r="B19" s="23" t="s">
        <v>123</v>
      </c>
      <c r="C19" s="23"/>
      <c r="D19" s="23"/>
      <c r="E19" s="23"/>
      <c r="F19" s="24"/>
      <c r="G19" s="23"/>
      <c r="H19" s="25">
        <f>SUM(H20:H30)</f>
        <v>11074.22</v>
      </c>
      <c r="I19" s="27"/>
    </row>
    <row r="20" ht="24" customHeight="1" spans="1:9">
      <c r="A20" s="23">
        <v>1</v>
      </c>
      <c r="B20" s="23" t="s">
        <v>124</v>
      </c>
      <c r="C20" s="23" t="s">
        <v>104</v>
      </c>
      <c r="D20" s="23" t="s">
        <v>125</v>
      </c>
      <c r="E20" s="23" t="s">
        <v>120</v>
      </c>
      <c r="F20" s="24">
        <v>15.8</v>
      </c>
      <c r="G20" s="23">
        <v>60</v>
      </c>
      <c r="H20" s="23">
        <f>F20*G20</f>
        <v>948</v>
      </c>
      <c r="I20" s="27" t="s">
        <v>126</v>
      </c>
    </row>
    <row r="21" ht="23" customHeight="1" spans="1:9">
      <c r="A21" s="23">
        <v>2</v>
      </c>
      <c r="B21" s="23" t="s">
        <v>127</v>
      </c>
      <c r="C21" s="23" t="s">
        <v>128</v>
      </c>
      <c r="D21" s="23" t="s">
        <v>107</v>
      </c>
      <c r="E21" s="23" t="s">
        <v>91</v>
      </c>
      <c r="F21" s="24">
        <f>'5、工程量'!C78</f>
        <v>135</v>
      </c>
      <c r="G21" s="23">
        <v>15</v>
      </c>
      <c r="H21" s="23">
        <f>F21*G21</f>
        <v>2025</v>
      </c>
      <c r="I21" s="27" t="s">
        <v>126</v>
      </c>
    </row>
    <row r="22" ht="37" customHeight="1" spans="1:9">
      <c r="A22" s="23">
        <v>3</v>
      </c>
      <c r="B22" s="23" t="s">
        <v>129</v>
      </c>
      <c r="C22" s="23" t="s">
        <v>128</v>
      </c>
      <c r="D22" s="23" t="s">
        <v>107</v>
      </c>
      <c r="E22" s="23" t="s">
        <v>91</v>
      </c>
      <c r="F22" s="24">
        <v>25</v>
      </c>
      <c r="G22" s="23">
        <v>12</v>
      </c>
      <c r="H22" s="23">
        <f>F22*G22</f>
        <v>300</v>
      </c>
      <c r="I22" s="29" t="s">
        <v>109</v>
      </c>
    </row>
    <row r="23" ht="23" customHeight="1" spans="1:9">
      <c r="A23" s="23">
        <v>4</v>
      </c>
      <c r="B23" s="26" t="s">
        <v>130</v>
      </c>
      <c r="C23" s="27" t="s">
        <v>131</v>
      </c>
      <c r="D23" s="27" t="s">
        <v>132</v>
      </c>
      <c r="E23" s="27" t="s">
        <v>115</v>
      </c>
      <c r="F23" s="28">
        <v>15</v>
      </c>
      <c r="G23" s="26">
        <v>55</v>
      </c>
      <c r="H23" s="23">
        <f t="shared" ref="H23:H30" si="1">F23*G23</f>
        <v>825</v>
      </c>
      <c r="I23" s="27" t="s">
        <v>126</v>
      </c>
    </row>
    <row r="24" ht="23" customHeight="1" spans="1:9">
      <c r="A24" s="23">
        <v>5</v>
      </c>
      <c r="B24" s="26" t="s">
        <v>133</v>
      </c>
      <c r="C24" s="27" t="s">
        <v>134</v>
      </c>
      <c r="D24" s="27" t="s">
        <v>135</v>
      </c>
      <c r="E24" s="27" t="s">
        <v>120</v>
      </c>
      <c r="F24" s="28">
        <v>50</v>
      </c>
      <c r="G24" s="26">
        <v>12</v>
      </c>
      <c r="H24" s="23">
        <f t="shared" si="1"/>
        <v>600</v>
      </c>
      <c r="I24" s="27" t="s">
        <v>126</v>
      </c>
    </row>
    <row r="25" ht="23" customHeight="1" spans="1:9">
      <c r="A25" s="23">
        <v>6</v>
      </c>
      <c r="B25" s="27" t="s">
        <v>136</v>
      </c>
      <c r="C25" s="27" t="s">
        <v>137</v>
      </c>
      <c r="D25" s="27" t="s">
        <v>138</v>
      </c>
      <c r="E25" s="27" t="s">
        <v>115</v>
      </c>
      <c r="F25" s="28">
        <v>2</v>
      </c>
      <c r="G25" s="26">
        <v>38</v>
      </c>
      <c r="H25" s="23">
        <f t="shared" si="1"/>
        <v>76</v>
      </c>
      <c r="I25" s="27" t="s">
        <v>126</v>
      </c>
    </row>
    <row r="26" ht="23" customHeight="1" spans="1:9">
      <c r="A26" s="23">
        <v>7</v>
      </c>
      <c r="B26" s="27" t="s">
        <v>139</v>
      </c>
      <c r="C26" s="27" t="s">
        <v>140</v>
      </c>
      <c r="D26" s="27" t="s">
        <v>141</v>
      </c>
      <c r="E26" s="27" t="s">
        <v>115</v>
      </c>
      <c r="F26" s="28">
        <v>1</v>
      </c>
      <c r="G26" s="26">
        <v>20</v>
      </c>
      <c r="H26" s="23">
        <f t="shared" si="1"/>
        <v>20</v>
      </c>
      <c r="I26" s="27" t="s">
        <v>126</v>
      </c>
    </row>
    <row r="27" ht="23" customHeight="1" spans="1:9">
      <c r="A27" s="23">
        <v>8</v>
      </c>
      <c r="B27" s="27" t="s">
        <v>142</v>
      </c>
      <c r="C27" s="27" t="s">
        <v>143</v>
      </c>
      <c r="D27" s="27" t="s">
        <v>144</v>
      </c>
      <c r="E27" s="27" t="s">
        <v>120</v>
      </c>
      <c r="F27" s="28">
        <v>30</v>
      </c>
      <c r="G27" s="26">
        <v>10</v>
      </c>
      <c r="H27" s="23">
        <f t="shared" si="1"/>
        <v>300</v>
      </c>
      <c r="I27" s="27" t="s">
        <v>126</v>
      </c>
    </row>
    <row r="28" ht="23" customHeight="1" spans="1:9">
      <c r="A28" s="23">
        <v>9</v>
      </c>
      <c r="B28" s="27" t="s">
        <v>145</v>
      </c>
      <c r="C28" s="27" t="s">
        <v>146</v>
      </c>
      <c r="D28" s="27" t="s">
        <v>147</v>
      </c>
      <c r="E28" s="27" t="s">
        <v>148</v>
      </c>
      <c r="F28" s="28">
        <v>12</v>
      </c>
      <c r="G28" s="26">
        <v>260</v>
      </c>
      <c r="H28" s="23">
        <f t="shared" si="1"/>
        <v>3120</v>
      </c>
      <c r="I28" s="27" t="s">
        <v>126</v>
      </c>
    </row>
    <row r="29" ht="23" customHeight="1" spans="1:9">
      <c r="A29" s="23">
        <v>10</v>
      </c>
      <c r="B29" s="27" t="s">
        <v>149</v>
      </c>
      <c r="C29" s="27" t="s">
        <v>150</v>
      </c>
      <c r="D29" s="27" t="s">
        <v>151</v>
      </c>
      <c r="E29" s="27" t="s">
        <v>152</v>
      </c>
      <c r="F29" s="28">
        <v>82</v>
      </c>
      <c r="G29" s="26">
        <v>11.71</v>
      </c>
      <c r="H29" s="23">
        <f t="shared" si="1"/>
        <v>960.22</v>
      </c>
      <c r="I29" s="27" t="s">
        <v>126</v>
      </c>
    </row>
    <row r="30" ht="23" customHeight="1" spans="1:9">
      <c r="A30" s="23">
        <v>11</v>
      </c>
      <c r="B30" s="27" t="s">
        <v>153</v>
      </c>
      <c r="C30" s="27" t="s">
        <v>143</v>
      </c>
      <c r="D30" s="27" t="s">
        <v>154</v>
      </c>
      <c r="E30" s="27" t="s">
        <v>155</v>
      </c>
      <c r="F30" s="28">
        <v>38</v>
      </c>
      <c r="G30" s="26">
        <v>50</v>
      </c>
      <c r="H30" s="23">
        <f t="shared" si="1"/>
        <v>1900</v>
      </c>
      <c r="I30" s="27" t="s">
        <v>126</v>
      </c>
    </row>
    <row r="31" ht="27" customHeight="1" spans="1:9">
      <c r="A31" s="27" t="s">
        <v>60</v>
      </c>
      <c r="B31" s="27" t="s">
        <v>156</v>
      </c>
      <c r="C31" s="27"/>
      <c r="D31" s="27"/>
      <c r="E31" s="27"/>
      <c r="F31" s="28"/>
      <c r="G31" s="27"/>
      <c r="H31" s="27">
        <f>H19+H3</f>
        <v>57842.72</v>
      </c>
      <c r="I31" s="27"/>
    </row>
    <row r="32" ht="30" customHeight="1" spans="1:9">
      <c r="A32" s="27" t="s">
        <v>64</v>
      </c>
      <c r="B32" s="27" t="s">
        <v>157</v>
      </c>
      <c r="C32" s="27"/>
      <c r="D32" s="27"/>
      <c r="E32" s="27"/>
      <c r="F32" s="28"/>
      <c r="G32" s="27"/>
      <c r="H32" s="27">
        <v>57800</v>
      </c>
      <c r="I32" s="27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opLeftCell="A10" workbookViewId="0">
      <selection activeCell="C22" sqref="C22"/>
    </sheetView>
  </sheetViews>
  <sheetFormatPr defaultColWidth="9" defaultRowHeight="17.25" outlineLevelCol="4"/>
  <cols>
    <col min="1" max="1" width="15.875" style="1" customWidth="1"/>
    <col min="2" max="2" width="35" style="1" customWidth="1"/>
    <col min="3" max="3" width="21.375" style="1" customWidth="1"/>
    <col min="4" max="16384" width="9" style="1"/>
  </cols>
  <sheetData>
    <row r="1" s="1" customFormat="1" ht="52" customHeight="1" spans="1:3">
      <c r="A1" s="3" t="s">
        <v>158</v>
      </c>
      <c r="B1" s="3"/>
      <c r="C1" s="3"/>
    </row>
    <row r="2" s="1" customFormat="1" spans="1:3">
      <c r="A2" s="4" t="s">
        <v>159</v>
      </c>
      <c r="B2" s="4" t="s">
        <v>160</v>
      </c>
      <c r="C2" s="4" t="s">
        <v>161</v>
      </c>
    </row>
    <row r="3" s="1" customFormat="1" spans="1:3">
      <c r="A3" s="5" t="s">
        <v>50</v>
      </c>
      <c r="B3" s="4" t="s">
        <v>88</v>
      </c>
      <c r="C3" s="4"/>
    </row>
    <row r="4" s="1" customFormat="1" spans="1:3">
      <c r="A4" s="6" t="s">
        <v>162</v>
      </c>
      <c r="B4" s="7" t="s">
        <v>163</v>
      </c>
      <c r="C4" s="7">
        <f>2.6*(7.7+0.2+3.45+0.55)</f>
        <v>30.94</v>
      </c>
    </row>
    <row r="5" s="1" customFormat="1" spans="1:3">
      <c r="A5" s="8"/>
      <c r="B5" s="7" t="s">
        <v>164</v>
      </c>
      <c r="C5" s="7">
        <f>2.6*(7.7+0.2)</f>
        <v>20.54</v>
      </c>
    </row>
    <row r="6" s="1" customFormat="1" spans="1:3">
      <c r="A6" s="8"/>
      <c r="B6" s="7" t="s">
        <v>165</v>
      </c>
      <c r="C6" s="7">
        <f>2.7*0.55</f>
        <v>1.485</v>
      </c>
    </row>
    <row r="7" s="1" customFormat="1" spans="1:3">
      <c r="A7" s="9"/>
      <c r="B7" s="7" t="s">
        <v>166</v>
      </c>
      <c r="C7" s="7">
        <f>2.8*(2.7+2.7+1.4)</f>
        <v>19.04</v>
      </c>
    </row>
    <row r="8" s="1" customFormat="1" spans="1:3">
      <c r="A8" s="7" t="s">
        <v>167</v>
      </c>
      <c r="B8" s="7" t="s">
        <v>168</v>
      </c>
      <c r="C8" s="7">
        <f>1.25*2.5</f>
        <v>3.125</v>
      </c>
    </row>
    <row r="9" s="1" customFormat="1" spans="1:3">
      <c r="A9" s="6" t="s">
        <v>169</v>
      </c>
      <c r="B9" s="7" t="s">
        <v>170</v>
      </c>
      <c r="C9" s="7">
        <f>2.8*(5.9+2.4)</f>
        <v>23.24</v>
      </c>
    </row>
    <row r="10" s="1" customFormat="1" spans="1:3">
      <c r="A10" s="8"/>
      <c r="B10" s="7" t="s">
        <v>171</v>
      </c>
      <c r="C10" s="7">
        <f>2.7*(1.9+0.55)</f>
        <v>6.615</v>
      </c>
    </row>
    <row r="11" s="1" customFormat="1" spans="1:3">
      <c r="A11" s="9"/>
      <c r="B11" s="7" t="s">
        <v>172</v>
      </c>
      <c r="C11" s="7">
        <f>2.6*9.2</f>
        <v>23.92</v>
      </c>
    </row>
    <row r="12" s="1" customFormat="1" spans="1:3">
      <c r="A12" s="5" t="s">
        <v>173</v>
      </c>
      <c r="B12" s="4" t="s">
        <v>174</v>
      </c>
      <c r="C12" s="7">
        <f>2.3*9.2</f>
        <v>21.16</v>
      </c>
    </row>
    <row r="13" s="1" customFormat="1" spans="1:3">
      <c r="A13" s="8"/>
      <c r="B13" s="4" t="s">
        <v>175</v>
      </c>
      <c r="C13" s="7">
        <f>1.74*1.95</f>
        <v>3.393</v>
      </c>
    </row>
    <row r="14" s="1" customFormat="1" spans="1:3">
      <c r="A14" s="9"/>
      <c r="B14" s="4" t="s">
        <v>176</v>
      </c>
      <c r="C14" s="7">
        <f>1.23*2.65</f>
        <v>3.2595</v>
      </c>
    </row>
    <row r="15" s="1" customFormat="1" spans="1:3">
      <c r="A15" s="5" t="s">
        <v>177</v>
      </c>
      <c r="B15" s="4" t="s">
        <v>178</v>
      </c>
      <c r="C15" s="7">
        <f>2*1.73</f>
        <v>3.46</v>
      </c>
    </row>
    <row r="16" s="1" customFormat="1" spans="1:3">
      <c r="A16" s="8"/>
      <c r="B16" s="4" t="s">
        <v>179</v>
      </c>
      <c r="C16" s="7">
        <f>1.35*2.5</f>
        <v>3.375</v>
      </c>
    </row>
    <row r="17" s="1" customFormat="1" spans="1:3">
      <c r="A17" s="8"/>
      <c r="B17" s="4" t="s">
        <v>180</v>
      </c>
      <c r="C17" s="7">
        <f>1.52*(2.18+0.17)</f>
        <v>3.572</v>
      </c>
    </row>
    <row r="18" s="1" customFormat="1" spans="1:3">
      <c r="A18" s="8"/>
      <c r="B18" s="4" t="s">
        <v>181</v>
      </c>
      <c r="C18" s="7">
        <f>(2+8.7)*1.8</f>
        <v>19.26</v>
      </c>
    </row>
    <row r="19" s="1" customFormat="1" spans="1:3">
      <c r="A19" s="9"/>
      <c r="B19" s="4" t="s">
        <v>182</v>
      </c>
      <c r="C19" s="7">
        <v>1.392</v>
      </c>
    </row>
    <row r="20" s="1" customFormat="1" spans="1:3">
      <c r="A20" s="4" t="s">
        <v>183</v>
      </c>
      <c r="B20" s="4" t="s">
        <v>184</v>
      </c>
      <c r="C20" s="7">
        <f>0.87*2.2</f>
        <v>1.914</v>
      </c>
    </row>
    <row r="21" s="1" customFormat="1" spans="1:3">
      <c r="A21" s="5" t="s">
        <v>185</v>
      </c>
      <c r="B21" s="4" t="s">
        <v>186</v>
      </c>
      <c r="C21" s="7">
        <f>2.38+2.16</f>
        <v>4.54</v>
      </c>
    </row>
    <row r="22" s="1" customFormat="1" spans="1:3">
      <c r="A22" s="8"/>
      <c r="B22" s="4" t="s">
        <v>187</v>
      </c>
      <c r="C22" s="7">
        <f>(2.3*2.2)*2</f>
        <v>10.12</v>
      </c>
    </row>
    <row r="23" s="1" customFormat="1" spans="1:3">
      <c r="A23" s="8"/>
      <c r="B23" s="4" t="s">
        <v>188</v>
      </c>
      <c r="C23" s="7">
        <f>2.6*0.74</f>
        <v>1.924</v>
      </c>
    </row>
    <row r="24" s="1" customFormat="1" spans="1:3">
      <c r="A24" s="9"/>
      <c r="B24" s="4" t="s">
        <v>189</v>
      </c>
      <c r="C24" s="7">
        <f>0.37*2.5</f>
        <v>0.925</v>
      </c>
    </row>
    <row r="25" s="1" customFormat="1" spans="1:3">
      <c r="A25" s="4" t="s">
        <v>190</v>
      </c>
      <c r="B25" s="4" t="s">
        <v>191</v>
      </c>
      <c r="C25" s="7">
        <f>3.2*1.3</f>
        <v>4.16</v>
      </c>
    </row>
    <row r="26" s="1" customFormat="1" spans="1:3">
      <c r="A26" s="5" t="s">
        <v>192</v>
      </c>
      <c r="B26" s="4" t="s">
        <v>193</v>
      </c>
      <c r="C26" s="7">
        <f>2.5*1.8</f>
        <v>4.5</v>
      </c>
    </row>
    <row r="27" s="1" customFormat="1" spans="1:3">
      <c r="A27" s="8"/>
      <c r="B27" s="4" t="s">
        <v>194</v>
      </c>
      <c r="C27" s="7">
        <v>1.8</v>
      </c>
    </row>
    <row r="28" s="1" customFormat="1" spans="1:3">
      <c r="A28" s="8"/>
      <c r="B28" s="4" t="s">
        <v>195</v>
      </c>
      <c r="C28" s="7">
        <f>0.72*3.5</f>
        <v>2.52</v>
      </c>
    </row>
    <row r="29" s="1" customFormat="1" spans="1:3">
      <c r="A29" s="8"/>
      <c r="B29" s="4" t="s">
        <v>196</v>
      </c>
      <c r="C29" s="7">
        <f>2.2*2.7*2</f>
        <v>11.88</v>
      </c>
    </row>
    <row r="30" s="1" customFormat="1" spans="1:3">
      <c r="A30" s="9"/>
      <c r="B30" s="4" t="s">
        <v>197</v>
      </c>
      <c r="C30" s="7">
        <f>3.5*20.2</f>
        <v>70.7</v>
      </c>
    </row>
    <row r="31" s="1" customFormat="1" spans="1:3">
      <c r="A31" s="4" t="s">
        <v>198</v>
      </c>
      <c r="B31" s="4" t="s">
        <v>199</v>
      </c>
      <c r="C31" s="7">
        <f>3.7*0.2</f>
        <v>0.74</v>
      </c>
    </row>
    <row r="32" s="1" customFormat="1" spans="1:3">
      <c r="A32" s="5" t="s">
        <v>200</v>
      </c>
      <c r="B32" s="4" t="s">
        <v>201</v>
      </c>
      <c r="C32" s="7">
        <v>20.52</v>
      </c>
    </row>
    <row r="33" s="1" customFormat="1" spans="1:3">
      <c r="A33" s="9"/>
      <c r="B33" s="4" t="s">
        <v>202</v>
      </c>
      <c r="C33" s="7">
        <f>4.7*1.2</f>
        <v>5.64</v>
      </c>
    </row>
    <row r="34" s="1" customFormat="1" spans="1:3">
      <c r="A34" s="5" t="s">
        <v>203</v>
      </c>
      <c r="B34" s="4" t="s">
        <v>204</v>
      </c>
      <c r="C34" s="7">
        <f>2.44*1.3</f>
        <v>3.172</v>
      </c>
    </row>
    <row r="35" s="1" customFormat="1" spans="1:3">
      <c r="A35" s="8"/>
      <c r="B35" s="4" t="s">
        <v>205</v>
      </c>
      <c r="C35" s="7">
        <f>2.44*2.22</f>
        <v>5.4168</v>
      </c>
    </row>
    <row r="36" s="1" customFormat="1" spans="1:3">
      <c r="A36" s="8"/>
      <c r="B36" s="4" t="s">
        <v>206</v>
      </c>
      <c r="C36" s="7">
        <f>4.5*2.2</f>
        <v>9.9</v>
      </c>
    </row>
    <row r="37" s="1" customFormat="1" spans="1:3">
      <c r="A37" s="9"/>
      <c r="B37" s="4" t="s">
        <v>207</v>
      </c>
      <c r="C37" s="7">
        <v>9</v>
      </c>
    </row>
    <row r="38" s="1" customFormat="1" spans="1:3">
      <c r="A38" s="7"/>
      <c r="B38" s="4" t="s">
        <v>208</v>
      </c>
      <c r="C38" s="7">
        <f>6*1.2</f>
        <v>7.2</v>
      </c>
    </row>
    <row r="39" s="1" customFormat="1" spans="1:3">
      <c r="A39" s="4" t="s">
        <v>209</v>
      </c>
      <c r="B39" s="4" t="s">
        <v>210</v>
      </c>
      <c r="C39" s="7">
        <f>2.8*2.37</f>
        <v>6.636</v>
      </c>
    </row>
    <row r="40" s="1" customFormat="1" spans="1:3">
      <c r="A40" s="4" t="s">
        <v>211</v>
      </c>
      <c r="B40" s="4" t="s">
        <v>212</v>
      </c>
      <c r="C40" s="7">
        <f>2.8*1.7</f>
        <v>4.76</v>
      </c>
    </row>
    <row r="41" s="1" customFormat="1" spans="1:3">
      <c r="A41" s="4" t="s">
        <v>213</v>
      </c>
      <c r="B41" s="4" t="s">
        <v>214</v>
      </c>
      <c r="C41" s="7">
        <f>3.8*2.6*2</f>
        <v>19.76</v>
      </c>
    </row>
    <row r="42" s="1" customFormat="1" spans="1:3">
      <c r="A42" s="7"/>
      <c r="B42" s="4" t="s">
        <v>215</v>
      </c>
      <c r="C42" s="7">
        <v>4.92</v>
      </c>
    </row>
    <row r="43" s="1" customFormat="1" spans="1:3">
      <c r="A43" s="4" t="s">
        <v>216</v>
      </c>
      <c r="B43" s="4" t="s">
        <v>217</v>
      </c>
      <c r="C43" s="7">
        <f>3*(1.9+4.35)</f>
        <v>18.75</v>
      </c>
    </row>
    <row r="44" s="1" customFormat="1" spans="1:3">
      <c r="A44" s="7"/>
      <c r="B44" s="4" t="s">
        <v>218</v>
      </c>
      <c r="C44" s="7">
        <f>(2.6*2.8)*2</f>
        <v>14.56</v>
      </c>
    </row>
    <row r="45" s="1" customFormat="1" spans="1:3">
      <c r="A45" s="7"/>
      <c r="B45" s="4" t="s">
        <v>219</v>
      </c>
      <c r="C45" s="7">
        <f>(0.9+1.2+2.2+0.2+0.1+0.4)*1.2</f>
        <v>6</v>
      </c>
    </row>
    <row r="46" s="1" customFormat="1" spans="1:3">
      <c r="A46" s="4" t="s">
        <v>220</v>
      </c>
      <c r="B46" s="4" t="s">
        <v>221</v>
      </c>
      <c r="C46" s="7">
        <f>2.5*2.8</f>
        <v>7</v>
      </c>
    </row>
    <row r="47" s="1" customFormat="1" spans="1:3">
      <c r="A47" s="4" t="s">
        <v>222</v>
      </c>
      <c r="B47" s="4" t="s">
        <v>223</v>
      </c>
      <c r="C47" s="7">
        <f>1.2*0.8*2</f>
        <v>1.92</v>
      </c>
    </row>
    <row r="48" s="1" customFormat="1" spans="1:3">
      <c r="A48" s="7"/>
      <c r="B48" s="4" t="s">
        <v>224</v>
      </c>
      <c r="C48" s="7">
        <f>2.75*2.8</f>
        <v>7.7</v>
      </c>
    </row>
    <row r="49" s="1" customFormat="1" spans="1:3">
      <c r="A49" s="4" t="s">
        <v>225</v>
      </c>
      <c r="B49" s="4" t="s">
        <v>226</v>
      </c>
      <c r="C49" s="7">
        <f>(2.5+1.4+0.9)*2.8</f>
        <v>13.44</v>
      </c>
    </row>
    <row r="50" s="1" customFormat="1" spans="1:3">
      <c r="A50" s="7"/>
      <c r="B50" s="4" t="s">
        <v>227</v>
      </c>
      <c r="C50" s="7">
        <v>16.64</v>
      </c>
    </row>
    <row r="51" s="1" customFormat="1" spans="1:3">
      <c r="A51" s="4" t="s">
        <v>228</v>
      </c>
      <c r="B51" s="4" t="s">
        <v>229</v>
      </c>
      <c r="C51" s="7">
        <f>5.2*1.7</f>
        <v>8.84</v>
      </c>
    </row>
    <row r="52" s="1" customFormat="1" spans="1:3">
      <c r="A52" s="10" t="s">
        <v>230</v>
      </c>
      <c r="B52" s="11"/>
      <c r="C52" s="7">
        <f>SUM(C4:C51)</f>
        <v>495.2743</v>
      </c>
    </row>
    <row r="53" s="1" customFormat="1" spans="1:3">
      <c r="A53" s="12" t="s">
        <v>57</v>
      </c>
      <c r="B53" s="12" t="s">
        <v>93</v>
      </c>
      <c r="C53" s="12"/>
    </row>
    <row r="54" s="1" customFormat="1" spans="1:3">
      <c r="A54" s="5" t="s">
        <v>93</v>
      </c>
      <c r="B54" s="4" t="s">
        <v>231</v>
      </c>
      <c r="C54" s="7">
        <f>2.8*2.8</f>
        <v>7.84</v>
      </c>
    </row>
    <row r="55" s="1" customFormat="1" spans="1:3">
      <c r="A55" s="13"/>
      <c r="B55" s="4" t="s">
        <v>232</v>
      </c>
      <c r="C55" s="7">
        <f>2.6*2.8</f>
        <v>7.28</v>
      </c>
    </row>
    <row r="56" s="1" customFormat="1" spans="1:3">
      <c r="A56" s="14"/>
      <c r="B56" s="4" t="s">
        <v>212</v>
      </c>
      <c r="C56" s="7">
        <f>2.8*1.7</f>
        <v>4.76</v>
      </c>
    </row>
    <row r="57" s="1" customFormat="1" spans="1:3">
      <c r="A57" s="10" t="s">
        <v>230</v>
      </c>
      <c r="B57" s="11"/>
      <c r="C57" s="7">
        <f>SUM(C54:C56)</f>
        <v>19.88</v>
      </c>
    </row>
    <row r="58" s="1" customFormat="1" spans="1:3">
      <c r="A58" s="12" t="s">
        <v>60</v>
      </c>
      <c r="B58" s="12" t="s">
        <v>113</v>
      </c>
      <c r="C58" s="12"/>
    </row>
    <row r="59" s="1" customFormat="1" spans="1:3">
      <c r="A59" s="5" t="s">
        <v>113</v>
      </c>
      <c r="B59" s="4" t="s">
        <v>233</v>
      </c>
      <c r="C59" s="7">
        <v>8.64</v>
      </c>
    </row>
    <row r="60" s="1" customFormat="1" spans="1:3">
      <c r="A60" s="13"/>
      <c r="B60" s="4" t="s">
        <v>234</v>
      </c>
      <c r="C60" s="7">
        <v>4</v>
      </c>
    </row>
    <row r="61" s="1" customFormat="1" spans="1:3">
      <c r="A61" s="14"/>
      <c r="B61" s="4" t="s">
        <v>235</v>
      </c>
      <c r="C61" s="7">
        <v>3.2</v>
      </c>
    </row>
    <row r="62" s="1" customFormat="1" spans="1:3">
      <c r="A62" s="10" t="s">
        <v>230</v>
      </c>
      <c r="B62" s="11"/>
      <c r="C62" s="7">
        <f>SUM(C59:C61)</f>
        <v>15.84</v>
      </c>
    </row>
    <row r="63" s="2" customFormat="1" spans="1:3">
      <c r="A63" s="12" t="s">
        <v>64</v>
      </c>
      <c r="B63" s="12" t="s">
        <v>110</v>
      </c>
      <c r="C63" s="12"/>
    </row>
    <row r="64" s="1" customFormat="1" spans="1:3">
      <c r="A64" s="5" t="s">
        <v>110</v>
      </c>
      <c r="B64" s="4" t="s">
        <v>236</v>
      </c>
      <c r="C64" s="7">
        <v>15</v>
      </c>
    </row>
    <row r="65" s="1" customFormat="1" spans="1:3">
      <c r="A65" s="13"/>
      <c r="B65" s="4" t="s">
        <v>237</v>
      </c>
      <c r="C65" s="7">
        <v>2.205</v>
      </c>
    </row>
    <row r="66" s="1" customFormat="1" spans="1:3">
      <c r="A66" s="10" t="s">
        <v>230</v>
      </c>
      <c r="B66" s="11"/>
      <c r="C66" s="7">
        <f>SUM(C64:C65)</f>
        <v>17.205</v>
      </c>
    </row>
    <row r="67" s="1" customFormat="1" spans="1:3">
      <c r="A67" s="12" t="s">
        <v>68</v>
      </c>
      <c r="B67" s="12" t="s">
        <v>238</v>
      </c>
      <c r="C67" s="2"/>
    </row>
    <row r="68" s="1" customFormat="1" spans="1:3">
      <c r="A68" s="5" t="s">
        <v>239</v>
      </c>
      <c r="B68" s="4" t="s">
        <v>240</v>
      </c>
      <c r="C68" s="7">
        <v>6.5</v>
      </c>
    </row>
    <row r="69" s="1" customFormat="1" spans="1:3">
      <c r="A69" s="13"/>
      <c r="B69" s="4" t="s">
        <v>241</v>
      </c>
      <c r="C69" s="7">
        <v>9.5</v>
      </c>
    </row>
    <row r="70" s="1" customFormat="1" spans="1:3">
      <c r="A70" s="10" t="s">
        <v>230</v>
      </c>
      <c r="B70" s="11"/>
      <c r="C70" s="7">
        <f>SUM(C68:C69)</f>
        <v>16</v>
      </c>
    </row>
    <row r="71" s="1" customFormat="1" spans="1:3">
      <c r="A71" s="12" t="s">
        <v>73</v>
      </c>
      <c r="B71" s="12" t="s">
        <v>119</v>
      </c>
      <c r="C71" s="12"/>
    </row>
    <row r="72" s="1" customFormat="1" spans="1:3">
      <c r="A72" s="4" t="s">
        <v>119</v>
      </c>
      <c r="B72" s="15" t="s">
        <v>242</v>
      </c>
      <c r="C72" s="7">
        <v>246.2</v>
      </c>
    </row>
    <row r="73" s="1" customFormat="1" ht="33" customHeight="1" spans="1:3">
      <c r="A73" s="4"/>
      <c r="B73" s="16"/>
      <c r="C73" s="7"/>
    </row>
    <row r="74" s="1" customFormat="1" ht="61" customHeight="1" spans="1:3">
      <c r="A74" s="4"/>
      <c r="B74" s="15" t="s">
        <v>243</v>
      </c>
      <c r="C74" s="7">
        <v>332.6</v>
      </c>
    </row>
    <row r="75" s="1" customFormat="1" spans="1:3">
      <c r="A75" s="7" t="s">
        <v>230</v>
      </c>
      <c r="B75" s="7"/>
      <c r="C75" s="7">
        <f>SUM(C72:C74)</f>
        <v>578.8</v>
      </c>
    </row>
    <row r="76" s="1" customFormat="1" spans="1:3">
      <c r="A76" s="12" t="s">
        <v>75</v>
      </c>
      <c r="B76" s="12" t="s">
        <v>105</v>
      </c>
      <c r="C76" s="12"/>
    </row>
    <row r="77" s="1" customFormat="1" ht="49" customHeight="1" spans="1:3">
      <c r="A77" s="4" t="s">
        <v>105</v>
      </c>
      <c r="B77" s="17" t="s">
        <v>244</v>
      </c>
      <c r="C77" s="7">
        <v>105.8</v>
      </c>
    </row>
    <row r="78" s="1" customFormat="1" ht="42" customHeight="1" spans="1:3">
      <c r="A78" s="4"/>
      <c r="B78" s="17" t="s">
        <v>245</v>
      </c>
      <c r="C78" s="7">
        <v>135</v>
      </c>
    </row>
    <row r="79" s="1" customFormat="1" spans="1:3">
      <c r="A79" s="4"/>
      <c r="B79" s="17" t="s">
        <v>108</v>
      </c>
      <c r="C79" s="7">
        <v>93.8</v>
      </c>
    </row>
    <row r="80" s="1" customFormat="1" spans="1:3">
      <c r="A80" s="7" t="s">
        <v>230</v>
      </c>
      <c r="B80" s="7"/>
      <c r="C80" s="7">
        <f>SUM(C77:C79)</f>
        <v>334.6</v>
      </c>
    </row>
    <row r="81" s="1" customFormat="1" ht="20" customHeight="1" spans="1:3">
      <c r="A81" s="12" t="s">
        <v>246</v>
      </c>
      <c r="B81" s="12" t="s">
        <v>247</v>
      </c>
      <c r="C81" s="12"/>
    </row>
    <row r="82" s="1" customFormat="1" spans="1:5">
      <c r="A82" s="4" t="s">
        <v>248</v>
      </c>
      <c r="B82" s="18" t="s">
        <v>249</v>
      </c>
      <c r="C82" s="6">
        <v>42.23</v>
      </c>
      <c r="D82" s="19"/>
      <c r="E82" s="19"/>
    </row>
    <row r="83" s="1" customFormat="1" ht="87" customHeight="1" spans="1:3">
      <c r="A83" s="4"/>
      <c r="B83" s="20"/>
      <c r="C83" s="9"/>
    </row>
    <row r="84" s="1" customFormat="1" ht="103" customHeight="1" spans="1:3">
      <c r="A84" s="14" t="s">
        <v>102</v>
      </c>
      <c r="B84" s="15" t="s">
        <v>250</v>
      </c>
      <c r="C84" s="7">
        <v>77.14</v>
      </c>
    </row>
    <row r="85" s="1" customFormat="1" spans="1:3">
      <c r="A85" s="10" t="s">
        <v>230</v>
      </c>
      <c r="B85" s="11"/>
      <c r="C85" s="7">
        <f>SUM(C82:C84)</f>
        <v>119.37</v>
      </c>
    </row>
    <row r="92" s="1" customFormat="1" spans="1:3">
      <c r="A92" s="4" t="s">
        <v>251</v>
      </c>
      <c r="B92" s="4" t="s">
        <v>252</v>
      </c>
      <c r="C92" s="7" t="s">
        <v>253</v>
      </c>
    </row>
    <row r="93" s="1" customFormat="1" spans="1:3">
      <c r="A93" s="4" t="s">
        <v>114</v>
      </c>
      <c r="B93" s="4" t="s">
        <v>254</v>
      </c>
      <c r="C93" s="7" t="s">
        <v>255</v>
      </c>
    </row>
    <row r="94" s="1" customFormat="1" spans="1:3">
      <c r="A94" s="4" t="s">
        <v>130</v>
      </c>
      <c r="B94" s="4" t="s">
        <v>256</v>
      </c>
      <c r="C94" s="7" t="s">
        <v>257</v>
      </c>
    </row>
    <row r="95" s="1" customFormat="1" spans="1:3">
      <c r="A95" s="7" t="s">
        <v>142</v>
      </c>
      <c r="B95" s="7" t="s">
        <v>258</v>
      </c>
      <c r="C95" s="7" t="s">
        <v>259</v>
      </c>
    </row>
    <row r="96" s="1" customFormat="1" spans="1:3">
      <c r="A96" s="7" t="s">
        <v>260</v>
      </c>
      <c r="B96" s="7" t="s">
        <v>261</v>
      </c>
      <c r="C96" s="7" t="s">
        <v>262</v>
      </c>
    </row>
    <row r="97" s="1" customFormat="1" spans="1:3">
      <c r="A97" s="7" t="s">
        <v>149</v>
      </c>
      <c r="B97" s="7" t="s">
        <v>263</v>
      </c>
      <c r="C97" s="7" t="s">
        <v>264</v>
      </c>
    </row>
    <row r="98" s="1" customFormat="1" spans="1:3">
      <c r="A98" s="7" t="s">
        <v>121</v>
      </c>
      <c r="B98" s="7" t="s">
        <v>265</v>
      </c>
      <c r="C98" s="7" t="s">
        <v>266</v>
      </c>
    </row>
    <row r="101" s="1" customFormat="1" spans="1:2">
      <c r="A101" s="1" t="s">
        <v>267</v>
      </c>
      <c r="B101" s="1" t="s">
        <v>268</v>
      </c>
    </row>
  </sheetData>
  <mergeCells count="28">
    <mergeCell ref="A1:C1"/>
    <mergeCell ref="A52:B52"/>
    <mergeCell ref="A57:B57"/>
    <mergeCell ref="A62:B62"/>
    <mergeCell ref="A66:B66"/>
    <mergeCell ref="A70:B70"/>
    <mergeCell ref="A75:B75"/>
    <mergeCell ref="A80:B80"/>
    <mergeCell ref="A85:B85"/>
    <mergeCell ref="A4:A7"/>
    <mergeCell ref="A9:A11"/>
    <mergeCell ref="A12:A14"/>
    <mergeCell ref="A15:A19"/>
    <mergeCell ref="A21:A24"/>
    <mergeCell ref="A26:A30"/>
    <mergeCell ref="A32:A33"/>
    <mergeCell ref="A34:A37"/>
    <mergeCell ref="A54:A56"/>
    <mergeCell ref="A59:A61"/>
    <mergeCell ref="A64:A65"/>
    <mergeCell ref="A68:A69"/>
    <mergeCell ref="A72:A74"/>
    <mergeCell ref="A77:A79"/>
    <mergeCell ref="A82:A83"/>
    <mergeCell ref="B72:B73"/>
    <mergeCell ref="B82:B83"/>
    <mergeCell ref="C72:C73"/>
    <mergeCell ref="C82:C8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2资料存档目录</vt:lpstr>
      <vt:lpstr>3工程结算汇总表</vt:lpstr>
      <vt:lpstr>4、结算明细</vt:lpstr>
      <vt:lpstr>5、工程量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2022-07-14T10:15:40Z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4EA3C307227743AA807097C2548033F0</vt:lpwstr>
  </property>
</Properties>
</file>