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tabRatio="778"/>
  </bookViews>
  <sheets>
    <sheet name="汇总表" sheetId="4" r:id="rId1"/>
    <sheet name="土建清单" sheetId="15" r:id="rId2"/>
    <sheet name="安装清单" sheetId="1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1" hidden="1">土建清单!$A$5:$P$153</definedName>
    <definedName name="_xlnm._FilterDatabase" localSheetId="2" hidden="1">安装清单!$A$5:$T$103</definedName>
    <definedName name="_xlnm.Print_Titles" localSheetId="1">土建清单!$1:$5</definedName>
    <definedName name="B主筋锚长">[4]内围地梁钢筋说明!$C$17</definedName>
    <definedName name="POIUHB" hidden="1">[6]XLR_NoRangeSheet!$B$6</definedName>
    <definedName name="Q">"EVALUATE('汇总表（送招标中心稿）'!$J$4:$J$131)"</definedName>
    <definedName name="W">#REF!</definedName>
    <definedName name="W_mm">#REF!</definedName>
    <definedName name="XLRPARAMS_GCMC" hidden="1">[7]XLR_NoRangeSheet!$B$6</definedName>
    <definedName name="XLRPARAMS_GCMC_" hidden="1">[8]XLR_NoRangeSheet!$B$6</definedName>
    <definedName name="_000年.xls">#REF!</definedName>
    <definedName name="_001年.xls">#REF!</definedName>
    <definedName name="_002年.xls">#REF!</definedName>
    <definedName name="_1W200_">'[2]21'!$B$1:$B$802</definedName>
    <definedName name="_6.2____.44_1.27__2_1.65_7__2___2_3__2_4_7__.1__.05">#REF!</definedName>
    <definedName name="_Fill" hidden="1">#REF!</definedName>
    <definedName name="_Order1" hidden="1">255</definedName>
    <definedName name="_W200">'[1]21'!$B$1:$B$802</definedName>
    <definedName name="__W200">'[1]21'!$B$1:$B$802</definedName>
    <definedName name="___W200">'[1]21'!$B$1:$B$802</definedName>
    <definedName name="____W200">'[1]21'!$B$1:$B$802</definedName>
    <definedName name="_____W200">'[1]21'!$B$1:$B$802</definedName>
    <definedName name="______W200">'[1]21'!$B$1:$B$802</definedName>
    <definedName name="______ys3">#REF!</definedName>
    <definedName name="_____ys3">#REF!</definedName>
    <definedName name="____ys3">#REF!</definedName>
    <definedName name="___ys3">#REF!</definedName>
    <definedName name="__ys3">#REF!</definedName>
    <definedName name="_ys3">#REF!</definedName>
    <definedName name="a">'[3]21'!$B$1:$B$802</definedName>
    <definedName name="ad">'[2]21'!$A$1:$A$802</definedName>
    <definedName name="ae">'[2]21'!$B$1:$B$802</definedName>
    <definedName name="dj">#REF!</definedName>
    <definedName name="iii">#REF!</definedName>
    <definedName name="mj">[5]Sheet1!$E$137</definedName>
    <definedName name="o">#REF!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tt">#REF!</definedName>
    <definedName name="uuuuu">#REF!</definedName>
    <definedName name="人工费">VLOOKUP('[11]1'!XFD1048573,[13]清单!E11:XEZ1048576,8,FALSE)</definedName>
    <definedName name="代码">IF([12]工程量!$K1="","",COUNTA([12]工程量!$B1:$B7))</definedName>
    <definedName name="利润">0%</definedName>
    <definedName name="包装运输">8</definedName>
    <definedName name="单位含量">IF('[11]1'!D1=0,,VLOOKUP('[11]1'!XEY1,INDIRECT("'"&amp;'[11]1'!$G$4&amp;"'!$B$1:$J$32"),8,FALSE))</definedName>
    <definedName name="单方含量">[10]计算式!$DM$5:$DT$33</definedName>
    <definedName name="单方顺序">[10]计算式!$DM$3:$DT$3</definedName>
    <definedName name="发泡胶">13</definedName>
    <definedName name="合计">IF([12]工程量!$B1="","",ROUND(SUMIF([12]工程量!$O:$O,[12]工程量!$O2,[12]工程量!$K:$K),2))</definedName>
    <definedName name="吊筋角度">[4]内围地梁钢筋说明!$C$22</definedName>
    <definedName name="吊筋锚长">[4]内围地梁钢筋说明!$C$23</definedName>
    <definedName name="名称">IF('[11]1.'!M8&lt;=MAX('[11]1.'!$A$36:$A$68),VLOOKUP('[11]1.'!C8,'[11]1.'!$A$36:$J$68,2,FALSE),0)</definedName>
    <definedName name="呵呵">800</definedName>
    <definedName name="型材损耗">1.13</definedName>
    <definedName name="型材类型">[9]型材表!$K$1:$K$5</definedName>
    <definedName name="垫层突出单边宽">#REF!</definedName>
    <definedName name="安装缝隙">[9]型材表!$C$1</definedName>
    <definedName name="密封胶">5</definedName>
    <definedName name="带玻璃肋幕墙人工费">110</definedName>
    <definedName name="建筑面积">'[15]建筑面积 '!$I$5</definedName>
    <definedName name="总计含量">[10]计算式!$J$36:$DI$41</definedName>
    <definedName name="总计顺序">[10]计算式!$J$36:$DI$36</definedName>
    <definedName name="报价格式">[10]单价分析表!$A$4:$AH$32</definedName>
    <definedName name="损耗系数">IF('[11]1'!E1=0,,VLOOKUP('[11]1'!XEZ1,[11]材料表!$C$5:$K$145,9,FALSE))</definedName>
    <definedName name="排水沟深">[4]内围地梁钢筋说明!$C$21</definedName>
    <definedName name="数量">#REF!</definedName>
    <definedName name="机械费">VLOOKUP('[11]1'!XFD1048551,[13]清单!E1048554:XEZ1048565,10,FALSE)</definedName>
    <definedName name="材料量">SUMIF(INDIRECT([11]材料表!A$3&amp;"!$B$2:$B$40"),[11]材料表!$C1,INDIRECT([11]材料表!A$3&amp;"!$i$2:$i$40"))</definedName>
    <definedName name="横明竖隐幕墙">95</definedName>
    <definedName name="欧坲">VLOOKUP('[11]1'!XFD1048552,[13]清单!E1048555:XEZ1048566,9,FALSE)</definedName>
    <definedName name="汇总表1">'[14]材料损耗(不打印)'!$B$4</definedName>
    <definedName name="玻璃损耗">1.03</definedName>
    <definedName name="电气">#REF!</definedName>
    <definedName name="百叶窗制作">25</definedName>
    <definedName name="百叶窗安装">30</definedName>
    <definedName name="百叶窗辅助">5</definedName>
    <definedName name="石材">120</definedName>
    <definedName name="税金">0%</definedName>
    <definedName name="管理费">0%</definedName>
    <definedName name="胡">[4]内围地梁钢筋说明!$C$15</definedName>
    <definedName name="胶条">0.06</definedName>
    <definedName name="胶条损耗">1.03</definedName>
    <definedName name="腰筋锚长">[4]内围地梁钢筋说明!$C$20</definedName>
    <definedName name="规费">0%</definedName>
    <definedName name="辅材费">VLOOKUP('[11]1'!XFD1048552,[13]清单!E1048555:XEZ1048566,9,FALSE)</definedName>
    <definedName name="钢材损耗">1.06</definedName>
    <definedName name="钢筋保护层">[4]内围地梁钢筋说明!$C$15</definedName>
    <definedName name="铝板">75</definedName>
    <definedName name="门窗制作费">20</definedName>
    <definedName name="门窗安装费">38</definedName>
    <definedName name="隐框">100</definedName>
    <definedName name="项目单位">VLOOKUP('[11]1'!XFD1048576,[13]清单!B3:XEZ14,4,FALSE)</definedName>
    <definedName name="项目名称">VLOOKUP('[11]1'!D1048576,[13]清单!F3:XFD14,3,FALSE)</definedName>
    <definedName name="_xlnm.Print_Area" localSheetId="2">安装清单!$A$1:$P$101</definedName>
  </definedNames>
  <calcPr calcId="144525"/>
</workbook>
</file>

<file path=xl/sharedStrings.xml><?xml version="1.0" encoding="utf-8"?>
<sst xmlns="http://schemas.openxmlformats.org/spreadsheetml/2006/main" count="1145" uniqueCount="525">
  <si>
    <t>洛宁项目样板间装修工程施工清单汇总表</t>
  </si>
  <si>
    <t>序号</t>
  </si>
  <si>
    <t>名称</t>
  </si>
  <si>
    <t>工程造价（元）</t>
  </si>
  <si>
    <t>备注</t>
  </si>
  <si>
    <t>土建</t>
  </si>
  <si>
    <t>安装</t>
  </si>
  <si>
    <t>硬装合计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</si>
  <si>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</si>
  <si>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2.本次工程量清单无论是否存在缺项、漏项、工程量缺少，均视为乙方已综合考虑在固定合同总价内。</t>
  </si>
  <si>
    <t>洛宁项目样板间装修工程施工-土建</t>
  </si>
  <si>
    <t>项目名称</t>
  </si>
  <si>
    <t>项目特征描述</t>
  </si>
  <si>
    <t>计量单位</t>
  </si>
  <si>
    <t>工程量</t>
  </si>
  <si>
    <t>含税固定综合单价（元）</t>
  </si>
  <si>
    <t>含税合价（元）</t>
  </si>
  <si>
    <t>综合单价分析</t>
  </si>
  <si>
    <t>主材品牌</t>
  </si>
  <si>
    <t>人、材、机费用</t>
  </si>
  <si>
    <t>主材费</t>
  </si>
  <si>
    <t>直接费</t>
  </si>
  <si>
    <t>综合费</t>
  </si>
  <si>
    <t>增值税</t>
  </si>
  <si>
    <t>人工费</t>
  </si>
  <si>
    <t>辅材费</t>
  </si>
  <si>
    <t>机械费</t>
  </si>
  <si>
    <t>消耗量</t>
  </si>
  <si>
    <t>主材单价</t>
  </si>
  <si>
    <r>
      <rPr>
        <b/>
        <sz val="8"/>
        <rFont val="宋体"/>
        <charset val="134"/>
      </rPr>
      <t>费率</t>
    </r>
    <r>
      <rPr>
        <b/>
        <u/>
        <sz val="8"/>
        <rFont val="宋体"/>
        <charset val="134"/>
      </rPr>
      <t xml:space="preserve"> </t>
    </r>
    <r>
      <rPr>
        <b/>
        <sz val="8"/>
        <rFont val="宋体"/>
        <charset val="134"/>
      </rPr>
      <t>%</t>
    </r>
  </si>
  <si>
    <r>
      <rPr>
        <b/>
        <sz val="8"/>
        <rFont val="宋体"/>
        <charset val="134"/>
      </rPr>
      <t>税率</t>
    </r>
    <r>
      <rPr>
        <b/>
        <u/>
        <sz val="8"/>
        <rFont val="宋体"/>
        <charset val="134"/>
      </rPr>
      <t xml:space="preserve"> </t>
    </r>
    <r>
      <rPr>
        <b/>
        <sz val="8"/>
        <rFont val="宋体"/>
        <charset val="134"/>
      </rPr>
      <t>%</t>
    </r>
  </si>
  <si>
    <t>9=6+7+8</t>
  </si>
  <si>
    <t>6=1+2+3+4*5</t>
  </si>
  <si>
    <r>
      <rPr>
        <b/>
        <sz val="8"/>
        <rFont val="宋体"/>
        <charset val="134"/>
      </rPr>
      <t>7=6*</t>
    </r>
    <r>
      <rPr>
        <b/>
        <u/>
        <sz val="8"/>
        <rFont val="宋体"/>
        <charset val="134"/>
      </rPr>
      <t xml:space="preserve">  </t>
    </r>
    <r>
      <rPr>
        <b/>
        <sz val="8"/>
        <rFont val="宋体"/>
        <charset val="134"/>
      </rPr>
      <t>%</t>
    </r>
  </si>
  <si>
    <r>
      <rPr>
        <b/>
        <sz val="8"/>
        <rFont val="宋体"/>
        <charset val="134"/>
      </rPr>
      <t>8=(6+7)*</t>
    </r>
    <r>
      <rPr>
        <b/>
        <u/>
        <sz val="8"/>
        <rFont val="宋体"/>
        <charset val="134"/>
      </rPr>
      <t xml:space="preserve">  </t>
    </r>
    <r>
      <rPr>
        <b/>
        <sz val="8"/>
        <rFont val="宋体"/>
        <charset val="134"/>
      </rPr>
      <t>%</t>
    </r>
  </si>
  <si>
    <t>一</t>
  </si>
  <si>
    <t>样板间</t>
  </si>
  <si>
    <t>1</t>
  </si>
  <si>
    <t>结构工程</t>
  </si>
  <si>
    <t>1.1</t>
  </si>
  <si>
    <t>拆除墙体</t>
  </si>
  <si>
    <t>1.原砌体墙、圈梁、过梁拆除，含钢筋等
2.包含垃圾清运等费用
3.包含与之相关的一切费用</t>
  </si>
  <si>
    <t>m2</t>
  </si>
  <si>
    <t>1.2</t>
  </si>
  <si>
    <t>拆除飘窗</t>
  </si>
  <si>
    <t>1.原飘窗拆除，含钢筋、飘窗墙等
2.工程量为水平投影面积
2.包含垃圾清运等费用
3.包含与之相关的一切费用</t>
  </si>
  <si>
    <t>1.3</t>
  </si>
  <si>
    <t>加气混凝土砌块墙</t>
  </si>
  <si>
    <t>1.新建蒸压加气混凝土砌块墙
2.砌筑砂浆：M5水泥砂浆
3.满足施工规范及设计图纸要求
4.含水泥砂浆抹灰层
5.包含与之相关的一切费用</t>
  </si>
  <si>
    <t>m3</t>
  </si>
  <si>
    <t>国内优质</t>
  </si>
  <si>
    <t>1.4</t>
  </si>
  <si>
    <t>陶粒填充</t>
  </si>
  <si>
    <t>1.陶粒回填
2.满足施工规范及设计图纸要求
3.包含与之相关的一切费用</t>
  </si>
  <si>
    <t>2</t>
  </si>
  <si>
    <t>客厅、餐厅</t>
  </si>
  <si>
    <t>2.1</t>
  </si>
  <si>
    <t>地面</t>
  </si>
  <si>
    <t>2.1.1</t>
  </si>
  <si>
    <t>瓷砖地砖</t>
  </si>
  <si>
    <t>1.面层种类：CT01瓷砖
2.水泥膏结合层或瓷砖胶或瓷砖胶
3.1:3干硬性水泥砂浆
4.素水泥浆一道
5.具体做法详见图纸设计
6.成活价(含美缝、倒角、磨边、切割等及与之相关的其他一切费用)</t>
  </si>
  <si>
    <t>卡路里陶瓷（按定样）</t>
  </si>
  <si>
    <t>2.1.2</t>
  </si>
  <si>
    <t>过门石</t>
  </si>
  <si>
    <t>1.面层种类：CT-01瓷砖
2.水泥膏结合层或瓷砖胶或瓷砖胶
3.1:3干硬性水泥砂浆
4.素水泥浆一道
5.具体做法详见图纸设计
6.成活价(含美缝及与之相关的其他一切费用)</t>
  </si>
  <si>
    <t>按送样</t>
  </si>
  <si>
    <t>2.1.3</t>
  </si>
  <si>
    <t>木饰面地面</t>
  </si>
  <si>
    <t>1.面层种类：WD01-木饰面
2.水泥砂浆找平
3.素水泥浆一道
4.具体做法详见图纸设计
5.成活价(含美缝及与之相关的其他一切费用)</t>
  </si>
  <si>
    <t>圣象</t>
  </si>
  <si>
    <t>2.1.4</t>
  </si>
  <si>
    <t>木饰面踢脚线</t>
  </si>
  <si>
    <t>1.面层种类：WD01-木饰面踢脚线，100mm高
2.基层做法：15mm厚竹胶板
3.龙骨种类：30*60*2.5镀锌方管
5.具体做法详见图纸设计
5.成活价(含美缝及与之相关的其他一切费用)</t>
  </si>
  <si>
    <t>m</t>
  </si>
  <si>
    <t>2.1.5</t>
  </si>
  <si>
    <t>不锈钢踢脚线</t>
  </si>
  <si>
    <t>1.面层种类：MT02不锈钢踢脚线，30mm高
2.9mm厚阻燃板/专用型材卡件
3.具体做法详见图纸设计
4.成活价(含美缝及与之相关的其他一切费用)</t>
  </si>
  <si>
    <t>按定样</t>
  </si>
  <si>
    <t>2.2</t>
  </si>
  <si>
    <t>天棚</t>
  </si>
  <si>
    <t>轻钢龙骨石膏板吊顶</t>
  </si>
  <si>
    <t>1.装饰做法：PT01，白色乳胶漆
2.面层种类：9.5mm厚纸面石膏板
3.基层做法：阻燃板、石膏板（弧形造型处背开槽定弧）
4.局部不锈钢金属装饰线条造型
5.龙骨种类：50系列轻钢龙骨，φ8钢筋吊杆,双向吊点；阻燃方木
6.含开灯孔、定制石膏板线、检修口、灯槽、跌级吊顶造型、窗帘盒等费用
7.工程量为水平投影面积(含弧形位置)
8.具体做法详见图纸设计
9.成活价(含与之相关的其他一切费用)</t>
  </si>
  <si>
    <t>泰山</t>
  </si>
  <si>
    <t>木饰面天棚</t>
  </si>
  <si>
    <t>1.面层种类：WD01-木饰面
2.基层：9mm阻燃板
3.工程量为水平投影面积
4.具体做法详见图纸设计
5.成活价(含与之相关的其他一切费用)</t>
  </si>
  <si>
    <t>送样定制</t>
  </si>
  <si>
    <t>2.3</t>
  </si>
  <si>
    <t>墙面</t>
  </si>
  <si>
    <t>2.3.1</t>
  </si>
  <si>
    <t>木饰面墙面</t>
  </si>
  <si>
    <t>1.面层种类：WD01-木饰面，含工艺缝、密拼缝处理等
2.基层种类：15mm厚阻燃板墙面基层
3.龙骨种类：15厘阻燃板条
4.具体做法详见图纸设计及其他相关做法
5.成活价(含与之相关的其他一切费用)</t>
  </si>
  <si>
    <t>送样定制（广东厂家）</t>
  </si>
  <si>
    <t>2.3.2</t>
  </si>
  <si>
    <t>定制屏风</t>
  </si>
  <si>
    <t>1.GL02夹丝玻璃
2.含MT03铝型材、暗藏LED型材灯等
3.具体做法详见图纸设计及其他相关做法
4.成活价(含与之相关的其他一切费用)</t>
  </si>
  <si>
    <t>蓝波</t>
  </si>
  <si>
    <t>2.3.3</t>
  </si>
  <si>
    <t>壁布墙面</t>
  </si>
  <si>
    <t>1.面层种类：WP-01壁布
2.刮白胶腻子找平三遍（含专用胶）
3.含装饰不锈钢金属线条
4.具体做法详见图纸设计及其他相关做法
5.成活价(含工艺缝等与之相关的其他一切费用)</t>
  </si>
  <si>
    <t>2.3.4</t>
  </si>
  <si>
    <t>岩板墙面</t>
  </si>
  <si>
    <t>1.面层种类：ST03-岩板，含工艺缝处理等
2.基层种类：9mm厚阻燃板
3.龙骨种类：镀锌方管
4.含装饰金属线条
5.具体做法详见图纸设计及其他相关做法
6.成活价(含与之相关的其他一切费用)</t>
  </si>
  <si>
    <t>2.3.5</t>
  </si>
  <si>
    <t>金属面墙面</t>
  </si>
  <si>
    <t>1.面层种类：MT02-不锈钢
2.基层种类：9mm厚阻燃板
3.部位：电视墙造型
3.具体做法详见图纸设计及其他相关做法
4.成活价(含与之相关的其他一切费用)</t>
  </si>
  <si>
    <t>2.3.6</t>
  </si>
  <si>
    <t>电视柜墙面造型</t>
  </si>
  <si>
    <t>1.面层种类：CU01-皮革（硬包)、MT02不锈钢
2.基层种类：9mm厚阻燃板、15mm厚密度板、15mm厚阻燃板
3.工程量为垂直投影面积
4.具体做法详见图纸设计及其他相关做法
5.成活价(含与之相关的其他一切费用)</t>
  </si>
  <si>
    <t>2.3.7</t>
  </si>
  <si>
    <t>灰镜</t>
  </si>
  <si>
    <t>1.面层种类：GL04灰镜
2.基层种类：9mm厚阻燃板
3.具体做法详见图纸设计及其他相关做法
4.成活价(含与之相关的其他一切费用)</t>
  </si>
  <si>
    <t>2.3.8</t>
  </si>
  <si>
    <t>电视柜</t>
  </si>
  <si>
    <t>1.面层种类：WD01-木饰面、WD03-烤漆板电视柜,170mm高，宽345mm
2.含装饰不锈钢金属线条
3.工程量为水平投影面积
4.具体做法详见图纸设计及其他相关做法
5.成活价(含与之相关的其他一切费用)</t>
  </si>
  <si>
    <t>2.3.9</t>
  </si>
  <si>
    <t>定制储物柜</t>
  </si>
  <si>
    <t>1.面层种类：ST03-岩板、MT02-不锈钢、MT01-5mm实心不锈钢储物柜
2.基层种类：15mm厚阻燃板，基肋板找平
3.工程量为垂直投影面积
4.具体做法详见图纸设计及其他相关做法
5.成活价(含与之相关的其他一切费用)</t>
  </si>
  <si>
    <t>2.3.10</t>
  </si>
  <si>
    <t>定制餐桌及岛台</t>
  </si>
  <si>
    <t>1.规格尺寸：800mm宽、2400mm长、900mm高
2.面层：ST-02石材
3.基层种类：15mm阻燃板、不锈钢面隔层及线条，地脚包30mm高不锈钢踢脚线，暗藏LED型材灯
4.龙骨种类：镀锌方钢
5.工程量为水平投影面积
6.具体做法详见图纸设计
7.具体做法详见图纸设计及其他相关做法
8.成活价(含与之相关的其他一切费用)</t>
  </si>
  <si>
    <t>2.3.11</t>
  </si>
  <si>
    <t>不锈钢门套线</t>
  </si>
  <si>
    <t>1.面层种类：MT02-不锈钢
2.具体做法详见图纸设计及其他相关做法
3.成活价(含与之相关的其他一切费用)</t>
  </si>
  <si>
    <t>3</t>
  </si>
  <si>
    <t>主卧</t>
  </si>
  <si>
    <t>3.1</t>
  </si>
  <si>
    <t>3.1.1</t>
  </si>
  <si>
    <t>3.1.2</t>
  </si>
  <si>
    <t>木地板地面</t>
  </si>
  <si>
    <t>1.面层种类：WF01-木地板，含3mm厚“L”型金属条
2.铝膜防潮垫
3.4mm厚水泥自流平
4.1:3水泥砂浆找平层
4.具体做法详见图纸设计
5.成活价(含美缝及与之相关的其他一切费用)</t>
  </si>
  <si>
    <t>3.1.3</t>
  </si>
  <si>
    <t>1.面层种类：MT02不锈钢，30mm高
2.9mm厚阻燃板/专用型材卡件
3.具体做法详见图纸设计
4.成活价(含美缝及与之相关的其他一切费用)</t>
  </si>
  <si>
    <t>3.2</t>
  </si>
  <si>
    <t>3.2.1</t>
  </si>
  <si>
    <t>1.装饰做法：PT01，白色乳胶漆
2.面层种类：双层9.5mm厚纸面石膏板
3.基层做法：阻燃板、石膏板
4.局部不锈钢金属装饰线条造型
5.龙骨种类：50系列轻钢龙骨，φ8钢筋吊杆,双向吊点；阻燃方木
6.含开灯孔、定制石膏板线、检修口、灯槽、跌级吊顶造型、窗帘盒等费用
7.工程量为水平投影面积
8.具体做法详见图纸设计
9.成活价(含与之相关的其他一切费用)</t>
  </si>
  <si>
    <t>3.2.2</t>
  </si>
  <si>
    <t>原顶刷乳胶漆</t>
  </si>
  <si>
    <t>1.面层种类：PT01,白色乳胶漆，一底漆两面漆
2.部位：飘窗
3.具体做法详见图纸设计
4.成活价(含与之相关的其他一切费用)</t>
  </si>
  <si>
    <t>立邦</t>
  </si>
  <si>
    <t>3.3</t>
  </si>
  <si>
    <t>3.3.1</t>
  </si>
  <si>
    <t>1.面层种类：WP-02壁布
2.刮白胶腻子找平三遍（含专用胶）
3.含装饰不锈钢金属线条
4.具体做法详见图纸设计及其他相关做法
5.成活价(含工艺缝等与之相关的其他一切费用)</t>
  </si>
  <si>
    <t>3.3.2</t>
  </si>
  <si>
    <t>壁布墙面(硬包)</t>
  </si>
  <si>
    <t>1.面层种类：WP-02壁布(硬包)
2.基层种类：15mm厚密度板
3.含装饰不锈钢金属线条
4.具体做法详见图纸设计及其他相关做法
5.成活价(含工艺缝等与之相关的其他一切费用)</t>
  </si>
  <si>
    <t>3.3.3</t>
  </si>
  <si>
    <t>烤漆板墙面</t>
  </si>
  <si>
    <t>1.面层种类：WD02烤漆板(含弧面)
2.基层种类：15mm厚阻燃板
3.含装饰不锈钢金属线条
4.工程量为水平投影面积
5.具体做法详见图纸设计及其他相关做法
6.成活价(含与之相关的其他一切费用)</t>
  </si>
  <si>
    <t>3.3.4</t>
  </si>
  <si>
    <t>定制衣柜</t>
  </si>
  <si>
    <t>1.厂家二次深化
2.工程量为垂直投影面积
3.具体做法详见图纸设计及其他相关做法
4.成活价(含与之相关的其他一切费用)</t>
  </si>
  <si>
    <t>3.3.5</t>
  </si>
  <si>
    <t>1.面层种类：MT02-不锈钢储物柜
2.基层种类：15mm厚阻燃板
3.工程量为垂直投影面积
3.具体做法详见图纸设计及其他相关做法
4.成活价(含与之相关的其他一切费用)</t>
  </si>
  <si>
    <t>3.3.6</t>
  </si>
  <si>
    <t>石材窗台板</t>
  </si>
  <si>
    <t>1.面层种类：ST01石材
2.水泥膏结合层或瓷砖胶或瓷砖胶
3.1:3干硬性水泥砂浆
4.素水泥浆一道
5.具体做法详见图纸设计
6.成活价(含美缝及与之相关的其他一切费用)</t>
  </si>
  <si>
    <t>3.3.7</t>
  </si>
  <si>
    <t>3.3.8</t>
  </si>
  <si>
    <t>不锈钢窗套线</t>
  </si>
  <si>
    <t>4</t>
  </si>
  <si>
    <t>老人房</t>
  </si>
  <si>
    <t>4.1</t>
  </si>
  <si>
    <t>4.1.1</t>
  </si>
  <si>
    <t>4.1.2</t>
  </si>
  <si>
    <t>国内二线品牌（按送样）</t>
  </si>
  <si>
    <t>4.1.3</t>
  </si>
  <si>
    <t>4.2</t>
  </si>
  <si>
    <t>4.2.1</t>
  </si>
  <si>
    <t>4.3</t>
  </si>
  <si>
    <t>4.3.1</t>
  </si>
  <si>
    <t>4.3.2</t>
  </si>
  <si>
    <t>1.面层种类：WP-03壁布(硬包)
2.基层种类：15mm厚密度板
3.含装饰不锈钢金属线条
4.具体做法详见图纸设计及其他相关做法
5.成活价(含工艺缝等与之相关的其他一切费用)</t>
  </si>
  <si>
    <t>4.3.3</t>
  </si>
  <si>
    <t>木饰面暗门</t>
  </si>
  <si>
    <t>1.WD-01木饰面（暗门） 10*10mm木格栅/间距15mm
2.含五金、门锁、把手等五金件
3.具体做法详见图纸设计及其他相关做法
4.成活价(含与之相关的其他一切费用)</t>
  </si>
  <si>
    <t>4.3.4</t>
  </si>
  <si>
    <t>1.面层种类：WD02/03烤漆板衣柜
2.工程量为垂直投影面积
3.具体做法详见图纸设计及其他相关做法
4.成活价(含与之相关的其他一切费用)</t>
  </si>
  <si>
    <t>4.3.5</t>
  </si>
  <si>
    <t>定制书架</t>
  </si>
  <si>
    <t>1.面层种类：WD03烤漆板储物柜
2.工程量为垂直投影面积
3.具体做法详见图纸设计及其他相关做法
4.成活价(含与之相关的其他一切费用)</t>
  </si>
  <si>
    <t>4.3.6</t>
  </si>
  <si>
    <t>5</t>
  </si>
  <si>
    <t>儿童房</t>
  </si>
  <si>
    <t>5.1</t>
  </si>
  <si>
    <t>5.1.1</t>
  </si>
  <si>
    <t>5.1.2</t>
  </si>
  <si>
    <t>5.1.3</t>
  </si>
  <si>
    <t>5.2</t>
  </si>
  <si>
    <t>5.2.1</t>
  </si>
  <si>
    <t>5.3</t>
  </si>
  <si>
    <t>5.3.1</t>
  </si>
  <si>
    <t>1.面层种类：WP-05壁布
2.刮白胶腻子找平三遍（含专用胶）
3.含装饰不锈钢金属线条
4.具体做法详见图纸设计及其他相关做法
5.成活价(含工艺缝等与之相关的其他一切费用)</t>
  </si>
  <si>
    <t>5.3.2</t>
  </si>
  <si>
    <t>1.面层种类：WP-04壁布(硬包)
2.基层种类：15mm厚密度板、15mm阻燃板
3.含装饰不锈钢金属线条
4.具体做法详见图纸设计及其他相关做法
5.成活价(含工艺缝等与之相关的其他一切费用)</t>
  </si>
  <si>
    <t>5.3.3</t>
  </si>
  <si>
    <t>定制儿童书架</t>
  </si>
  <si>
    <t>1.面层种类：WD02烤漆板书架
2.工程量为水平投影面积
3.具体做法详见图纸设计及其他相关做法
4.成活价(含与之相关的其他一切费用)</t>
  </si>
  <si>
    <t>5.3.4</t>
  </si>
  <si>
    <t>5.3.5</t>
  </si>
  <si>
    <t>5.3.6</t>
  </si>
  <si>
    <t>6</t>
  </si>
  <si>
    <t>卫生间</t>
  </si>
  <si>
    <t>6.1</t>
  </si>
  <si>
    <t>6.1.1</t>
  </si>
  <si>
    <t>1.面层种类：CT01瓷砖
2.水泥膏结合层或瓷砖胶或瓷砖胶
3.1:3干硬性水泥砂浆
4.素水泥浆一道
5.1.5mm厚JS防水涂料
6.1：3水泥砂浆保护层(φ6钢筋混凝土止水坎)
7.具体做法详见图纸设计
8.成活价(含美缝、倒角、磨边、切割等及与之相关的其他一切费用)</t>
  </si>
  <si>
    <t>6.1.2</t>
  </si>
  <si>
    <t>石材地砖（含拉槽）</t>
  </si>
  <si>
    <t>1.面层种类：ST01石材（含拉槽处理）
2.水泥膏结合层或瓷砖胶或瓷砖胶
3.1:3干硬性水泥砂浆
4.素水泥浆一道
5.1.5mm厚JS防水涂料
6.1：3水泥砂浆保护层
7.工程量按水平投影面积
8.具体做法详见图纸设计
9.成活价(含美缝及与之相关的其他一切费用)</t>
  </si>
  <si>
    <t>6.1.3</t>
  </si>
  <si>
    <t>6.2</t>
  </si>
  <si>
    <t>6.2.1</t>
  </si>
  <si>
    <t>1.装饰做法：PT02，白色防水乳胶漆
2.面层种类：9.5mm厚纸面防水石膏板
3.基层做法：阻燃板、石膏板
4.局部不锈钢金属装饰线条造型
5.龙骨种类：50系列轻钢龙骨，φ8钢筋吊杆,双向吊点；阻燃方木
6.含开灯孔、定制石膏板线、检修口、灯槽、窗帘盒等费用
7.工程量为水平投影面积
8.具体做法详见图纸设计
9.成活价(含与之相关的其他一切费用)</t>
  </si>
  <si>
    <t>6.3</t>
  </si>
  <si>
    <t>6.3.1</t>
  </si>
  <si>
    <t>瓷砖墙面</t>
  </si>
  <si>
    <t>1.面层种类：CT02瓷砖
2.水泥膏结合层或瓷砖胶或瓷砖胶
3.1:3干硬性水泥砂浆
4.素水泥浆一道
5.1.5mm厚JS防水涂料
6.具体做法详见图纸设计
7.成活价(含美缝、倒角、磨边、切割、包管道等及与之相关的其他一切费用)</t>
  </si>
  <si>
    <t>琥珀陶瓷</t>
  </si>
  <si>
    <t>6.3.2</t>
  </si>
  <si>
    <t>淋浴房玻璃隔断</t>
  </si>
  <si>
    <t>1.淋浴房玻璃隔断.GL01超白艺术玻璃，含C20细石混凝土挡水坎收口
2.含MT02不锈钢
3.具体做法详见图纸设计
4.成活价(含美缝及与之相关的其他一切费用)</t>
  </si>
  <si>
    <t>6.3.3</t>
  </si>
  <si>
    <t>明镜</t>
  </si>
  <si>
    <t>1.面层种类：GL03明镜
2.基层种类：9mm厚阻燃板
3.具体做法详见图纸设计及其他相关做法
4.成活价(含与之相关的其他一切费用)</t>
  </si>
  <si>
    <t>浪鲸</t>
  </si>
  <si>
    <t>6.3.4</t>
  </si>
  <si>
    <t>6.3.5</t>
  </si>
  <si>
    <t>6.3.6</t>
  </si>
  <si>
    <t>定制卫生间移门</t>
  </si>
  <si>
    <t>1.定制卫生间木饰面移门
2.含五金、门锁、把手等五金件
3.具体做法详见图纸设计及其他相关做法
4.成活价(含与之相关的其他一切费用)</t>
  </si>
  <si>
    <t>6.3.7</t>
  </si>
  <si>
    <t>定制洗手台</t>
  </si>
  <si>
    <t>1.面层种类：WD01-木饰面，ST01石材面板洗手台
2.工程量按垂直投影面积
3.具体做法详见图纸设计及其他相关做法
4.成活价(含与之相关的其他一切费用)</t>
  </si>
  <si>
    <t>6.3.8</t>
  </si>
  <si>
    <t>1.面层种类：MT02不锈钢储物柜
2.工程量为垂直投影面积
3.具体做法详见图纸设计及其他相关做法
4.成活价(含与之相关的其他一切费用)</t>
  </si>
  <si>
    <t>7</t>
  </si>
  <si>
    <t>厨房</t>
  </si>
  <si>
    <t>7.1</t>
  </si>
  <si>
    <t>7.1.1</t>
  </si>
  <si>
    <t>7.1.2</t>
  </si>
  <si>
    <t>水泥砂浆地面</t>
  </si>
  <si>
    <t>1.面层种类：1:3水泥砂浆找平,压实压光
2.界面剂一道
3.含水泥砂浆填缝
4.具体做法详见图纸设计
5.成活价(含美缝及与之相关的其他一切费用)</t>
  </si>
  <si>
    <t>同力</t>
  </si>
  <si>
    <t>7.2</t>
  </si>
  <si>
    <t>7.2.1</t>
  </si>
  <si>
    <t>7.3</t>
  </si>
  <si>
    <t>7.3.1</t>
  </si>
  <si>
    <t>7.3.2</t>
  </si>
  <si>
    <t>定制橱柜</t>
  </si>
  <si>
    <t>1.面层种类：橱柜(厂家二次深化)
2.工程量为垂直投影面积
3.具体做法详见图纸设计及其他相关做法
4.成活价(含与之相关的其他一切费用)</t>
  </si>
  <si>
    <t>7.3.3</t>
  </si>
  <si>
    <t>7.3.4</t>
  </si>
  <si>
    <t>8</t>
  </si>
  <si>
    <t>阳台</t>
  </si>
  <si>
    <t>8.1</t>
  </si>
  <si>
    <t>8.1.1</t>
  </si>
  <si>
    <t>8.1.2</t>
  </si>
  <si>
    <t>8.1.3</t>
  </si>
  <si>
    <t>8.2</t>
  </si>
  <si>
    <t>8.2.1</t>
  </si>
  <si>
    <t>8.3</t>
  </si>
  <si>
    <t>8.3.1</t>
  </si>
  <si>
    <t>1.面层种类：WP-01壁布
2.刮白胶腻子找平三遍（含专用胶）
3.含装饰不锈钢金属线条
4.具体做法详见图纸设计及其他相关做法
5.成活价(含工艺缝、包管道等与之相关的其他一切费用)</t>
  </si>
  <si>
    <t>8.3.2</t>
  </si>
  <si>
    <t>1.面层种类：WD02/03烤漆板储物柜
2.工程量为垂直投影面积
3.具体做法详见图纸设计及其他相关做法
4.成活价(含与之相关的其他一切费用)</t>
  </si>
  <si>
    <t>8.3.3</t>
  </si>
  <si>
    <t>1.面层种类：WD02烤漆板，ST01石材面板洗手台
2.工程量按水平投影面积
3.具体做法详见图纸设计及其他相关做法
4.成活价(含与之相关的其他一切费用)</t>
  </si>
  <si>
    <t>8.3.4</t>
  </si>
  <si>
    <t>8.3.5</t>
  </si>
  <si>
    <t>8.3.6</t>
  </si>
  <si>
    <t>二</t>
  </si>
  <si>
    <t>2#中单元大堂及一层公共区域</t>
  </si>
  <si>
    <t>楼体间梯段地砖</t>
  </si>
  <si>
    <t>1.面层种类：CT03瓷砖
2.水泥膏结合层或瓷砖胶或瓷砖胶
3.1:3干硬性水泥砂浆
4.素水泥浆一道
5.部位：一层到二层楼梯梯段、平台，工程量为水平投影面积
6.具体做法详见图纸设计
7.成活价(含美缝及与之相关的其他一切费用)</t>
  </si>
  <si>
    <t>马可波罗</t>
  </si>
  <si>
    <t>单元入口、电梯过门石</t>
  </si>
  <si>
    <t>1.面层种类：ST01石材
2.水泥膏结合层或瓷砖胶或瓷砖胶
3.1:3干硬性水泥砂浆
4.素水泥浆一道
5.工程量为水平投影面积
6.具体做法详见图纸设计
7.成活价(含美缝及与之相关的其他一切费用)</t>
  </si>
  <si>
    <t>1.面层种类：MT02不锈钢踢脚线，50mm高
2.9mm厚阻燃板/专用型材卡件，包封埃特板基层
3.具体做法详见图纸设计
4.成活价(含美缝及与之相关的其他一切费用)</t>
  </si>
  <si>
    <t>1.5</t>
  </si>
  <si>
    <t>楼梯间瓷砖踢脚线</t>
  </si>
  <si>
    <t>1.面层种类：CT03瓷砖踢脚线，50mm高
2.水泥膏结合层或瓷砖胶或瓷砖胶
3.1:3干硬性水泥砂浆
4.素水泥浆一道
5.具体做法详见图纸设计
6.成活价(含美缝、倒角、磨边、切割等及与之相关的其他一切费用)</t>
  </si>
  <si>
    <t>国内二线品牌</t>
  </si>
  <si>
    <t>1.装饰做法：PT01，白色乳胶漆
2.面层种类：9.5mm厚纸面石膏板
3.基层做法：阻燃板、石膏板
4.龙骨种类：50系列轻钢龙骨，φ8钢筋吊杆,双向吊点；阻燃方木
5.含开灯孔、定制石膏板线、检修口、灯槽、跌级吊顶造型等费用
6.工程量为水平投影面积
7.具体做法详见图纸设计
8.成活价(含与之相关的其他一切费用)</t>
  </si>
  <si>
    <t>1.面层种类：PT01,白色乳胶漆，一底漆两面漆
2.刮白胶腻子找平三遍，顶棚处理平整
3.一层~二层楼梯梯板，工程量为水平投影面积
4.具体做法详见图纸设计
5.成活价(含与之相关的其他一切费用)</t>
  </si>
  <si>
    <t>湿挂瓷砖墙面</t>
  </si>
  <si>
    <t>1.面层种类：CT02瓷砖
2.水泥砂浆找平层
3.加固钢丝网满铺
4.水泥砂浆抹平
5.含机切倒挂槽、倒角、磨边等
6.具体做法详见图纸设计
7.成活价(含美缝、倒角、磨边、切割等及与之相关的其他一切费用)</t>
  </si>
  <si>
    <t>湿贴瓷砖墙面</t>
  </si>
  <si>
    <t>1.面层种类：CT02瓷砖
2.水泥膏结合层或瓷砖胶或瓷砖胶
3.1:3干硬性水泥砂浆
4.素水泥浆一道
5.含消防箱隐形门、倒角、磨边等
6.具体做法详见图纸设计
7.成活价(含美缝、倒角、磨边、切割等及与之相关的其他一切费用)</t>
  </si>
  <si>
    <t>乳胶漆墙面</t>
  </si>
  <si>
    <t>1.装饰面层：PT01白色乳胶漆，一底漆两面漆
2.面层做法：9.5mm厚纸面石膏板
3.基层做法：15mm厚阻燃板
4.具体做法详见图纸设计
5.成活价(含与之相关的其他一切费用)</t>
  </si>
  <si>
    <t>3.4</t>
  </si>
  <si>
    <t>1.装饰面层：PT01白色乳胶漆
2.刮白胶腻子找平三遍
3.抗碱度漆(底漆)一道
4.乳胶漆(面漆)一道
5.乳胶漆(面漆)一道
6.部位：楼梯间墙面
7.具体做法详见图纸设计
8.成活价(含与之相关的其他一切费用)</t>
  </si>
  <si>
    <t>3.5</t>
  </si>
  <si>
    <t>铝方通</t>
  </si>
  <si>
    <t>1.面层种类：MT03铝方通（20*50）
2.含埋件、固定件、龙骨等
3.工程量为投影面积
4.具体做法详见图纸设计
5.成活价(含与之相关的其他一切费用)</t>
  </si>
  <si>
    <t>3.6</t>
  </si>
  <si>
    <t>定制玻璃防火门</t>
  </si>
  <si>
    <t>1.玻璃防火门
2.含五金、门锁、把手、埋件、地弹簧、龙骨、铝合金角码、化学锚栓等五金件
3.具体做法详见图纸设计及其他相关做法
4.成活价(含与之相关的其他一切费用)</t>
  </si>
  <si>
    <t>3.7</t>
  </si>
  <si>
    <t>不锈钢线条</t>
  </si>
  <si>
    <t>1.面层种类：MT01-不锈钢
2.工程量按垂直投影面积
3.具体做法详见图纸设计及其他相关做法
4.成活价(含与之相关的其他一切费用)</t>
  </si>
  <si>
    <t>3.8</t>
  </si>
  <si>
    <t>1.面层种类：WD01-木饰面，含工艺缝、成品阳角条、密拼缝处理等
2.基层种类：15mm厚阻燃板墙面
3.龙骨种类：15厘阻燃板条
4.具体做法详见图纸设计及其他相关做法
5.成活价(含与之相关的其他一切费用)</t>
  </si>
  <si>
    <t>兔宝宝</t>
  </si>
  <si>
    <t>3.9</t>
  </si>
  <si>
    <t>管井门</t>
  </si>
  <si>
    <t>1.水暖井、电井钢制防火门
2.含五金、门锁、把手等
3.具体做法详见图纸设计
4.成活价(含与之相关的其他一切费用)</t>
  </si>
  <si>
    <t>3.10</t>
  </si>
  <si>
    <t>1.面层种类：MT01-不锈钢
2.具体做法详见图纸设计及其他相关做法
3.成活价(含与之相关的其他一切费用)</t>
  </si>
  <si>
    <t>三</t>
  </si>
  <si>
    <t>2#中单元二层公共区域</t>
  </si>
  <si>
    <t>1.面层种类：PT01,白色乳胶漆，一底漆两面漆
2.刮白胶腻子找平三遍，顶棚处理平整
3.公共区域原顶面积及梁测面
4.具体做法详见图纸设计
5.成活价(含与之相关的其他一切费用)</t>
  </si>
  <si>
    <t>1.水暖井、电井钢制防火门
2.含五金、门锁、把手等五金件
3.具体做法详见图纸设计
4.成活价(含与之相关的其他一切费用)</t>
  </si>
  <si>
    <t>四</t>
  </si>
  <si>
    <t>合计</t>
  </si>
  <si>
    <t>元</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</si>
  <si>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若对工程量清单存疑，请在招标文件约定的期限内提出，经招标人确认后补发此项清单。招标文件约定的期限内若无异议，本次工程量清单无论是否存在缺项、漏项、工程量缺少，均视为乙方已综合考虑在固定合同总价内。</t>
  </si>
  <si>
    <t>洛宁项目样板间装修工程施工-安装</t>
  </si>
  <si>
    <t>项目
名称</t>
  </si>
  <si>
    <t>计量
单位</t>
  </si>
  <si>
    <t>样板间--电气</t>
  </si>
  <si>
    <t>配电箱</t>
  </si>
  <si>
    <t>1.名称:配电箱2Al
2.规格:500*500*100mm
3.安装方式:明装
4.含端子板接线
5.其它详见图纸设计要求</t>
  </si>
  <si>
    <t>台</t>
  </si>
  <si>
    <t>德力西</t>
  </si>
  <si>
    <t>1.名称:户箱Al
2.规格:480x300x100mm
3.安装方式:底距地1.8m暗装
4.含端子板接线
5.其它详见图纸设计要求</t>
  </si>
  <si>
    <t>电力电缆</t>
  </si>
  <si>
    <t>1.名称:电力电缆（暂定）
2.型号.规格:YJV-5*16mm2
3.材质:铜芯
4.敷设方式、部位:管内及桥架内
5.电压等级(kV):1KV以下
6.含电缆头的制作安装</t>
  </si>
  <si>
    <t>郑三</t>
  </si>
  <si>
    <t>1.名称:电力电缆（暂定）
2.型号.规格:ZR-BV-10mm2
3.材质:铜芯
4.敷设方式、部位:管内及桥架内
5.电压等级(kV):1KV以下
6.含电缆头的制作安装</t>
  </si>
  <si>
    <t>配管</t>
  </si>
  <si>
    <t>1.名称:电气配管
2.材质、规格:PC16
3.:配置形式:暗配</t>
  </si>
  <si>
    <t>1.6</t>
  </si>
  <si>
    <t>1.名称:电气配管
2.材质、规格:PC20
3.:配置形式:暗配</t>
  </si>
  <si>
    <t>1.7</t>
  </si>
  <si>
    <t>电气配线</t>
  </si>
  <si>
    <t>1.名称:BV-2.5
2.敷设方式：管内配线
3.具体做法详见图纸设计</t>
  </si>
  <si>
    <t>1.8</t>
  </si>
  <si>
    <t>1.名称:BV-4
2.敷设方式：管内配线
3.具体做法详见图纸设计</t>
  </si>
  <si>
    <t>1.9</t>
  </si>
  <si>
    <t>1.名称:BV-6
2.敷设方式：管内配线
3.具体做法详见图纸设计</t>
  </si>
  <si>
    <t>1.10</t>
  </si>
  <si>
    <t>小电器</t>
  </si>
  <si>
    <t>1.名称:单联单控开关
2.规格:250V  10A 
3.安装方式:暗装 
4.其它详见图纸设计要求</t>
  </si>
  <si>
    <t>个</t>
  </si>
  <si>
    <t>涂鸦</t>
  </si>
  <si>
    <t>1.11</t>
  </si>
  <si>
    <t>1.名称:双联单控开关
2.规格:250V  10A 
3.安装方式:暗装 
4.其它详见图纸设计要求</t>
  </si>
  <si>
    <t>1.12</t>
  </si>
  <si>
    <t>1.名称:三联单控开关
2.规格:250V  10A 
3.安装方式:暗装 
4.其它详见图纸设计要求</t>
  </si>
  <si>
    <t>1.13</t>
  </si>
  <si>
    <t>1.名称:单联双控开关
2.规格:250V  10A 
3.安装方式:暗装 
4.其它详见图纸设计要求</t>
  </si>
  <si>
    <t>1.14</t>
  </si>
  <si>
    <t>1.名称:双联双控开关
2.规格:250V  10A 
3.安装方式:暗装 
4.其它详见图纸设计要求</t>
  </si>
  <si>
    <t>1.15</t>
  </si>
  <si>
    <t>1.名称:三联双控开关
2.规格:250V  10A 
3.安装方式:暗装 
4.其它详见图纸设计要求</t>
  </si>
  <si>
    <t>1.16</t>
  </si>
  <si>
    <t>1.名称:一键离家开关
2.规格:250V  10A 
3.安装方式:暗装 
4.其它详见图纸设计要求</t>
  </si>
  <si>
    <t>1.17</t>
  </si>
  <si>
    <t>1.名称:五孔插座
2.规格:220V 
3.安装方式:暗装 距地0.3米
4.其它详见图纸设计要求</t>
  </si>
  <si>
    <t>1.18</t>
  </si>
  <si>
    <t>1.名称:三孔带开关插座
2.规格:220V 
3.安装方式:暗装 距地1.2/2.2米
4.其它详见图纸设计要求</t>
  </si>
  <si>
    <t>1.19</t>
  </si>
  <si>
    <t>1.名称:防水插座
2.规格:220V 
3.安装方式:暗装 距地1.3米
4.其它详见图纸设计要求</t>
  </si>
  <si>
    <t>1.20</t>
  </si>
  <si>
    <t>1.名称:插座+USB充电
2.规格:220V 
3.安装方式:暗装 距地0.65米
4.其它详见图纸设计要求</t>
  </si>
  <si>
    <t>1.21</t>
  </si>
  <si>
    <t>1.名称:方形五孔地插座
2.规格:220V 
3.安装方式:暗装
4.其它详见图纸设计要求</t>
  </si>
  <si>
    <t>1.22</t>
  </si>
  <si>
    <t>接线盒</t>
  </si>
  <si>
    <t>1.名称:塑料接线盒
2.材质:86H
3.安装形式:暗装</t>
  </si>
  <si>
    <t>1.23</t>
  </si>
  <si>
    <t>筒灯</t>
  </si>
  <si>
    <t xml:space="preserve">1.名称:嵌装式筒灯T1
2.规格:9w
3.其他详图纸和技术要求及灯具选样表  </t>
  </si>
  <si>
    <t>雷士</t>
  </si>
  <si>
    <t>1.24</t>
  </si>
  <si>
    <t xml:space="preserve">1.名称:明装式筒灯T2
2.规格:2*15w
3.其他详图纸和技术要求及灯具选样表  </t>
  </si>
  <si>
    <t>1.25</t>
  </si>
  <si>
    <t xml:space="preserve">1.名称:嵌装式防雾射灯(入射角可调)SW
2.规格:9w
3.其他详图纸和技术要求及灯具选样表  </t>
  </si>
  <si>
    <t>1.26</t>
  </si>
  <si>
    <t xml:space="preserve">1.名称:嵌装式射灯(入射角可调)S1
2.规格:12w
3.其他详图纸和技术要求及灯具选样表  </t>
  </si>
  <si>
    <t>1.27</t>
  </si>
  <si>
    <t xml:space="preserve">1.名称:嵌装式射灯(入射角可调)S2
2.规格:9w
3.其他详图纸和技术要求及灯具选样表  </t>
  </si>
  <si>
    <t>1.28</t>
  </si>
  <si>
    <t xml:space="preserve">1.名称:嵌装式射灯(入射角可调)S3
2.规格:3w
3.其他详图纸和技术要求及灯具选样表  </t>
  </si>
  <si>
    <t>1.29</t>
  </si>
  <si>
    <t xml:space="preserve">1.名称:嵌装式射灯(入射角可调红外感应)S1A
2.规格:12w
3.其他详图纸和技术要求及灯具选样表  </t>
  </si>
  <si>
    <t>1.30</t>
  </si>
  <si>
    <t xml:space="preserve">1.名称:天际灯
2.规格:13.5w/m
3.其他详图纸和技术要求及灯具选样表  </t>
  </si>
  <si>
    <t>1.31</t>
  </si>
  <si>
    <t>LED灯带</t>
  </si>
  <si>
    <t xml:space="preserve">1.名称:LED灯带L1
2.规格:10w/m
3.其他详图纸和技术要求及灯具选样表  </t>
  </si>
  <si>
    <t>1.32</t>
  </si>
  <si>
    <t xml:space="preserve">1.名称:LED线型灯带L2
2.规格:4.8w/m
3.其他详图纸和技术要求及灯具选样表  </t>
  </si>
  <si>
    <t>1.33</t>
  </si>
  <si>
    <t>弱电箱</t>
  </si>
  <si>
    <t xml:space="preserve">1.名称:弱电箱
2.其他详图纸和技术要求及灯具选样表  </t>
  </si>
  <si>
    <t>1.34</t>
  </si>
  <si>
    <t>1.35</t>
  </si>
  <si>
    <t>1.名称:UTP5e
2.敷设方式：管内配线
3.具体做法详见图纸设计</t>
  </si>
  <si>
    <t>1.36</t>
  </si>
  <si>
    <t>1.名称:SYWV-75-5
2.敷设方式：管内配线
3.具体做法详见图纸设计</t>
  </si>
  <si>
    <t>1.37</t>
  </si>
  <si>
    <t>1.名称:网络插座
2.规格:安装方式:暗装 
3.其它详见图纸设计要求</t>
  </si>
  <si>
    <t>1.38</t>
  </si>
  <si>
    <t>1.名称:电视插座
2.规格:安装方式:暗装 
3.其它详见图纸设计要求</t>
  </si>
  <si>
    <t>1.39</t>
  </si>
  <si>
    <t>智能家居控制系统</t>
  </si>
  <si>
    <t>1.名称:智能家居控制系统</t>
  </si>
  <si>
    <t>套</t>
  </si>
  <si>
    <t>1.40</t>
  </si>
  <si>
    <t>可视对讲机</t>
  </si>
  <si>
    <t>1.可视对讲机（含呼叫按钮）
2.详见图纸设计（含与之相关的一切费用）</t>
  </si>
  <si>
    <t>1.41</t>
  </si>
  <si>
    <t>智能窗帘控制</t>
  </si>
  <si>
    <t>1、智能窗帘控制
2、详见图纸设计（含与之相关的一切费用）</t>
  </si>
  <si>
    <t>样板间--给水</t>
  </si>
  <si>
    <t>给水管</t>
  </si>
  <si>
    <t>1.名称:PP-R De25（冷水）
2.含管件及其他相关配件
3.管道试压,消毒、冲洗
4.其它详见图纸设计要求</t>
  </si>
  <si>
    <t>金牛</t>
  </si>
  <si>
    <t>1.名称:PP-R De20（冷水）
2.含管件及其他相关配件
3.管道试压,消毒、冲洗
4.其它详见图纸设计要求</t>
  </si>
  <si>
    <t>1.名称:PP-R De25（热水）
2.含管件及其他相关配件
3.管道试压,消毒、冲洗
4.其它详见图纸设计要求</t>
  </si>
  <si>
    <t>2.4</t>
  </si>
  <si>
    <t>1.名称:PP-R De20（热水）
2.含管件及其他相关配件
3.管道试压,消毒、冲洗
4.其它详见图纸设计要求</t>
  </si>
  <si>
    <t>2.5</t>
  </si>
  <si>
    <t>坐便器</t>
  </si>
  <si>
    <t>1.名称:坐便器
2.品牌及型号：详见洁具表
3.包含角阀等配件及与之相关的一切费用</t>
  </si>
  <si>
    <t>TOTO</t>
  </si>
  <si>
    <t>2.6</t>
  </si>
  <si>
    <t>地漏</t>
  </si>
  <si>
    <t>1.名称:淋浴器区地漏DN50安装
2.品牌及型号：详见洁具表</t>
  </si>
  <si>
    <t>2.7</t>
  </si>
  <si>
    <t>1.名称:地漏DN50安装
2.品牌及型号：详见洁具表</t>
  </si>
  <si>
    <t>2.8</t>
  </si>
  <si>
    <t>1.名称:洗衣机地漏DN50安装
2.品牌及型号：详见洁具表</t>
  </si>
  <si>
    <t>2.9</t>
  </si>
  <si>
    <t>洁面盆</t>
  </si>
  <si>
    <t>1.名称:洁面盆（含水龙头）
2.品牌及型号：详见洁具表
3.包含角阀等配件及与之相关的一切费用</t>
  </si>
  <si>
    <t>2.10</t>
  </si>
  <si>
    <t>淋浴器</t>
  </si>
  <si>
    <t>1.名称:淋浴器
2.品牌及型号：详见洁具表
3.包含角阀等配件及与之相关的一切费用</t>
  </si>
  <si>
    <t>2.11</t>
  </si>
  <si>
    <t>水龙头</t>
  </si>
  <si>
    <t>1.名称:洗衣机龙头
2.品牌及型号：详见洁具表
3.包含角阀等配件及与之相关的一切费用</t>
  </si>
  <si>
    <t>2.12</t>
  </si>
  <si>
    <t>洗菜盆</t>
  </si>
  <si>
    <t>1.名称:洗菜盆（含水龙头）
2.品牌及型号：详见洁具表
3.包含角阀等配件及与之相关的一切费用</t>
  </si>
  <si>
    <t>2.13</t>
  </si>
  <si>
    <t>探测器</t>
  </si>
  <si>
    <t>1.名称:可燃气体探测器
2.其它详见图纸设计要求</t>
  </si>
  <si>
    <t>2.14</t>
  </si>
  <si>
    <t>消火栓</t>
  </si>
  <si>
    <t>1.名称:消火栓（大堂）
2.其它详见图纸设计要求</t>
  </si>
  <si>
    <t>上海凯泉</t>
  </si>
  <si>
    <t>2.15</t>
  </si>
  <si>
    <t>1.名称:消火栓（二楼公区）
2.其它详见图纸设计要求</t>
  </si>
  <si>
    <t>2.16</t>
  </si>
  <si>
    <t>消火栓钢管</t>
  </si>
  <si>
    <t>1.名称:内外热浸镀锌钢管
2.规格:DN100
3.连接形式:卡箍连接
4.含压力试验及冲洗
5.其它未尽事宜详见图纸（含与之相关的一切费用）</t>
  </si>
  <si>
    <t>2.17</t>
  </si>
  <si>
    <t>1.名称:内外热浸镀锌钢管
2.规格:DN65
3.连接形式:卡箍连接
4.含压力试验及冲洗
5.其它未尽事宜详见图纸（含与之相关的一切费用）</t>
  </si>
  <si>
    <t>样板间--空调</t>
  </si>
  <si>
    <t>室外机</t>
  </si>
  <si>
    <t>1.名称:室内机（含支架制作安装、除锈刷油，调试，减震等）
2.规格:RQCZQ7CAVN
3.其他要求:满足设计、图集及相关规范要求</t>
  </si>
  <si>
    <t>海尔</t>
  </si>
  <si>
    <t>室内机</t>
  </si>
  <si>
    <t>1.名称:室内机（含支架制作安装、除锈刷油，调试，减震等）
2.规格:FQDP112BVC
3.其他要求:满足设计、图集及相关规范要求</t>
  </si>
  <si>
    <t>1.名称:室内机（含支架制作安装、除锈刷油，调试，减震等）
2.规格:FQDP40CAN
3.其他要求:满足设计、图集及相关规范要求</t>
  </si>
  <si>
    <t>1.名称:室外机（含支架制作安装、除锈刷油，调试，减震等）
2.规格:FQDP25CAN
3.参数:其他要求：满足设计、图集及相关规范要求</t>
  </si>
  <si>
    <t>风管</t>
  </si>
  <si>
    <t>1.名称：镀锌钢板风管（含支架制作安装、除锈刷油等）
2.规格：700*200mm
3.保温做法：详见图纸及规范
4.厚度：符合GB50243-2016
5.其他要求：满足设计、图集及相关规范要求</t>
  </si>
  <si>
    <t>风口</t>
  </si>
  <si>
    <t>1.名称：铝合金条形侧出风口
2.规格：2040×100mm
3.材质：详图纸和技术要求 
4.其他要求：满足设计、图集及相关规范要求</t>
  </si>
  <si>
    <t>1.名称：铝合金条形侧出风口
2.规格：2140×100mm
3.材质：详图纸和技术要求 
4.其他要求：满足设计、图集及相关规范要求</t>
  </si>
  <si>
    <t>1.名称：铝合金条形侧出风口
2.规格：2680×100mm
3.材质：详图纸和技术要求 
4.其他要求：满足设计、图集及相关规范要求</t>
  </si>
  <si>
    <t>1.名称：铝合金条形侧出风口
2.规格：2740×100mm
3.材质：详图纸和技术要求 
4.其他要求：满足设计、图集及相关规范要求</t>
  </si>
  <si>
    <t>冷媒管</t>
  </si>
  <si>
    <t>1.名称：冷媒管（含制冷剂、保温、支架制作安装、除锈刷油等）
2.材料：铜管
3.规格：¢19.1mm
4.厚度：1.0mm
5.其他要求：其他要求：满足设计、图集及相关规范要求</t>
  </si>
  <si>
    <t>3.11</t>
  </si>
  <si>
    <t>1.名称：冷媒管（含制冷剂、保温、支架制作安装、除锈刷油等）
2.材料：铜管
3.规格：¢15.9mm
4.厚度：1.0mm
5.其他要求：其他要求：满足设计、图集及相关规范要求</t>
  </si>
  <si>
    <t>3.12</t>
  </si>
  <si>
    <t>1.名称：冷媒管（含制冷剂、保温、支架制作安装、除锈刷油等）
2.材料：铜管
3.规格：¢12.7mm
4.厚度：0.8mm
5.其他要求：其他要求：满足设计、图集及相关规范要求</t>
  </si>
  <si>
    <t>3.13</t>
  </si>
  <si>
    <t>1.名称：冷媒管（含制冷剂、保温、支架制作安装、除锈刷油等）
2.材料：铜管
3.规格：¢9.5mm
4.厚度：0.8mm
5.其他要求：其他要求：满足设计、图集及相关规范要求</t>
  </si>
  <si>
    <t>3.14</t>
  </si>
  <si>
    <t>1.名称：冷媒管（含制冷剂、保温、支架制作安装、除锈刷油等）
2.材料：铜管
3.规格：¢6.4mm
4.厚度：0.8mm
5.其他要求：其他要求：满足设计、图集及相关规范要求</t>
  </si>
  <si>
    <t>3.15</t>
  </si>
  <si>
    <t>分歧器</t>
  </si>
  <si>
    <t>1.名称：分歧器
2.其他要求：满足设计、图集及相关规范要求</t>
  </si>
  <si>
    <t>3.16</t>
  </si>
  <si>
    <t>空调冷凝水管</t>
  </si>
  <si>
    <t>1.名称：空调冷凝水管
2.材料：PVC塑料管
3.规格：De25
4.其他要求：其他要求：满足设计、图集及相关规范要求</t>
  </si>
  <si>
    <t>3.17</t>
  </si>
  <si>
    <t>1.名称：空调冷凝水管
2.材料：PVC塑料管
3.规格：De32
4.其他要求：其他要求：满足设计、图集及相关规范要求</t>
  </si>
  <si>
    <t>3.18</t>
  </si>
  <si>
    <t>打洞</t>
  </si>
  <si>
    <t>1.名称：打洞¢75</t>
  </si>
  <si>
    <t>公区装修</t>
  </si>
  <si>
    <t>1.名称:电气配管
2.材质、规格:JDG20
3.:配置形式:暗配</t>
  </si>
  <si>
    <t>4.4</t>
  </si>
  <si>
    <t>1.名称:WDZN-BYJ-2.5
2.敷设方式：管内配线
3.具体做法详见图纸设计</t>
  </si>
  <si>
    <t>4.5</t>
  </si>
  <si>
    <t>1.名称:ZR-BV-2.5
2.敷设方式：管内配线
3.具体做法详见图纸设计</t>
  </si>
  <si>
    <t>4.6</t>
  </si>
  <si>
    <t>1.名称:ZR-BV-4
2.敷设方式：管内配线
3.具体做法详见图纸设计</t>
  </si>
  <si>
    <t>4.7</t>
  </si>
  <si>
    <t>4.8</t>
  </si>
  <si>
    <t xml:space="preserve">1.名称:嵌装式射灯(入射角可调)-红外线感应S1-A
2.规格:9w
3.其他详图纸和技术要求及灯具选样表  </t>
  </si>
  <si>
    <t>4.9</t>
  </si>
  <si>
    <t xml:space="preserve">1.名称:嵌装式射灯(入射角可调)-应急灯具(自带蓄电池90min)S1-E
2.规格:9w
3.其他详图纸和技术要求及灯具选样表  </t>
  </si>
  <si>
    <t>4.10</t>
  </si>
  <si>
    <t xml:space="preserve">1.名称:嵌装式射灯(入射角可调)-常亮灯具S1-C
2.规格:9w
3.其他详图纸和技术要求及灯具选样表  </t>
  </si>
  <si>
    <t>4.11</t>
  </si>
  <si>
    <t xml:space="preserve">1.名称:圆形吸顶灯-应急灯具(自带蓄电池90min)E
2.规格:12w
3.其他详图纸和技术要求及灯具选样表  </t>
  </si>
  <si>
    <t>4.12</t>
  </si>
  <si>
    <t>标志灯</t>
  </si>
  <si>
    <t xml:space="preserve">1.名称:安全出口灯
2.其他详图纸和技术要求及灯具选样表  </t>
  </si>
  <si>
    <t>4.13</t>
  </si>
  <si>
    <t xml:space="preserve">1.名称:楼层指示灯
2.其他详图纸和技术要求及灯具选样表  </t>
  </si>
  <si>
    <t>4.14</t>
  </si>
  <si>
    <t xml:space="preserve">1.名称:LED灯带L
2.规格:10w/m
3.其他详图纸和技术要求及灯具选样表  </t>
  </si>
  <si>
    <t>4.15</t>
  </si>
  <si>
    <t>成品磁吸灯</t>
  </si>
  <si>
    <t xml:space="preserve">1.名称:成品磁吸灯
2.规格:10w
3.其他详图纸和技术要求及灯具选样表  </t>
  </si>
  <si>
    <t>五</t>
  </si>
  <si>
    <t>合  计（元）</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</si>
</sst>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42">
    <font>
      <sz val="11"/>
      <color theme="1"/>
      <name val="宋体"/>
      <charset val="134"/>
      <scheme val="minor"/>
    </font>
    <font>
      <sz val="9"/>
      <name val="宋体"/>
      <charset val="134"/>
      <scheme val="minor"/>
    </font>
    <font>
      <sz val="9"/>
      <color rgb="FFFF0000"/>
      <name val="宋体"/>
      <charset val="134"/>
      <scheme val="minor"/>
    </font>
    <font>
      <b/>
      <sz val="20"/>
      <name val="宋体"/>
      <charset val="134"/>
    </font>
    <font>
      <b/>
      <sz val="8"/>
      <name val="宋体"/>
      <charset val="134"/>
    </font>
    <font>
      <b/>
      <sz val="8"/>
      <name val="宋体"/>
      <charset val="134"/>
      <scheme val="minor"/>
    </font>
    <font>
      <sz val="8"/>
      <name val="宋体"/>
      <charset val="134"/>
    </font>
    <font>
      <sz val="8"/>
      <name val="宋体"/>
      <charset val="134"/>
      <scheme val="minor"/>
    </font>
    <font>
      <sz val="8"/>
      <color rgb="FFFF0000"/>
      <name val="宋体"/>
      <charset val="134"/>
    </font>
    <font>
      <sz val="8"/>
      <color rgb="FFFF0000"/>
      <name val="宋体"/>
      <charset val="134"/>
      <scheme val="minor"/>
    </font>
    <font>
      <sz val="10"/>
      <color theme="1"/>
      <name val="宋体"/>
      <charset val="134"/>
      <scheme val="minor"/>
    </font>
    <font>
      <b/>
      <sz val="11"/>
      <color theme="1"/>
      <name val="宋体"/>
      <charset val="134"/>
      <scheme val="minor"/>
    </font>
    <font>
      <b/>
      <sz val="9"/>
      <color theme="1"/>
      <name val="宋体"/>
      <charset val="134"/>
      <scheme val="minor"/>
    </font>
    <font>
      <sz val="9"/>
      <color theme="1"/>
      <name val="宋体"/>
      <charset val="134"/>
      <scheme val="minor"/>
    </font>
    <font>
      <sz val="8"/>
      <name val="Arial"/>
      <charset val="134"/>
    </font>
    <font>
      <b/>
      <sz val="16"/>
      <name val="宋体"/>
      <charset val="134"/>
      <scheme val="minor"/>
    </font>
    <font>
      <sz val="8"/>
      <color theme="1"/>
      <name val="宋体"/>
      <charset val="134"/>
      <scheme val="minor"/>
    </font>
    <font>
      <sz val="12"/>
      <color theme="1"/>
      <name val="宋体"/>
      <charset val="134"/>
      <scheme val="minor"/>
    </font>
    <font>
      <b/>
      <sz val="12"/>
      <color theme="1"/>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b/>
      <u/>
      <sz val="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lignment vertical="center"/>
    </xf>
    <xf numFmtId="0" fontId="0" fillId="7" borderId="15" applyNumberFormat="0" applyFont="0" applyAlignment="0" applyProtection="0">
      <alignment vertical="center"/>
    </xf>
    <xf numFmtId="0" fontId="23"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3" fillId="9" borderId="0" applyNumberFormat="0" applyBorder="0" applyAlignment="0" applyProtection="0">
      <alignment vertical="center"/>
    </xf>
    <xf numFmtId="0" fontId="27" fillId="0" borderId="17" applyNumberFormat="0" applyFill="0" applyAlignment="0" applyProtection="0">
      <alignment vertical="center"/>
    </xf>
    <xf numFmtId="0" fontId="23"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40" fillId="0" borderId="0"/>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13" fillId="0" borderId="0"/>
    <xf numFmtId="0" fontId="0" fillId="0" borderId="0">
      <alignment vertical="center"/>
    </xf>
    <xf numFmtId="0" fontId="26" fillId="0" borderId="0">
      <alignment vertical="center"/>
    </xf>
  </cellStyleXfs>
  <cellXfs count="104">
    <xf numFmtId="0" fontId="0" fillId="0" borderId="0" xfId="0">
      <alignment vertical="center"/>
    </xf>
    <xf numFmtId="0" fontId="1" fillId="0" borderId="0" xfId="51" applyFont="1" applyFill="1" applyAlignment="1">
      <alignment vertical="center"/>
    </xf>
    <xf numFmtId="0" fontId="2" fillId="0" borderId="0" xfId="51" applyFont="1" applyFill="1" applyAlignment="1">
      <alignment vertical="center"/>
    </xf>
    <xf numFmtId="49" fontId="1" fillId="0" borderId="0" xfId="51" applyNumberFormat="1" applyFont="1" applyFill="1" applyAlignment="1">
      <alignment vertical="center" wrapText="1"/>
    </xf>
    <xf numFmtId="0" fontId="1" fillId="0" borderId="0" xfId="51" applyFont="1" applyFill="1" applyAlignment="1">
      <alignment horizontal="left" vertical="center" wrapText="1"/>
    </xf>
    <xf numFmtId="0" fontId="1" fillId="0" borderId="0" xfId="51" applyFont="1" applyFill="1" applyAlignment="1">
      <alignment vertical="center" wrapText="1"/>
    </xf>
    <xf numFmtId="0" fontId="1" fillId="0" borderId="0" xfId="51" applyFont="1" applyFill="1" applyAlignment="1">
      <alignment horizontal="center" vertical="center" wrapText="1"/>
    </xf>
    <xf numFmtId="176" fontId="1" fillId="0" borderId="0" xfId="51" applyNumberFormat="1" applyFont="1" applyFill="1" applyAlignment="1">
      <alignment horizontal="center" vertical="center" wrapText="1"/>
    </xf>
    <xf numFmtId="176" fontId="1" fillId="0" borderId="0" xfId="51" applyNumberFormat="1" applyFont="1" applyFill="1" applyAlignment="1">
      <alignment vertical="center" wrapText="1"/>
    </xf>
    <xf numFmtId="49" fontId="3" fillId="0" borderId="0" xfId="51" applyNumberFormat="1" applyFont="1" applyFill="1" applyAlignment="1">
      <alignment horizontal="center" vertical="center" wrapText="1"/>
    </xf>
    <xf numFmtId="0" fontId="3" fillId="0" borderId="0" xfId="51" applyFont="1" applyFill="1" applyAlignment="1">
      <alignment horizontal="left" vertical="center" wrapText="1"/>
    </xf>
    <xf numFmtId="0" fontId="3" fillId="0" borderId="0" xfId="51" applyFont="1" applyFill="1" applyAlignment="1">
      <alignment horizontal="center" vertical="center" wrapText="1"/>
    </xf>
    <xf numFmtId="176" fontId="3" fillId="0" borderId="0" xfId="51" applyNumberFormat="1" applyFont="1" applyFill="1" applyAlignment="1">
      <alignment horizontal="center" vertical="center" wrapText="1"/>
    </xf>
    <xf numFmtId="49" fontId="4" fillId="0" borderId="1" xfId="51" applyNumberFormat="1" applyFont="1" applyFill="1" applyBorder="1" applyAlignment="1">
      <alignment horizontal="center" vertical="center" wrapText="1"/>
    </xf>
    <xf numFmtId="0" fontId="4" fillId="0" borderId="2" xfId="51" applyFont="1" applyFill="1" applyBorder="1" applyAlignment="1">
      <alignment horizontal="center" vertical="center" wrapText="1"/>
    </xf>
    <xf numFmtId="176" fontId="4" fillId="0" borderId="2" xfId="51"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0" fontId="4" fillId="0" borderId="4" xfId="51" applyFont="1" applyFill="1" applyBorder="1" applyAlignment="1">
      <alignment horizontal="center" vertical="center" wrapText="1"/>
    </xf>
    <xf numFmtId="176" fontId="4" fillId="0" borderId="4" xfId="51"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6" fillId="0" borderId="3" xfId="51" applyNumberFormat="1" applyFont="1" applyFill="1" applyBorder="1" applyAlignment="1">
      <alignment horizontal="center" vertical="center" wrapText="1"/>
    </xf>
    <xf numFmtId="0" fontId="6" fillId="0" borderId="4" xfId="51" applyFont="1" applyFill="1" applyBorder="1" applyAlignment="1">
      <alignment horizontal="left" vertical="center" wrapText="1"/>
    </xf>
    <xf numFmtId="0" fontId="6" fillId="0" borderId="4" xfId="51" applyFont="1" applyFill="1" applyBorder="1" applyAlignment="1">
      <alignment horizontal="center" vertical="center" wrapText="1"/>
    </xf>
    <xf numFmtId="176" fontId="6" fillId="0" borderId="4" xfId="51"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178" fontId="7"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8" fillId="0" borderId="3" xfId="51" applyNumberFormat="1"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4" xfId="51" applyFont="1" applyFill="1" applyBorder="1" applyAlignment="1">
      <alignment horizontal="center" vertical="center" wrapText="1"/>
    </xf>
    <xf numFmtId="0" fontId="6" fillId="0" borderId="4" xfId="53" applyFont="1" applyFill="1" applyBorder="1" applyAlignment="1">
      <alignment horizontal="center" vertical="center" wrapText="1"/>
    </xf>
    <xf numFmtId="0" fontId="8" fillId="0" borderId="4" xfId="53" applyFont="1" applyFill="1" applyBorder="1" applyAlignment="1">
      <alignment horizontal="center" vertical="center" wrapText="1"/>
    </xf>
    <xf numFmtId="0" fontId="8" fillId="0" borderId="4" xfId="51" applyFont="1" applyFill="1" applyBorder="1" applyAlignment="1">
      <alignment horizontal="left" vertical="center" wrapText="1"/>
    </xf>
    <xf numFmtId="0" fontId="8" fillId="0" borderId="4" xfId="52" applyFont="1" applyFill="1" applyBorder="1" applyAlignment="1">
      <alignment vertical="center" wrapText="1"/>
    </xf>
    <xf numFmtId="0" fontId="6" fillId="0" borderId="4" xfId="52" applyFont="1" applyFill="1" applyBorder="1" applyAlignment="1">
      <alignment vertical="center" wrapText="1"/>
    </xf>
    <xf numFmtId="0" fontId="8" fillId="0" borderId="4" xfId="52" applyFont="1" applyFill="1" applyBorder="1" applyAlignment="1">
      <alignment horizontal="left" vertical="center" wrapText="1"/>
    </xf>
    <xf numFmtId="178" fontId="6" fillId="0" borderId="4" xfId="51"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4" xfId="51" applyFont="1" applyFill="1" applyBorder="1" applyAlignment="1">
      <alignment horizontal="right" vertical="center" wrapText="1"/>
    </xf>
    <xf numFmtId="0" fontId="7" fillId="0" borderId="6" xfId="51" applyFont="1" applyFill="1" applyBorder="1" applyAlignment="1">
      <alignment horizontal="center" vertical="center" wrapText="1"/>
    </xf>
    <xf numFmtId="10" fontId="7" fillId="0" borderId="4" xfId="0" applyNumberFormat="1" applyFont="1" applyFill="1" applyBorder="1" applyAlignment="1">
      <alignment horizontal="center" vertical="center" wrapText="1"/>
    </xf>
    <xf numFmtId="0" fontId="9" fillId="0" borderId="6" xfId="51" applyFont="1" applyFill="1" applyBorder="1" applyAlignment="1">
      <alignment horizontal="center" vertical="center" wrapText="1"/>
    </xf>
    <xf numFmtId="10" fontId="6" fillId="0" borderId="4" xfId="51" applyNumberFormat="1" applyFont="1" applyFill="1" applyBorder="1" applyAlignment="1">
      <alignment horizontal="right" vertical="center" wrapText="1"/>
    </xf>
    <xf numFmtId="0" fontId="7" fillId="0" borderId="4" xfId="51" applyFont="1" applyFill="1" applyBorder="1" applyAlignment="1">
      <alignment horizontal="center" vertical="center"/>
    </xf>
    <xf numFmtId="49" fontId="4" fillId="0" borderId="4" xfId="51" applyNumberFormat="1" applyFont="1" applyFill="1" applyBorder="1" applyAlignment="1">
      <alignment horizontal="center" vertical="center" wrapText="1"/>
    </xf>
    <xf numFmtId="49" fontId="4" fillId="0" borderId="4" xfId="51" applyNumberFormat="1" applyFont="1" applyFill="1" applyBorder="1" applyAlignment="1">
      <alignment vertical="center" wrapText="1"/>
    </xf>
    <xf numFmtId="176" fontId="4" fillId="0" borderId="4" xfId="51" applyNumberFormat="1" applyFont="1" applyFill="1" applyBorder="1" applyAlignment="1">
      <alignment vertical="center" wrapText="1"/>
    </xf>
    <xf numFmtId="176" fontId="7" fillId="0" borderId="4" xfId="51" applyNumberFormat="1" applyFont="1" applyFill="1" applyBorder="1" applyAlignment="1">
      <alignment horizontal="center" vertical="center"/>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left" vertical="center" wrapText="1"/>
    </xf>
    <xf numFmtId="176" fontId="6" fillId="0" borderId="8"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176" fontId="10" fillId="0" borderId="0" xfId="0" applyNumberFormat="1" applyFont="1" applyFill="1" applyBorder="1" applyAlignment="1">
      <alignment horizontal="center" vertical="center" wrapText="1"/>
    </xf>
    <xf numFmtId="176" fontId="6" fillId="0" borderId="4" xfId="51" applyNumberFormat="1" applyFont="1" applyFill="1" applyBorder="1" applyAlignment="1">
      <alignment horizontal="right" vertical="center" wrapText="1"/>
    </xf>
    <xf numFmtId="10" fontId="4" fillId="0" borderId="4" xfId="51" applyNumberFormat="1" applyFont="1" applyFill="1" applyBorder="1" applyAlignment="1">
      <alignment horizontal="center" vertical="center" wrapText="1"/>
    </xf>
    <xf numFmtId="0" fontId="6" fillId="0" borderId="9" xfId="0" applyFont="1" applyFill="1" applyBorder="1" applyAlignment="1" applyProtection="1">
      <alignment horizontal="lef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Border="1">
      <alignment vertical="center"/>
    </xf>
    <xf numFmtId="0" fontId="14" fillId="0" borderId="0" xfId="0" applyFont="1" applyFill="1" applyBorder="1" applyAlignment="1">
      <alignment horizontal="center" vertical="top"/>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177" fontId="15" fillId="0" borderId="0" xfId="0" applyNumberFormat="1" applyFont="1" applyFill="1" applyBorder="1" applyAlignment="1">
      <alignment horizontal="center" vertical="center" wrapText="1"/>
    </xf>
    <xf numFmtId="177" fontId="15" fillId="0" borderId="0" xfId="0" applyNumberFormat="1" applyFont="1" applyFill="1" applyBorder="1" applyAlignment="1">
      <alignment horizontal="left" vertical="center" wrapText="1"/>
    </xf>
    <xf numFmtId="176" fontId="15" fillId="0" borderId="0"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178" fontId="16" fillId="0"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10" fontId="16" fillId="0" borderId="4"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10" fontId="5" fillId="0" borderId="4" xfId="0" applyNumberFormat="1" applyFont="1" applyFill="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4" fillId="0" borderId="0" xfId="0" applyFont="1" applyFill="1" applyAlignment="1">
      <alignment horizontal="center" vertical="top"/>
    </xf>
    <xf numFmtId="0" fontId="0" fillId="0" borderId="0" xfId="0" applyAlignment="1">
      <alignment horizontal="center" vertical="center"/>
    </xf>
    <xf numFmtId="177" fontId="15" fillId="0" borderId="0" xfId="0" applyNumberFormat="1" applyFont="1" applyFill="1" applyAlignment="1">
      <alignment horizontal="center" vertical="center"/>
    </xf>
    <xf numFmtId="0" fontId="17" fillId="0" borderId="4" xfId="0" applyFont="1" applyBorder="1" applyAlignment="1">
      <alignment horizontal="center" vertical="center"/>
    </xf>
    <xf numFmtId="176" fontId="17" fillId="0" borderId="4" xfId="0" applyNumberFormat="1" applyFont="1" applyBorder="1" applyAlignment="1">
      <alignment horizontal="center" vertical="center"/>
    </xf>
    <xf numFmtId="0" fontId="18" fillId="0" borderId="4" xfId="0" applyFont="1" applyBorder="1" applyAlignment="1">
      <alignment horizontal="center" vertical="center"/>
    </xf>
    <xf numFmtId="176" fontId="18" fillId="0" borderId="4" xfId="0" applyNumberFormat="1" applyFont="1" applyBorder="1" applyAlignment="1">
      <alignment horizontal="center" vertical="center"/>
    </xf>
    <xf numFmtId="0" fontId="19" fillId="0" borderId="10" xfId="0" applyFont="1" applyFill="1" applyBorder="1" applyAlignment="1" applyProtection="1">
      <alignment horizontal="left" vertical="top" wrapText="1"/>
    </xf>
    <xf numFmtId="0" fontId="19" fillId="0" borderId="11" xfId="0" applyFont="1" applyFill="1" applyBorder="1" applyAlignment="1" applyProtection="1">
      <alignment horizontal="left" vertical="top" wrapText="1"/>
    </xf>
    <xf numFmtId="0" fontId="19" fillId="0" borderId="12" xfId="0" applyFont="1" applyFill="1" applyBorder="1" applyAlignment="1" applyProtection="1">
      <alignment horizontal="left" vertical="top" wrapText="1"/>
    </xf>
    <xf numFmtId="0" fontId="19" fillId="0" borderId="13" xfId="0" applyFont="1" applyFill="1" applyBorder="1" applyAlignment="1" applyProtection="1">
      <alignment horizontal="left" vertical="top"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常规_10_2 2"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2" xfId="52"/>
    <cellStyle name="常规 7" xfId="53"/>
  </cellStyles>
  <tableStyles count="0" defaultTableStyle="TableStyleMedium2" defaultPivotStyle="PivotStyleLight16"/>
  <colors>
    <mruColors>
      <color rgb="000070C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HEN\&#20844;&#36335;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0&#24037;&#31243;\11-8%20&#20449;&#26106;&#183;&#21326;&#24220;&#39567;&#33489;\&#26494;&#19979;&#30427;&#19968;&#36130;&#21153;&#36164;&#26009;\2007&#24180;\&#19975;&#31185;&#25112;&#30053;&#24615;&#21512;&#20316;&#35745;&#30011;\&#28145;&#22323;\&#28145;&#22323;&#31532;&#20116;&#22253;\2007&#24180;12&#26376;28&#26085;\&#19975;&#31185;\&#20869;&#37096;\&#31532;5&#22290;&#25104;&#26412;&#26680;&#31639;&#34920;2007-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E-drive)\&#23567;Q\&#24037;&#31243;\&#25237;&#26631;\2009&#24180;\&#28304;&#20852;&#31185;&#25216;&#22823;&#21414;\&#25104;&#26412;&#25253;&#20215;\&#25253;&#20215;\&#25253;&#20215;0622\&#25253;&#20215;0622.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0.166\&#26412;&#22320;&#30913;&#30424;%20(d)\&#25105;&#30340;&#24037;&#20316;\&#28145;&#22323;&#25104;&#26412;\&#25307;&#26631;\&#38109;&#21512;&#37329;&#25112;&#30053;&#37319;&#36141;\&#26631;&#20934;&#21270;&#38109;&#21512;&#37329;&#38376;&#31383;&#25253;&#20215;&#28165;&#21333;Rev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0&#24037;&#31243;\11-8%20&#20449;&#26106;&#183;&#21326;&#24220;&#39567;&#33489;\&#26494;&#19979;&#30427;&#19968;&#36130;&#21153;&#36164;&#26009;\2007&#24180;\&#19975;&#31185;&#25112;&#30053;&#24615;&#21512;&#20316;&#35745;&#30011;\&#28145;&#22323;\&#28145;&#22323;&#31532;&#20116;&#22253;\2007&#24180;12&#26376;28&#26085;\&#19975;&#31185;\&#31532;5&#22290;&#39044;&#31639;&#31995;&#32479;2007-12-2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4050;&#20570;&#24037;&#31243;&#26631;&#20070;\2012&#24180;&#24050;&#20570;&#26631;&#20070;\&#33463;&#23786;&#28572;&#28286;\&#24180;&#24230;&#26631;&#31639;&#26009;&#23545;&#27604;\&#29664;&#27743;&#20174;&#21270;&#22269;&#38469;&#23453;&#33322;&#39044;&#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CHEN\&#20844;&#3633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1&#24180;&#24050;&#20570;&#26631;&#20070;\&#24800;&#24030;&#21150;\2010%20&#24037;&#31243;\12-14%20&#23433;&#24509;&#21315;&#22478;&#32622;&#19994;\2010%20&#24037;&#31243;\11-15%20&#20013;&#21830;&#19968;&#29615;&#38125;&#24231;\&#25237;&#26631;&#24037;&#31243;\&#19996;&#33694;&#28392;&#27743;&#20844;&#39302;&#39033;&#30446;&#20108;&#26399;\08&#24180;7-12&#26376;\&#2799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iao\&#21531;&#28246;&#21326;&#24237;\&#25509;&#25910;&#25991;&#20214;\5-7&#26368;&#21518;&#24191;&#24030;&#27611;&#22383;&#36213;&#24635;&#27979;&#31639;1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Documents%20and%20Settings\Administrator.PC917\&#26700;&#38754;\20120104&#2031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36213;&#38686;\&#25104;&#26412;-&#24481;&#26223;&#35946;&#22253;&#19968;&#26399;&#38109;&#21512;&#37329;&#38376;&#31383;&#24037;&#31243;20130117&#65288;&#38109;&#21512;&#37329;&#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4037;&#20316;&#36164;&#26009;\2015&#24180;9&#26376;&#20221;&#24037;&#20316;\&#38376;&#31383;&#30693;&#35782;&#22521;&#35757;\&#25104;&#26412;&#30417;&#25511;&#20013;&#24515;&#24179;&#21488;&#22521;&#35757;&#36164;&#26009;\&#38376;&#31383;&#25104;&#26412;&#20998;&#26512;&#35762;&#20041;&#21450;&#21442;&#32771;&#36164;&#26009;2013-11-18\&#36213;&#24037;&#36164;&#26009;\&#24037;&#31243;&#39033;&#30446;\&#25237;&#26631;&#39033;&#30446;\&#23453;&#33322;&#24314;&#35774;\&#23457;&#26680;&#39033;&#30446;\&#25140;&#23376;&#25996;\&#21035;&#26679;&#22478;&#19977;&#26399;\&#21035;&#26679;&#24180;&#19977;&#26399;&#31532;&#19968;&#27425;&#25253;&#20215;\James&#30340;&#24037;&#20316;&#25991;&#20214;\&#36164;&#26009;\&#37096;&#38376;&#36164;&#26009;\&#24050;&#20570;&#24037;&#31243;&#26631;&#20070;\2012&#24180;&#24050;&#20570;&#26631;&#20070;\&#26080;&#38177;\&#25253;&#20215;20120321&#26085;&#25253;&#20986;\&#25972;&#29702;\&#26631;&#20934;&#26684;&#24335;\&#25104;&#26412;&#35745;&#20215;&#26684;&#24335;200803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清单"/>
      <sheetName val="数据汇总表"/>
      <sheetName val="基础项目"/>
      <sheetName val="材料损耗(不打印)"/>
      <sheetName val="墙面工程"/>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材料表"/>
      <sheetName val="1"/>
      <sheetName val="1."/>
      <sheetName val="型材表"/>
      <sheetName val="be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单价分析表"/>
      <sheetName val="计算式"/>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承台(砖模) "/>
      <sheetName val="柱"/>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LC01 (2)"/>
      <sheetName val="型材线密度表"/>
      <sheetName val="钢材"/>
      <sheetName val="铝材表面处理"/>
      <sheetName val="玻璃"/>
      <sheetName val="五金配件(1)"/>
      <sheetName val="五金配件(2)"/>
      <sheetName val="五金配件(3)"/>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材料损耗(不打印)"/>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型材线密度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预算书封面"/>
      <sheetName val="说明"/>
      <sheetName val="汇总表"/>
      <sheetName val="材料表"/>
      <sheetName val="1"/>
      <sheetName val="2"/>
      <sheetName val="3"/>
      <sheetName val="4"/>
      <sheetName val="5"/>
      <sheetName val="6"/>
      <sheetName val="7"/>
      <sheetName val="工程量"/>
      <sheetName val="工程量 (2)"/>
      <sheetName val="预算用量汇总表"/>
      <sheetName val="墙面工程"/>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材料损耗(不打印)"/>
      <sheetName val="XLR_NoRangeSheet"/>
      <sheetName val="Mp-team 1"/>
      <sheetName val="内围地梁钢筋说明"/>
      <sheetName val="墙面工程"/>
      <sheetName val="改加胶玻璃、室外栏杆"/>
      <sheetName val="基础项目"/>
      <sheetName val="1"/>
      <sheetName val="材料名称标准表"/>
      <sheetName val="主材表"/>
      <sheetName val="清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2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emplate"/>
      <sheetName val="XLR_NoRangeSheet"/>
      <sheetName val="内围地梁钢筋说明"/>
      <sheetName val="Sheet2"/>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修改"/>
      <sheetName val="修改2"/>
      <sheetName val="毛坯及材料调差（附表1）"/>
      <sheetName val="Sheet2"/>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材料损耗(不打印)"/>
      <sheetName val="改加胶玻璃、室外栏杆"/>
      <sheetName val="建筑面积 "/>
      <sheetName val="基础项目"/>
      <sheetName val="XLR_NoRangeSheet"/>
      <sheetName val="单价分析表"/>
      <sheetName val="计算式"/>
      <sheetName val="基础工程量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R_NoRangeSheet"/>
      <sheetName val="基础工程量估算"/>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
      <sheetName val="主材表"/>
      <sheetName val="审批单"/>
      <sheetName val="综合预算表"/>
      <sheetName val="单价分析表"/>
      <sheetName val="计算式"/>
      <sheetName val="型材"/>
      <sheetName val="玻璃"/>
      <sheetName val="配件"/>
      <sheetName val="预算"/>
      <sheetName val="XLR_NoRangeSheet"/>
      <sheetName val="基础工程量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型材表"/>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tabSelected="1" workbookViewId="0">
      <selection activeCell="I7" sqref="I7"/>
    </sheetView>
  </sheetViews>
  <sheetFormatPr defaultColWidth="9" defaultRowHeight="14.4" outlineLevelRow="5" outlineLevelCol="4"/>
  <cols>
    <col min="1" max="1" width="9" style="94"/>
    <col min="2" max="2" width="23" style="94" customWidth="1"/>
    <col min="3" max="3" width="17.5" style="94" customWidth="1"/>
    <col min="4" max="4" width="27.5" style="94" customWidth="1"/>
    <col min="5" max="6" width="9" style="94"/>
    <col min="7" max="7" width="14.1296296296296" style="94"/>
    <col min="8" max="16384" width="9" style="94"/>
  </cols>
  <sheetData>
    <row r="1" ht="60" customHeight="1" spans="1:5">
      <c r="A1" s="95" t="s">
        <v>0</v>
      </c>
      <c r="B1" s="95"/>
      <c r="C1" s="95"/>
      <c r="D1" s="95"/>
      <c r="E1" s="95"/>
    </row>
    <row r="2" s="91" customFormat="1" ht="29" customHeight="1" spans="1:4">
      <c r="A2" s="96" t="s">
        <v>1</v>
      </c>
      <c r="B2" s="96" t="s">
        <v>2</v>
      </c>
      <c r="C2" s="96" t="s">
        <v>3</v>
      </c>
      <c r="D2" s="96" t="s">
        <v>4</v>
      </c>
    </row>
    <row r="3" s="91" customFormat="1" ht="29" customHeight="1" spans="1:4">
      <c r="A3" s="96">
        <v>1</v>
      </c>
      <c r="B3" s="96" t="s">
        <v>5</v>
      </c>
      <c r="C3" s="97">
        <f>土建清单!G152</f>
        <v>208826.922022724</v>
      </c>
      <c r="D3" s="96"/>
    </row>
    <row r="4" s="91" customFormat="1" ht="29" customHeight="1" spans="1:4">
      <c r="A4" s="96">
        <v>2</v>
      </c>
      <c r="B4" s="96" t="s">
        <v>6</v>
      </c>
      <c r="C4" s="97">
        <f>安装清单!G101</f>
        <v>131973.080633447</v>
      </c>
      <c r="D4" s="96"/>
    </row>
    <row r="5" s="92" customFormat="1" ht="29" customHeight="1" spans="1:4">
      <c r="A5" s="98">
        <v>3</v>
      </c>
      <c r="B5" s="98" t="s">
        <v>7</v>
      </c>
      <c r="C5" s="99">
        <f>C3+C4</f>
        <v>340800.002656171</v>
      </c>
      <c r="D5" s="98"/>
    </row>
    <row r="6" s="93" customFormat="1" ht="112" customHeight="1" spans="1:4">
      <c r="A6" s="100" t="s">
        <v>8</v>
      </c>
      <c r="B6" s="101" t="s">
        <v>9</v>
      </c>
      <c r="C6" s="102"/>
      <c r="D6" s="103"/>
    </row>
  </sheetData>
  <mergeCells count="2">
    <mergeCell ref="A1:D1"/>
    <mergeCell ref="B6:D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53"/>
  <sheetViews>
    <sheetView workbookViewId="0">
      <pane ySplit="5" topLeftCell="A149" activePane="bottomLeft" state="frozen"/>
      <selection/>
      <selection pane="bottomLeft" activeCell="P116" sqref="P116"/>
    </sheetView>
  </sheetViews>
  <sheetFormatPr defaultColWidth="9" defaultRowHeight="10.8"/>
  <cols>
    <col min="1" max="1" width="3.66666666666667" style="66" customWidth="1"/>
    <col min="2" max="2" width="10.1111111111111" style="63" customWidth="1"/>
    <col min="3" max="3" width="29" style="67" customWidth="1"/>
    <col min="4" max="4" width="6.77777777777778" style="63" customWidth="1"/>
    <col min="5" max="5" width="6.11111111111111" style="68" customWidth="1"/>
    <col min="6" max="6" width="9.77777777777778" style="68" customWidth="1"/>
    <col min="7" max="7" width="11.4444444444444" style="68" customWidth="1"/>
    <col min="8" max="9" width="6.88888888888889" style="63" customWidth="1"/>
    <col min="10" max="10" width="6.11111111111111" style="63" customWidth="1"/>
    <col min="11" max="11" width="5.33333333333333" style="63" customWidth="1"/>
    <col min="12" max="12" width="7.66666666666667" style="63" customWidth="1"/>
    <col min="13" max="13" width="9.44444444444444" style="63" customWidth="1"/>
    <col min="14" max="14" width="6.88888888888889" style="63" customWidth="1"/>
    <col min="15" max="15" width="7.66666666666667" style="63" customWidth="1"/>
    <col min="16" max="16" width="6.77777777777778" style="63" customWidth="1"/>
    <col min="17" max="16384" width="9" style="62"/>
  </cols>
  <sheetData>
    <row r="1" s="60" customFormat="1" ht="21.15" spans="1:16">
      <c r="A1" s="69" t="s">
        <v>10</v>
      </c>
      <c r="B1" s="70"/>
      <c r="C1" s="71"/>
      <c r="D1" s="70"/>
      <c r="E1" s="72"/>
      <c r="F1" s="72"/>
      <c r="G1" s="72"/>
      <c r="H1" s="70"/>
      <c r="I1" s="70"/>
      <c r="J1" s="70"/>
      <c r="K1" s="70"/>
      <c r="L1" s="70"/>
      <c r="M1" s="70"/>
      <c r="N1" s="70"/>
      <c r="O1" s="70"/>
      <c r="P1" s="70"/>
    </row>
    <row r="2" s="60" customFormat="1" ht="14.4" spans="1:16">
      <c r="A2" s="13" t="s">
        <v>1</v>
      </c>
      <c r="B2" s="14" t="s">
        <v>11</v>
      </c>
      <c r="C2" s="14" t="s">
        <v>12</v>
      </c>
      <c r="D2" s="14" t="s">
        <v>13</v>
      </c>
      <c r="E2" s="15" t="s">
        <v>14</v>
      </c>
      <c r="F2" s="15" t="s">
        <v>15</v>
      </c>
      <c r="G2" s="16" t="s">
        <v>16</v>
      </c>
      <c r="H2" s="17" t="s">
        <v>17</v>
      </c>
      <c r="I2" s="17"/>
      <c r="J2" s="17"/>
      <c r="K2" s="17"/>
      <c r="L2" s="17"/>
      <c r="M2" s="17"/>
      <c r="N2" s="17"/>
      <c r="O2" s="17"/>
      <c r="P2" s="40" t="s">
        <v>18</v>
      </c>
    </row>
    <row r="3" s="60" customFormat="1" ht="14.4" spans="1:16">
      <c r="A3" s="18"/>
      <c r="B3" s="19"/>
      <c r="C3" s="19"/>
      <c r="D3" s="19"/>
      <c r="E3" s="20"/>
      <c r="F3" s="20"/>
      <c r="G3" s="21"/>
      <c r="H3" s="19" t="s">
        <v>19</v>
      </c>
      <c r="I3" s="19"/>
      <c r="J3" s="19"/>
      <c r="K3" s="19" t="s">
        <v>20</v>
      </c>
      <c r="L3" s="19"/>
      <c r="M3" s="19" t="s">
        <v>21</v>
      </c>
      <c r="N3" s="19" t="s">
        <v>22</v>
      </c>
      <c r="O3" s="19" t="s">
        <v>23</v>
      </c>
      <c r="P3" s="41"/>
    </row>
    <row r="4" s="60" customFormat="1" ht="14.4" spans="1:16">
      <c r="A4" s="18"/>
      <c r="B4" s="19"/>
      <c r="C4" s="19"/>
      <c r="D4" s="19"/>
      <c r="E4" s="20"/>
      <c r="F4" s="20"/>
      <c r="G4" s="21"/>
      <c r="H4" s="19" t="s">
        <v>24</v>
      </c>
      <c r="I4" s="19" t="s">
        <v>25</v>
      </c>
      <c r="J4" s="19" t="s">
        <v>26</v>
      </c>
      <c r="K4" s="19" t="s">
        <v>27</v>
      </c>
      <c r="L4" s="19" t="s">
        <v>28</v>
      </c>
      <c r="M4" s="19"/>
      <c r="N4" s="19" t="s">
        <v>29</v>
      </c>
      <c r="O4" s="19" t="s">
        <v>30</v>
      </c>
      <c r="P4" s="41"/>
    </row>
    <row r="5" s="60" customFormat="1" ht="19.2" spans="1:16">
      <c r="A5" s="18"/>
      <c r="B5" s="19"/>
      <c r="C5" s="19"/>
      <c r="D5" s="19"/>
      <c r="E5" s="20"/>
      <c r="F5" s="20" t="s">
        <v>31</v>
      </c>
      <c r="G5" s="21"/>
      <c r="H5" s="19">
        <v>1</v>
      </c>
      <c r="I5" s="19">
        <v>2</v>
      </c>
      <c r="J5" s="19">
        <v>3</v>
      </c>
      <c r="K5" s="19">
        <v>4</v>
      </c>
      <c r="L5" s="19">
        <v>5</v>
      </c>
      <c r="M5" s="19" t="s">
        <v>32</v>
      </c>
      <c r="N5" s="19" t="s">
        <v>33</v>
      </c>
      <c r="O5" s="19" t="s">
        <v>34</v>
      </c>
      <c r="P5" s="41"/>
    </row>
    <row r="6" s="61" customFormat="1" spans="1:16">
      <c r="A6" s="73" t="s">
        <v>35</v>
      </c>
      <c r="B6" s="74" t="s">
        <v>36</v>
      </c>
      <c r="C6" s="75"/>
      <c r="D6" s="74"/>
      <c r="E6" s="21"/>
      <c r="F6" s="21"/>
      <c r="G6" s="21"/>
      <c r="H6" s="74"/>
      <c r="I6" s="74"/>
      <c r="J6" s="74"/>
      <c r="K6" s="74"/>
      <c r="L6" s="74"/>
      <c r="M6" s="74"/>
      <c r="N6" s="74">
        <v>0.07</v>
      </c>
      <c r="O6" s="74">
        <v>0.09</v>
      </c>
      <c r="P6" s="41"/>
    </row>
    <row r="7" s="62" customFormat="1" outlineLevel="1" spans="1:16">
      <c r="A7" s="76" t="s">
        <v>37</v>
      </c>
      <c r="B7" s="77" t="s">
        <v>38</v>
      </c>
      <c r="C7" s="78"/>
      <c r="D7" s="77"/>
      <c r="E7" s="79"/>
      <c r="F7" s="79"/>
      <c r="G7" s="79"/>
      <c r="H7" s="77"/>
      <c r="I7" s="77"/>
      <c r="J7" s="77"/>
      <c r="K7" s="77"/>
      <c r="L7" s="77"/>
      <c r="M7" s="77"/>
      <c r="N7" s="77"/>
      <c r="O7" s="77"/>
      <c r="P7" s="85"/>
    </row>
    <row r="8" s="62" customFormat="1" ht="28.8" outlineLevel="2" spans="1:16">
      <c r="A8" s="76" t="s">
        <v>39</v>
      </c>
      <c r="B8" s="77" t="s">
        <v>40</v>
      </c>
      <c r="C8" s="78" t="s">
        <v>41</v>
      </c>
      <c r="D8" s="77" t="s">
        <v>42</v>
      </c>
      <c r="E8" s="79">
        <f>(1.7+0.8+0.8+0.1+0.9+0.9+2.95-1.6+0.3+0.2)*(2.9-0.45)+1.52*1.01</f>
        <v>18.8077</v>
      </c>
      <c r="F8" s="79">
        <f>M8+N8+O8</f>
        <v>60.6476</v>
      </c>
      <c r="G8" s="79">
        <f>E8*F8</f>
        <v>1140.64186652</v>
      </c>
      <c r="H8" s="27">
        <v>50</v>
      </c>
      <c r="I8" s="27">
        <v>0</v>
      </c>
      <c r="J8" s="27">
        <v>2</v>
      </c>
      <c r="K8" s="44">
        <v>0</v>
      </c>
      <c r="L8" s="27">
        <v>0</v>
      </c>
      <c r="M8" s="27">
        <f t="shared" ref="M8:M11" si="0">H8+I8+J8+L8*(1+K8)</f>
        <v>52</v>
      </c>
      <c r="N8" s="27">
        <f t="shared" ref="N8:N11" si="1">M8*$N$6</f>
        <v>3.64</v>
      </c>
      <c r="O8" s="27">
        <f t="shared" ref="O8:O11" si="2">(M8+N8)*$O$6</f>
        <v>5.0076</v>
      </c>
      <c r="P8" s="85"/>
    </row>
    <row r="9" s="62" customFormat="1" ht="38.4" outlineLevel="2" spans="1:16">
      <c r="A9" s="76" t="s">
        <v>43</v>
      </c>
      <c r="B9" s="77" t="s">
        <v>44</v>
      </c>
      <c r="C9" s="78" t="s">
        <v>45</v>
      </c>
      <c r="D9" s="77" t="s">
        <v>42</v>
      </c>
      <c r="E9" s="79">
        <v>2.64</v>
      </c>
      <c r="F9" s="79">
        <f t="shared" ref="F9:F40" si="3">M9+N9+O9</f>
        <v>54.8161</v>
      </c>
      <c r="G9" s="79">
        <f t="shared" ref="G9:G40" si="4">E9*F9</f>
        <v>144.714504</v>
      </c>
      <c r="H9" s="27">
        <v>45</v>
      </c>
      <c r="I9" s="27">
        <v>0</v>
      </c>
      <c r="J9" s="27">
        <v>2</v>
      </c>
      <c r="K9" s="44">
        <v>0</v>
      </c>
      <c r="L9" s="27">
        <v>0</v>
      </c>
      <c r="M9" s="27">
        <f t="shared" si="0"/>
        <v>47</v>
      </c>
      <c r="N9" s="27">
        <f t="shared" si="1"/>
        <v>3.29</v>
      </c>
      <c r="O9" s="27">
        <f t="shared" si="2"/>
        <v>4.5261</v>
      </c>
      <c r="P9" s="85"/>
    </row>
    <row r="10" s="62" customFormat="1" ht="48" outlineLevel="2" spans="1:16">
      <c r="A10" s="76" t="s">
        <v>46</v>
      </c>
      <c r="B10" s="77" t="s">
        <v>47</v>
      </c>
      <c r="C10" s="78" t="s">
        <v>48</v>
      </c>
      <c r="D10" s="77" t="s">
        <v>49</v>
      </c>
      <c r="E10" s="79">
        <f>(1.75+0.95)*0.1*(2.9-0.45)</f>
        <v>0.6615</v>
      </c>
      <c r="F10" s="79">
        <f t="shared" si="3"/>
        <v>521.044525</v>
      </c>
      <c r="G10" s="79">
        <f t="shared" si="4"/>
        <v>344.6709532875</v>
      </c>
      <c r="H10" s="27">
        <v>160</v>
      </c>
      <c r="I10" s="27">
        <v>52</v>
      </c>
      <c r="J10" s="27">
        <v>3</v>
      </c>
      <c r="K10" s="44">
        <v>0.03</v>
      </c>
      <c r="L10" s="27">
        <v>225</v>
      </c>
      <c r="M10" s="27">
        <f t="shared" si="0"/>
        <v>446.75</v>
      </c>
      <c r="N10" s="27">
        <f t="shared" si="1"/>
        <v>31.2725</v>
      </c>
      <c r="O10" s="27">
        <f t="shared" si="2"/>
        <v>43.022025</v>
      </c>
      <c r="P10" s="86" t="s">
        <v>50</v>
      </c>
    </row>
    <row r="11" s="62" customFormat="1" ht="28.8" outlineLevel="2" spans="1:16">
      <c r="A11" s="76" t="s">
        <v>51</v>
      </c>
      <c r="B11" s="77" t="s">
        <v>52</v>
      </c>
      <c r="C11" s="78" t="s">
        <v>53</v>
      </c>
      <c r="D11" s="77" t="s">
        <v>49</v>
      </c>
      <c r="E11" s="79">
        <f>2.64*0.38</f>
        <v>1.0032</v>
      </c>
      <c r="F11" s="79">
        <f t="shared" si="3"/>
        <v>379.28076</v>
      </c>
      <c r="G11" s="79">
        <f t="shared" si="4"/>
        <v>380.494458432</v>
      </c>
      <c r="H11" s="27">
        <v>60</v>
      </c>
      <c r="I11" s="27">
        <v>0</v>
      </c>
      <c r="J11" s="27">
        <v>0</v>
      </c>
      <c r="K11" s="44">
        <v>0.02</v>
      </c>
      <c r="L11" s="27">
        <v>260</v>
      </c>
      <c r="M11" s="27">
        <f t="shared" si="0"/>
        <v>325.2</v>
      </c>
      <c r="N11" s="27">
        <f t="shared" si="1"/>
        <v>22.764</v>
      </c>
      <c r="O11" s="27">
        <f t="shared" si="2"/>
        <v>31.31676</v>
      </c>
      <c r="P11" s="86" t="s">
        <v>50</v>
      </c>
    </row>
    <row r="12" s="62" customFormat="1" outlineLevel="1" spans="1:16">
      <c r="A12" s="80" t="s">
        <v>54</v>
      </c>
      <c r="B12" s="77" t="s">
        <v>55</v>
      </c>
      <c r="C12" s="81"/>
      <c r="D12" s="82"/>
      <c r="E12" s="83"/>
      <c r="F12" s="79"/>
      <c r="G12" s="79"/>
      <c r="H12" s="84"/>
      <c r="I12" s="84"/>
      <c r="J12" s="84"/>
      <c r="K12" s="87"/>
      <c r="L12" s="84"/>
      <c r="M12" s="84"/>
      <c r="N12" s="84"/>
      <c r="O12" s="84"/>
      <c r="P12" s="86"/>
    </row>
    <row r="13" s="62" customFormat="1" outlineLevel="2" spans="1:16">
      <c r="A13" s="80" t="s">
        <v>56</v>
      </c>
      <c r="B13" s="77" t="s">
        <v>57</v>
      </c>
      <c r="C13" s="81"/>
      <c r="D13" s="82"/>
      <c r="E13" s="83"/>
      <c r="F13" s="79"/>
      <c r="G13" s="79"/>
      <c r="H13" s="84"/>
      <c r="I13" s="84"/>
      <c r="J13" s="84"/>
      <c r="K13" s="87"/>
      <c r="L13" s="84"/>
      <c r="M13" s="84"/>
      <c r="N13" s="84"/>
      <c r="O13" s="84"/>
      <c r="P13" s="86"/>
    </row>
    <row r="14" s="62" customFormat="1" ht="67.2" outlineLevel="3" spans="1:16">
      <c r="A14" s="80" t="s">
        <v>58</v>
      </c>
      <c r="B14" s="77" t="s">
        <v>59</v>
      </c>
      <c r="C14" s="81" t="s">
        <v>60</v>
      </c>
      <c r="D14" s="82" t="s">
        <v>42</v>
      </c>
      <c r="E14" s="83">
        <v>38.67</v>
      </c>
      <c r="F14" s="79">
        <f t="shared" si="3"/>
        <v>239.32476</v>
      </c>
      <c r="G14" s="79">
        <f t="shared" si="4"/>
        <v>9254.6884692</v>
      </c>
      <c r="H14" s="27">
        <v>60</v>
      </c>
      <c r="I14" s="27">
        <v>33</v>
      </c>
      <c r="J14" s="27">
        <v>0</v>
      </c>
      <c r="K14" s="44">
        <v>0.02</v>
      </c>
      <c r="L14" s="27">
        <v>110</v>
      </c>
      <c r="M14" s="27">
        <f t="shared" ref="M14:M18" si="5">H14+I14+J14+L14*(1+K14)</f>
        <v>205.2</v>
      </c>
      <c r="N14" s="27">
        <f t="shared" ref="N14:N18" si="6">M14*$N$6</f>
        <v>14.364</v>
      </c>
      <c r="O14" s="27">
        <f t="shared" ref="O14:O18" si="7">(M14+N14)*$O$6</f>
        <v>19.76076</v>
      </c>
      <c r="P14" s="88" t="s">
        <v>61</v>
      </c>
    </row>
    <row r="15" s="62" customFormat="1" ht="67.2" outlineLevel="3" spans="1:16">
      <c r="A15" s="80" t="s">
        <v>62</v>
      </c>
      <c r="B15" s="77" t="s">
        <v>63</v>
      </c>
      <c r="C15" s="81" t="s">
        <v>64</v>
      </c>
      <c r="D15" s="82" t="s">
        <v>42</v>
      </c>
      <c r="E15" s="83">
        <v>0.11</v>
      </c>
      <c r="F15" s="79">
        <f t="shared" si="3"/>
        <v>1594.845272</v>
      </c>
      <c r="G15" s="79">
        <f t="shared" si="4"/>
        <v>175.43297992</v>
      </c>
      <c r="H15" s="27">
        <v>545</v>
      </c>
      <c r="I15" s="27">
        <v>35</v>
      </c>
      <c r="J15" s="27">
        <v>0</v>
      </c>
      <c r="K15" s="44">
        <v>0.02</v>
      </c>
      <c r="L15" s="27">
        <v>772</v>
      </c>
      <c r="M15" s="27">
        <f t="shared" si="5"/>
        <v>1367.44</v>
      </c>
      <c r="N15" s="27">
        <f t="shared" si="6"/>
        <v>95.7208</v>
      </c>
      <c r="O15" s="27">
        <f t="shared" si="7"/>
        <v>131.684472</v>
      </c>
      <c r="P15" s="88" t="s">
        <v>65</v>
      </c>
    </row>
    <row r="16" s="62" customFormat="1" ht="57.6" outlineLevel="3" spans="1:16">
      <c r="A16" s="80" t="s">
        <v>66</v>
      </c>
      <c r="B16" s="77" t="s">
        <v>67</v>
      </c>
      <c r="C16" s="81" t="s">
        <v>68</v>
      </c>
      <c r="D16" s="82" t="s">
        <v>42</v>
      </c>
      <c r="E16" s="83">
        <v>3.03</v>
      </c>
      <c r="F16" s="79">
        <f t="shared" si="3"/>
        <v>282.94438</v>
      </c>
      <c r="G16" s="79">
        <f t="shared" si="4"/>
        <v>857.3214714</v>
      </c>
      <c r="H16" s="27">
        <v>60</v>
      </c>
      <c r="I16" s="27">
        <v>50</v>
      </c>
      <c r="J16" s="27">
        <v>0</v>
      </c>
      <c r="K16" s="44">
        <v>0.02</v>
      </c>
      <c r="L16" s="27">
        <v>130</v>
      </c>
      <c r="M16" s="27">
        <f t="shared" si="5"/>
        <v>242.6</v>
      </c>
      <c r="N16" s="27">
        <f t="shared" si="6"/>
        <v>16.982</v>
      </c>
      <c r="O16" s="27">
        <f t="shared" si="7"/>
        <v>23.36238</v>
      </c>
      <c r="P16" s="86" t="s">
        <v>69</v>
      </c>
    </row>
    <row r="17" s="62" customFormat="1" ht="67.2" outlineLevel="3" spans="1:16">
      <c r="A17" s="80" t="s">
        <v>70</v>
      </c>
      <c r="B17" s="77" t="s">
        <v>71</v>
      </c>
      <c r="C17" s="81" t="s">
        <v>72</v>
      </c>
      <c r="D17" s="82" t="s">
        <v>73</v>
      </c>
      <c r="E17" s="83">
        <v>2.9</v>
      </c>
      <c r="F17" s="79">
        <f t="shared" si="3"/>
        <v>110.27786368</v>
      </c>
      <c r="G17" s="79">
        <f t="shared" si="4"/>
        <v>319.805804672</v>
      </c>
      <c r="H17" s="27">
        <v>35</v>
      </c>
      <c r="I17" s="27">
        <v>10</v>
      </c>
      <c r="J17" s="27">
        <v>5</v>
      </c>
      <c r="K17" s="44">
        <v>0.02</v>
      </c>
      <c r="L17" s="27">
        <v>43.68</v>
      </c>
      <c r="M17" s="27">
        <f t="shared" si="5"/>
        <v>94.5536</v>
      </c>
      <c r="N17" s="27">
        <f t="shared" si="6"/>
        <v>6.618752</v>
      </c>
      <c r="O17" s="27">
        <f t="shared" si="7"/>
        <v>9.10551168</v>
      </c>
      <c r="P17" s="86" t="s">
        <v>69</v>
      </c>
    </row>
    <row r="18" s="62" customFormat="1" ht="48" outlineLevel="3" spans="1:16">
      <c r="A18" s="80" t="s">
        <v>74</v>
      </c>
      <c r="B18" s="77" t="s">
        <v>75</v>
      </c>
      <c r="C18" s="81" t="s">
        <v>76</v>
      </c>
      <c r="D18" s="82" t="s">
        <v>73</v>
      </c>
      <c r="E18" s="83">
        <v>21.56</v>
      </c>
      <c r="F18" s="79">
        <f t="shared" si="3"/>
        <v>34.032634</v>
      </c>
      <c r="G18" s="79">
        <f t="shared" si="4"/>
        <v>733.74358904</v>
      </c>
      <c r="H18" s="27">
        <v>15</v>
      </c>
      <c r="I18" s="27">
        <v>5</v>
      </c>
      <c r="J18" s="27">
        <v>0</v>
      </c>
      <c r="K18" s="44">
        <v>0.02</v>
      </c>
      <c r="L18" s="27">
        <v>9</v>
      </c>
      <c r="M18" s="27">
        <f t="shared" si="5"/>
        <v>29.18</v>
      </c>
      <c r="N18" s="27">
        <f t="shared" si="6"/>
        <v>2.0426</v>
      </c>
      <c r="O18" s="27">
        <f t="shared" si="7"/>
        <v>2.810034</v>
      </c>
      <c r="P18" s="85" t="s">
        <v>77</v>
      </c>
    </row>
    <row r="19" s="62" customFormat="1" outlineLevel="2" spans="1:16">
      <c r="A19" s="80" t="s">
        <v>78</v>
      </c>
      <c r="B19" s="77" t="s">
        <v>79</v>
      </c>
      <c r="C19" s="81"/>
      <c r="D19" s="82"/>
      <c r="E19" s="83"/>
      <c r="F19" s="79"/>
      <c r="G19" s="79"/>
      <c r="H19" s="84"/>
      <c r="I19" s="84"/>
      <c r="J19" s="84"/>
      <c r="K19" s="87"/>
      <c r="L19" s="84"/>
      <c r="M19" s="84"/>
      <c r="N19" s="84"/>
      <c r="O19" s="84"/>
      <c r="P19" s="86"/>
    </row>
    <row r="20" s="62" customFormat="1" ht="115.2" outlineLevel="3" spans="1:16">
      <c r="A20" s="80" t="s">
        <v>37</v>
      </c>
      <c r="B20" s="77" t="s">
        <v>80</v>
      </c>
      <c r="C20" s="81" t="s">
        <v>81</v>
      </c>
      <c r="D20" s="82" t="s">
        <v>42</v>
      </c>
      <c r="E20" s="83">
        <v>37.96</v>
      </c>
      <c r="F20" s="79">
        <f t="shared" si="3"/>
        <v>178.607182</v>
      </c>
      <c r="G20" s="79">
        <f t="shared" si="4"/>
        <v>6779.92862872</v>
      </c>
      <c r="H20" s="27">
        <v>65</v>
      </c>
      <c r="I20" s="27">
        <v>30</v>
      </c>
      <c r="J20" s="27">
        <v>0</v>
      </c>
      <c r="K20" s="44">
        <v>0.02</v>
      </c>
      <c r="L20" s="27">
        <v>57</v>
      </c>
      <c r="M20" s="27">
        <f t="shared" ref="M20:M33" si="8">H20+I20+J20+L20*(1+K20)</f>
        <v>153.14</v>
      </c>
      <c r="N20" s="27">
        <f t="shared" ref="N20:N33" si="9">M20*$N$6</f>
        <v>10.7198</v>
      </c>
      <c r="O20" s="27">
        <f t="shared" ref="O20:O33" si="10">(M20+N20)*$O$6</f>
        <v>14.747382</v>
      </c>
      <c r="P20" s="86" t="s">
        <v>82</v>
      </c>
    </row>
    <row r="21" s="62" customFormat="1" ht="48" outlineLevel="3" spans="1:16">
      <c r="A21" s="80" t="s">
        <v>54</v>
      </c>
      <c r="B21" s="77" t="s">
        <v>83</v>
      </c>
      <c r="C21" s="81" t="s">
        <v>84</v>
      </c>
      <c r="D21" s="82" t="s">
        <v>42</v>
      </c>
      <c r="E21" s="83">
        <v>3.45</v>
      </c>
      <c r="F21" s="79">
        <f t="shared" si="3"/>
        <v>281.758641666667</v>
      </c>
      <c r="G21" s="79">
        <f t="shared" si="4"/>
        <v>972.06731375</v>
      </c>
      <c r="H21" s="27">
        <v>80</v>
      </c>
      <c r="I21" s="27">
        <v>50</v>
      </c>
      <c r="J21" s="27">
        <v>0</v>
      </c>
      <c r="K21" s="44">
        <v>0.03</v>
      </c>
      <c r="L21" s="27">
        <v>108.333333333333</v>
      </c>
      <c r="M21" s="27">
        <f t="shared" si="8"/>
        <v>241.583333333333</v>
      </c>
      <c r="N21" s="27">
        <f t="shared" si="9"/>
        <v>16.9108333333333</v>
      </c>
      <c r="O21" s="27">
        <f t="shared" si="10"/>
        <v>23.264475</v>
      </c>
      <c r="P21" s="86" t="s">
        <v>85</v>
      </c>
    </row>
    <row r="22" s="62" customFormat="1" outlineLevel="2" spans="1:16">
      <c r="A22" s="80" t="s">
        <v>86</v>
      </c>
      <c r="B22" s="77" t="s">
        <v>87</v>
      </c>
      <c r="C22" s="81"/>
      <c r="D22" s="82"/>
      <c r="E22" s="83"/>
      <c r="F22" s="79"/>
      <c r="G22" s="79"/>
      <c r="H22" s="84"/>
      <c r="I22" s="84"/>
      <c r="J22" s="84"/>
      <c r="K22" s="87"/>
      <c r="L22" s="84"/>
      <c r="M22" s="27"/>
      <c r="N22" s="27"/>
      <c r="O22" s="27"/>
      <c r="P22" s="86"/>
    </row>
    <row r="23" s="62" customFormat="1" ht="57.6" outlineLevel="3" spans="1:16">
      <c r="A23" s="80" t="s">
        <v>88</v>
      </c>
      <c r="B23" s="77" t="s">
        <v>89</v>
      </c>
      <c r="C23" s="81" t="s">
        <v>90</v>
      </c>
      <c r="D23" s="82" t="s">
        <v>42</v>
      </c>
      <c r="E23" s="83">
        <v>7.63</v>
      </c>
      <c r="F23" s="79">
        <f t="shared" si="3"/>
        <v>243.64007</v>
      </c>
      <c r="G23" s="79">
        <f t="shared" si="4"/>
        <v>1858.9737341</v>
      </c>
      <c r="H23" s="27">
        <v>75</v>
      </c>
      <c r="I23" s="27">
        <v>22.3166666666667</v>
      </c>
      <c r="J23" s="27">
        <v>0</v>
      </c>
      <c r="K23" s="44">
        <v>0.03</v>
      </c>
      <c r="L23" s="27">
        <v>108.333333333333</v>
      </c>
      <c r="M23" s="27">
        <f t="shared" si="8"/>
        <v>208.9</v>
      </c>
      <c r="N23" s="27">
        <f t="shared" si="9"/>
        <v>14.623</v>
      </c>
      <c r="O23" s="27">
        <f t="shared" si="10"/>
        <v>20.11707</v>
      </c>
      <c r="P23" s="86" t="s">
        <v>91</v>
      </c>
    </row>
    <row r="24" s="62" customFormat="1" ht="38.4" outlineLevel="3" spans="1:16">
      <c r="A24" s="80" t="s">
        <v>92</v>
      </c>
      <c r="B24" s="77" t="s">
        <v>93</v>
      </c>
      <c r="C24" s="81" t="s">
        <v>94</v>
      </c>
      <c r="D24" s="82" t="s">
        <v>42</v>
      </c>
      <c r="E24" s="83">
        <v>5.5</v>
      </c>
      <c r="F24" s="79">
        <f t="shared" si="3"/>
        <v>343.53331511</v>
      </c>
      <c r="G24" s="79">
        <f t="shared" si="4"/>
        <v>1889.433233105</v>
      </c>
      <c r="H24" s="84">
        <v>90</v>
      </c>
      <c r="I24" s="84">
        <v>8</v>
      </c>
      <c r="J24" s="84">
        <v>2</v>
      </c>
      <c r="K24" s="44">
        <v>0.02</v>
      </c>
      <c r="L24" s="84">
        <v>190.735</v>
      </c>
      <c r="M24" s="27">
        <f t="shared" si="8"/>
        <v>294.5497</v>
      </c>
      <c r="N24" s="27">
        <f t="shared" si="9"/>
        <v>20.618479</v>
      </c>
      <c r="O24" s="27">
        <f t="shared" si="10"/>
        <v>28.36513611</v>
      </c>
      <c r="P24" s="86" t="s">
        <v>95</v>
      </c>
    </row>
    <row r="25" s="62" customFormat="1" ht="57.6" outlineLevel="3" spans="1:16">
      <c r="A25" s="80" t="s">
        <v>96</v>
      </c>
      <c r="B25" s="77" t="s">
        <v>97</v>
      </c>
      <c r="C25" s="81" t="s">
        <v>98</v>
      </c>
      <c r="D25" s="82" t="s">
        <v>42</v>
      </c>
      <c r="E25" s="83">
        <v>34.51</v>
      </c>
      <c r="F25" s="79">
        <f t="shared" si="3"/>
        <v>73.71016</v>
      </c>
      <c r="G25" s="79">
        <f t="shared" si="4"/>
        <v>2543.7376216</v>
      </c>
      <c r="H25" s="84">
        <v>18</v>
      </c>
      <c r="I25" s="84">
        <v>4</v>
      </c>
      <c r="J25" s="84">
        <v>0</v>
      </c>
      <c r="K25" s="44">
        <v>0.03</v>
      </c>
      <c r="L25" s="84">
        <v>40</v>
      </c>
      <c r="M25" s="27">
        <f t="shared" si="8"/>
        <v>63.2</v>
      </c>
      <c r="N25" s="27">
        <f t="shared" si="9"/>
        <v>4.424</v>
      </c>
      <c r="O25" s="27">
        <f t="shared" si="10"/>
        <v>6.08616</v>
      </c>
      <c r="P25" s="86" t="s">
        <v>50</v>
      </c>
    </row>
    <row r="26" s="62" customFormat="1" ht="57.6" outlineLevel="3" spans="1:16">
      <c r="A26" s="80" t="s">
        <v>99</v>
      </c>
      <c r="B26" s="77" t="s">
        <v>100</v>
      </c>
      <c r="C26" s="81" t="s">
        <v>101</v>
      </c>
      <c r="D26" s="82" t="s">
        <v>42</v>
      </c>
      <c r="E26" s="83">
        <v>4.53</v>
      </c>
      <c r="F26" s="79">
        <f t="shared" si="3"/>
        <v>1201.85595138889</v>
      </c>
      <c r="G26" s="79">
        <f t="shared" si="4"/>
        <v>5444.40745979167</v>
      </c>
      <c r="H26" s="84">
        <v>255</v>
      </c>
      <c r="I26" s="84">
        <v>102.569444444444</v>
      </c>
      <c r="J26" s="84">
        <v>0</v>
      </c>
      <c r="K26" s="44">
        <v>0.02</v>
      </c>
      <c r="L26" s="84">
        <v>659.722222222222</v>
      </c>
      <c r="M26" s="27">
        <f t="shared" si="8"/>
        <v>1030.48611111111</v>
      </c>
      <c r="N26" s="27">
        <f t="shared" si="9"/>
        <v>72.1340277777778</v>
      </c>
      <c r="O26" s="27">
        <f t="shared" si="10"/>
        <v>99.2358125</v>
      </c>
      <c r="P26" s="86" t="s">
        <v>50</v>
      </c>
    </row>
    <row r="27" s="62" customFormat="1" ht="48" outlineLevel="3" spans="1:16">
      <c r="A27" s="80" t="s">
        <v>102</v>
      </c>
      <c r="B27" s="77" t="s">
        <v>103</v>
      </c>
      <c r="C27" s="81" t="s">
        <v>104</v>
      </c>
      <c r="D27" s="82" t="s">
        <v>42</v>
      </c>
      <c r="E27" s="83">
        <v>2.01</v>
      </c>
      <c r="F27" s="79">
        <f t="shared" si="3"/>
        <v>536.809013333333</v>
      </c>
      <c r="G27" s="79">
        <f t="shared" si="4"/>
        <v>1078.9861168</v>
      </c>
      <c r="H27" s="84">
        <v>200</v>
      </c>
      <c r="I27" s="84">
        <v>25.6666666666667</v>
      </c>
      <c r="J27" s="84">
        <v>0</v>
      </c>
      <c r="K27" s="44">
        <v>0.02</v>
      </c>
      <c r="L27" s="84">
        <v>230</v>
      </c>
      <c r="M27" s="27">
        <f t="shared" si="8"/>
        <v>460.266666666667</v>
      </c>
      <c r="N27" s="27">
        <f t="shared" si="9"/>
        <v>32.2186666666667</v>
      </c>
      <c r="O27" s="27">
        <f t="shared" si="10"/>
        <v>44.32368</v>
      </c>
      <c r="P27" s="86" t="s">
        <v>50</v>
      </c>
    </row>
    <row r="28" s="62" customFormat="1" ht="67.2" outlineLevel="3" spans="1:16">
      <c r="A28" s="80" t="s">
        <v>105</v>
      </c>
      <c r="B28" s="77" t="s">
        <v>106</v>
      </c>
      <c r="C28" s="81" t="s">
        <v>107</v>
      </c>
      <c r="D28" s="82" t="s">
        <v>42</v>
      </c>
      <c r="E28" s="83">
        <v>0.48</v>
      </c>
      <c r="F28" s="79">
        <f t="shared" si="3"/>
        <v>712.6093</v>
      </c>
      <c r="G28" s="79">
        <f t="shared" si="4"/>
        <v>342.052464</v>
      </c>
      <c r="H28" s="84">
        <v>220</v>
      </c>
      <c r="I28" s="84">
        <v>85</v>
      </c>
      <c r="J28" s="84">
        <v>0</v>
      </c>
      <c r="K28" s="44">
        <v>0.02</v>
      </c>
      <c r="L28" s="84">
        <v>300</v>
      </c>
      <c r="M28" s="27">
        <f t="shared" si="8"/>
        <v>611</v>
      </c>
      <c r="N28" s="27">
        <f t="shared" si="9"/>
        <v>42.77</v>
      </c>
      <c r="O28" s="27">
        <f t="shared" si="10"/>
        <v>58.8393</v>
      </c>
      <c r="P28" s="86" t="s">
        <v>91</v>
      </c>
    </row>
    <row r="29" s="62" customFormat="1" ht="38.4" outlineLevel="3" spans="1:16">
      <c r="A29" s="80" t="s">
        <v>108</v>
      </c>
      <c r="B29" s="77" t="s">
        <v>109</v>
      </c>
      <c r="C29" s="81" t="s">
        <v>110</v>
      </c>
      <c r="D29" s="82" t="s">
        <v>42</v>
      </c>
      <c r="E29" s="83">
        <v>2.46</v>
      </c>
      <c r="F29" s="79">
        <f t="shared" si="3"/>
        <v>276.29647</v>
      </c>
      <c r="G29" s="79">
        <f t="shared" si="4"/>
        <v>679.6893162</v>
      </c>
      <c r="H29" s="84">
        <v>100</v>
      </c>
      <c r="I29" s="84">
        <v>23</v>
      </c>
      <c r="J29" s="84">
        <v>0</v>
      </c>
      <c r="K29" s="44">
        <v>0.02</v>
      </c>
      <c r="L29" s="84">
        <v>111.666666666667</v>
      </c>
      <c r="M29" s="27">
        <f t="shared" si="8"/>
        <v>236.9</v>
      </c>
      <c r="N29" s="27">
        <f t="shared" si="9"/>
        <v>16.583</v>
      </c>
      <c r="O29" s="27">
        <f t="shared" si="10"/>
        <v>22.81347</v>
      </c>
      <c r="P29" s="86" t="s">
        <v>50</v>
      </c>
    </row>
    <row r="30" s="62" customFormat="1" ht="57.6" outlineLevel="3" spans="1:16">
      <c r="A30" s="80" t="s">
        <v>111</v>
      </c>
      <c r="B30" s="77" t="s">
        <v>112</v>
      </c>
      <c r="C30" s="81" t="s">
        <v>113</v>
      </c>
      <c r="D30" s="82" t="s">
        <v>42</v>
      </c>
      <c r="E30" s="83">
        <v>1.14</v>
      </c>
      <c r="F30" s="79">
        <f t="shared" si="3"/>
        <v>2154.1561</v>
      </c>
      <c r="G30" s="79">
        <f t="shared" si="4"/>
        <v>2455.737954</v>
      </c>
      <c r="H30" s="84">
        <v>350</v>
      </c>
      <c r="I30" s="84">
        <v>120</v>
      </c>
      <c r="J30" s="84">
        <v>0</v>
      </c>
      <c r="K30" s="44">
        <v>0.02</v>
      </c>
      <c r="L30" s="84">
        <v>1350</v>
      </c>
      <c r="M30" s="27">
        <f t="shared" si="8"/>
        <v>1847</v>
      </c>
      <c r="N30" s="27">
        <f t="shared" si="9"/>
        <v>129.29</v>
      </c>
      <c r="O30" s="27">
        <f t="shared" si="10"/>
        <v>177.8661</v>
      </c>
      <c r="P30" s="86" t="s">
        <v>91</v>
      </c>
    </row>
    <row r="31" s="62" customFormat="1" ht="57.6" outlineLevel="3" spans="1:16">
      <c r="A31" s="80" t="s">
        <v>114</v>
      </c>
      <c r="B31" s="77" t="s">
        <v>115</v>
      </c>
      <c r="C31" s="81" t="s">
        <v>116</v>
      </c>
      <c r="D31" s="82" t="s">
        <v>42</v>
      </c>
      <c r="E31" s="83">
        <v>0.79</v>
      </c>
      <c r="F31" s="79">
        <f t="shared" si="3"/>
        <v>1618.8244</v>
      </c>
      <c r="G31" s="79">
        <f t="shared" si="4"/>
        <v>1278.871276</v>
      </c>
      <c r="H31" s="84">
        <v>350</v>
      </c>
      <c r="I31" s="84">
        <v>120</v>
      </c>
      <c r="J31" s="84">
        <v>0</v>
      </c>
      <c r="K31" s="44">
        <v>0.02</v>
      </c>
      <c r="L31" s="84">
        <v>900</v>
      </c>
      <c r="M31" s="27">
        <f t="shared" si="8"/>
        <v>1388</v>
      </c>
      <c r="N31" s="27">
        <f t="shared" si="9"/>
        <v>97.16</v>
      </c>
      <c r="O31" s="27">
        <f t="shared" si="10"/>
        <v>133.6644</v>
      </c>
      <c r="P31" s="86" t="s">
        <v>50</v>
      </c>
    </row>
    <row r="32" s="63" customFormat="1" ht="96" outlineLevel="3" spans="1:16">
      <c r="A32" s="76" t="s">
        <v>117</v>
      </c>
      <c r="B32" s="77" t="s">
        <v>118</v>
      </c>
      <c r="C32" s="78" t="s">
        <v>119</v>
      </c>
      <c r="D32" s="77" t="s">
        <v>42</v>
      </c>
      <c r="E32" s="79">
        <f>0.8*2.4</f>
        <v>1.92</v>
      </c>
      <c r="F32" s="79">
        <f t="shared" si="3"/>
        <v>2450.531287562</v>
      </c>
      <c r="G32" s="79">
        <f t="shared" si="4"/>
        <v>4705.02007211904</v>
      </c>
      <c r="H32" s="84">
        <f>500-80</f>
        <v>420</v>
      </c>
      <c r="I32" s="84">
        <v>314.788</v>
      </c>
      <c r="J32" s="84">
        <v>0</v>
      </c>
      <c r="K32" s="44">
        <v>0.02</v>
      </c>
      <c r="L32" s="84">
        <v>1339.537</v>
      </c>
      <c r="M32" s="27">
        <f t="shared" si="8"/>
        <v>2101.11574</v>
      </c>
      <c r="N32" s="27">
        <f t="shared" si="9"/>
        <v>147.0781018</v>
      </c>
      <c r="O32" s="27">
        <f t="shared" si="10"/>
        <v>202.337445762</v>
      </c>
      <c r="P32" s="86" t="s">
        <v>91</v>
      </c>
    </row>
    <row r="33" s="62" customFormat="1" ht="28.8" outlineLevel="3" spans="1:16">
      <c r="A33" s="80" t="s">
        <v>120</v>
      </c>
      <c r="B33" s="77" t="s">
        <v>121</v>
      </c>
      <c r="C33" s="81" t="s">
        <v>122</v>
      </c>
      <c r="D33" s="82" t="s">
        <v>73</v>
      </c>
      <c r="E33" s="83">
        <v>5.8</v>
      </c>
      <c r="F33" s="79">
        <f t="shared" si="3"/>
        <v>156.354178</v>
      </c>
      <c r="G33" s="79">
        <f t="shared" si="4"/>
        <v>906.8542324</v>
      </c>
      <c r="H33" s="84">
        <v>45</v>
      </c>
      <c r="I33" s="84">
        <v>9.5</v>
      </c>
      <c r="J33" s="84">
        <v>0</v>
      </c>
      <c r="K33" s="44">
        <v>0.02</v>
      </c>
      <c r="L33" s="84">
        <v>78</v>
      </c>
      <c r="M33" s="27">
        <f t="shared" si="8"/>
        <v>134.06</v>
      </c>
      <c r="N33" s="27">
        <f t="shared" si="9"/>
        <v>9.3842</v>
      </c>
      <c r="O33" s="27">
        <f t="shared" si="10"/>
        <v>12.909978</v>
      </c>
      <c r="P33" s="85" t="s">
        <v>50</v>
      </c>
    </row>
    <row r="34" s="62" customFormat="1" outlineLevel="1" spans="1:16">
      <c r="A34" s="80" t="s">
        <v>123</v>
      </c>
      <c r="B34" s="77" t="s">
        <v>124</v>
      </c>
      <c r="C34" s="81"/>
      <c r="D34" s="82"/>
      <c r="E34" s="83"/>
      <c r="F34" s="79"/>
      <c r="G34" s="79"/>
      <c r="H34" s="84"/>
      <c r="I34" s="84"/>
      <c r="J34" s="84"/>
      <c r="K34" s="87"/>
      <c r="L34" s="84"/>
      <c r="M34" s="84"/>
      <c r="N34" s="84"/>
      <c r="O34" s="84"/>
      <c r="P34" s="86"/>
    </row>
    <row r="35" s="62" customFormat="1" outlineLevel="2" spans="1:16">
      <c r="A35" s="80" t="s">
        <v>125</v>
      </c>
      <c r="B35" s="77" t="s">
        <v>57</v>
      </c>
      <c r="C35" s="81"/>
      <c r="D35" s="82"/>
      <c r="E35" s="83"/>
      <c r="F35" s="79"/>
      <c r="G35" s="79"/>
      <c r="H35" s="84"/>
      <c r="I35" s="84"/>
      <c r="J35" s="84"/>
      <c r="K35" s="87"/>
      <c r="L35" s="84"/>
      <c r="M35" s="84"/>
      <c r="N35" s="84"/>
      <c r="O35" s="84"/>
      <c r="P35" s="86"/>
    </row>
    <row r="36" s="62" customFormat="1" ht="67.2" outlineLevel="3" spans="1:16">
      <c r="A36" s="80" t="s">
        <v>126</v>
      </c>
      <c r="B36" s="77" t="s">
        <v>63</v>
      </c>
      <c r="C36" s="81" t="s">
        <v>64</v>
      </c>
      <c r="D36" s="82" t="s">
        <v>42</v>
      </c>
      <c r="E36" s="83">
        <v>0.23</v>
      </c>
      <c r="F36" s="79">
        <f t="shared" si="3"/>
        <v>1247.47448</v>
      </c>
      <c r="G36" s="79">
        <f t="shared" si="4"/>
        <v>286.9191304</v>
      </c>
      <c r="H36" s="27">
        <v>545</v>
      </c>
      <c r="I36" s="27">
        <v>35</v>
      </c>
      <c r="J36" s="27">
        <v>0</v>
      </c>
      <c r="K36" s="44">
        <v>0.02</v>
      </c>
      <c r="L36" s="27">
        <v>480</v>
      </c>
      <c r="M36" s="27">
        <f t="shared" ref="M36:M38" si="11">H36+I36+J36+L36*(1+K36)</f>
        <v>1069.6</v>
      </c>
      <c r="N36" s="27">
        <f t="shared" ref="N36:N38" si="12">M36*$N$6</f>
        <v>74.872</v>
      </c>
      <c r="O36" s="27">
        <f t="shared" ref="O36:O38" si="13">(M36+N36)*$O$6</f>
        <v>103.00248</v>
      </c>
      <c r="P36" s="85" t="s">
        <v>77</v>
      </c>
    </row>
    <row r="37" s="62" customFormat="1" ht="76.8" outlineLevel="3" spans="1:16">
      <c r="A37" s="80" t="s">
        <v>127</v>
      </c>
      <c r="B37" s="77" t="s">
        <v>128</v>
      </c>
      <c r="C37" s="81" t="s">
        <v>129</v>
      </c>
      <c r="D37" s="82" t="s">
        <v>42</v>
      </c>
      <c r="E37" s="83">
        <v>15.37</v>
      </c>
      <c r="F37" s="79">
        <f t="shared" si="3"/>
        <v>385.11226</v>
      </c>
      <c r="G37" s="79">
        <f t="shared" si="4"/>
        <v>5919.1754362</v>
      </c>
      <c r="H37" s="27">
        <v>30</v>
      </c>
      <c r="I37" s="27">
        <v>35</v>
      </c>
      <c r="J37" s="27">
        <v>0</v>
      </c>
      <c r="K37" s="44">
        <v>0.02</v>
      </c>
      <c r="L37" s="27">
        <v>260</v>
      </c>
      <c r="M37" s="27">
        <f t="shared" si="11"/>
        <v>330.2</v>
      </c>
      <c r="N37" s="27">
        <f t="shared" si="12"/>
        <v>23.114</v>
      </c>
      <c r="O37" s="27">
        <f t="shared" si="13"/>
        <v>31.79826</v>
      </c>
      <c r="P37" s="86" t="s">
        <v>69</v>
      </c>
    </row>
    <row r="38" s="62" customFormat="1" ht="48" outlineLevel="3" spans="1:16">
      <c r="A38" s="80" t="s">
        <v>130</v>
      </c>
      <c r="B38" s="77" t="s">
        <v>75</v>
      </c>
      <c r="C38" s="81" t="s">
        <v>131</v>
      </c>
      <c r="D38" s="82" t="s">
        <v>73</v>
      </c>
      <c r="E38" s="83">
        <v>12.45</v>
      </c>
      <c r="F38" s="79">
        <f t="shared" si="3"/>
        <v>34.032634</v>
      </c>
      <c r="G38" s="79">
        <f t="shared" si="4"/>
        <v>423.7062933</v>
      </c>
      <c r="H38" s="27">
        <v>15</v>
      </c>
      <c r="I38" s="27">
        <v>5</v>
      </c>
      <c r="J38" s="27">
        <v>0</v>
      </c>
      <c r="K38" s="44">
        <v>0.02</v>
      </c>
      <c r="L38" s="27">
        <v>9</v>
      </c>
      <c r="M38" s="27">
        <f t="shared" si="11"/>
        <v>29.18</v>
      </c>
      <c r="N38" s="27">
        <f t="shared" si="12"/>
        <v>2.0426</v>
      </c>
      <c r="O38" s="27">
        <f t="shared" si="13"/>
        <v>2.810034</v>
      </c>
      <c r="P38" s="85" t="s">
        <v>50</v>
      </c>
    </row>
    <row r="39" s="62" customFormat="1" outlineLevel="2" spans="1:16">
      <c r="A39" s="80" t="s">
        <v>132</v>
      </c>
      <c r="B39" s="77" t="s">
        <v>79</v>
      </c>
      <c r="C39" s="81"/>
      <c r="D39" s="82"/>
      <c r="E39" s="83"/>
      <c r="F39" s="79"/>
      <c r="G39" s="79"/>
      <c r="H39" s="84"/>
      <c r="I39" s="84"/>
      <c r="J39" s="84"/>
      <c r="K39" s="87"/>
      <c r="L39" s="84"/>
      <c r="M39" s="84"/>
      <c r="N39" s="84"/>
      <c r="O39" s="84"/>
      <c r="P39" s="86"/>
    </row>
    <row r="40" s="62" customFormat="1" ht="105.6" outlineLevel="3" spans="1:16">
      <c r="A40" s="80" t="s">
        <v>133</v>
      </c>
      <c r="B40" s="77" t="s">
        <v>80</v>
      </c>
      <c r="C40" s="81" t="s">
        <v>134</v>
      </c>
      <c r="D40" s="82" t="s">
        <v>42</v>
      </c>
      <c r="E40" s="83">
        <v>11</v>
      </c>
      <c r="F40" s="79">
        <f t="shared" si="3"/>
        <v>178.607182</v>
      </c>
      <c r="G40" s="79">
        <f t="shared" si="4"/>
        <v>1964.679002</v>
      </c>
      <c r="H40" s="27">
        <v>65</v>
      </c>
      <c r="I40" s="27">
        <v>30</v>
      </c>
      <c r="J40" s="27">
        <v>0</v>
      </c>
      <c r="K40" s="44">
        <v>0.02</v>
      </c>
      <c r="L40" s="27">
        <v>57</v>
      </c>
      <c r="M40" s="27">
        <f t="shared" ref="M40:M50" si="14">H40+I40+J40+L40*(1+K40)</f>
        <v>153.14</v>
      </c>
      <c r="N40" s="27">
        <f t="shared" ref="N40:N50" si="15">M40*$N$6</f>
        <v>10.7198</v>
      </c>
      <c r="O40" s="27">
        <f t="shared" ref="O40:O50" si="16">(M40+N40)*$O$6</f>
        <v>14.747382</v>
      </c>
      <c r="P40" s="86" t="s">
        <v>82</v>
      </c>
    </row>
    <row r="41" s="62" customFormat="1" ht="48" outlineLevel="3" spans="1:16">
      <c r="A41" s="80" t="s">
        <v>135</v>
      </c>
      <c r="B41" s="77" t="s">
        <v>136</v>
      </c>
      <c r="C41" s="81" t="s">
        <v>137</v>
      </c>
      <c r="D41" s="82" t="s">
        <v>42</v>
      </c>
      <c r="E41" s="83">
        <v>1.8</v>
      </c>
      <c r="F41" s="79">
        <f t="shared" ref="F41:F72" si="17">M41+N41+O41</f>
        <v>51.877024</v>
      </c>
      <c r="G41" s="79">
        <f t="shared" ref="G41:G72" si="18">E41*F41</f>
        <v>93.3786432</v>
      </c>
      <c r="H41" s="84">
        <v>20</v>
      </c>
      <c r="I41" s="84">
        <v>0</v>
      </c>
      <c r="J41" s="84">
        <v>0</v>
      </c>
      <c r="K41" s="44">
        <v>0.02</v>
      </c>
      <c r="L41" s="84">
        <v>24</v>
      </c>
      <c r="M41" s="27">
        <f t="shared" si="14"/>
        <v>44.48</v>
      </c>
      <c r="N41" s="27">
        <f t="shared" si="15"/>
        <v>3.1136</v>
      </c>
      <c r="O41" s="27">
        <f t="shared" si="16"/>
        <v>4.283424</v>
      </c>
      <c r="P41" s="86" t="s">
        <v>138</v>
      </c>
    </row>
    <row r="42" s="62" customFormat="1" outlineLevel="2" spans="1:16">
      <c r="A42" s="80" t="s">
        <v>139</v>
      </c>
      <c r="B42" s="77" t="s">
        <v>87</v>
      </c>
      <c r="C42" s="81"/>
      <c r="D42" s="82"/>
      <c r="E42" s="83"/>
      <c r="F42" s="79"/>
      <c r="G42" s="79"/>
      <c r="H42" s="84"/>
      <c r="I42" s="84"/>
      <c r="J42" s="84"/>
      <c r="K42" s="87"/>
      <c r="L42" s="84"/>
      <c r="M42" s="84"/>
      <c r="N42" s="84"/>
      <c r="O42" s="84"/>
      <c r="P42" s="86"/>
    </row>
    <row r="43" s="62" customFormat="1" ht="57.6" outlineLevel="3" spans="1:16">
      <c r="A43" s="80" t="s">
        <v>140</v>
      </c>
      <c r="B43" s="77" t="s">
        <v>97</v>
      </c>
      <c r="C43" s="81" t="s">
        <v>141</v>
      </c>
      <c r="D43" s="82" t="s">
        <v>42</v>
      </c>
      <c r="E43" s="83">
        <v>15.2</v>
      </c>
      <c r="F43" s="79">
        <f t="shared" si="17"/>
        <v>73.71016</v>
      </c>
      <c r="G43" s="79">
        <f t="shared" si="18"/>
        <v>1120.394432</v>
      </c>
      <c r="H43" s="84">
        <v>18</v>
      </c>
      <c r="I43" s="84">
        <v>4</v>
      </c>
      <c r="J43" s="84">
        <v>0</v>
      </c>
      <c r="K43" s="44">
        <v>0.03</v>
      </c>
      <c r="L43" s="84">
        <v>40</v>
      </c>
      <c r="M43" s="27">
        <f t="shared" si="14"/>
        <v>63.2</v>
      </c>
      <c r="N43" s="27">
        <f t="shared" si="15"/>
        <v>4.424</v>
      </c>
      <c r="O43" s="27">
        <f t="shared" si="16"/>
        <v>6.08616</v>
      </c>
      <c r="P43" s="86" t="s">
        <v>50</v>
      </c>
    </row>
    <row r="44" s="62" customFormat="1" ht="57.6" outlineLevel="3" spans="1:16">
      <c r="A44" s="80" t="s">
        <v>142</v>
      </c>
      <c r="B44" s="77" t="s">
        <v>143</v>
      </c>
      <c r="C44" s="81" t="s">
        <v>144</v>
      </c>
      <c r="D44" s="82" t="s">
        <v>42</v>
      </c>
      <c r="E44" s="83">
        <v>5.79</v>
      </c>
      <c r="F44" s="79">
        <f t="shared" si="17"/>
        <v>371.00003</v>
      </c>
      <c r="G44" s="79">
        <f t="shared" si="18"/>
        <v>2148.0901737</v>
      </c>
      <c r="H44" s="84">
        <v>200</v>
      </c>
      <c r="I44" s="84">
        <v>45</v>
      </c>
      <c r="J44" s="84">
        <v>0</v>
      </c>
      <c r="K44" s="44">
        <v>0.02</v>
      </c>
      <c r="L44" s="84">
        <v>71.6666666666667</v>
      </c>
      <c r="M44" s="27">
        <f t="shared" si="14"/>
        <v>318.1</v>
      </c>
      <c r="N44" s="27">
        <f t="shared" si="15"/>
        <v>22.267</v>
      </c>
      <c r="O44" s="27">
        <f t="shared" si="16"/>
        <v>30.63303</v>
      </c>
      <c r="P44" s="86" t="s">
        <v>50</v>
      </c>
    </row>
    <row r="45" s="62" customFormat="1" ht="57.6" outlineLevel="3" spans="1:16">
      <c r="A45" s="80" t="s">
        <v>145</v>
      </c>
      <c r="B45" s="77" t="s">
        <v>146</v>
      </c>
      <c r="C45" s="81" t="s">
        <v>147</v>
      </c>
      <c r="D45" s="82" t="s">
        <v>42</v>
      </c>
      <c r="E45" s="83">
        <f>2.18+1.84</f>
        <v>4.02</v>
      </c>
      <c r="F45" s="79">
        <f t="shared" si="17"/>
        <v>305.006888333333</v>
      </c>
      <c r="G45" s="79">
        <f t="shared" si="18"/>
        <v>1226.1276911</v>
      </c>
      <c r="H45" s="27">
        <v>85</v>
      </c>
      <c r="I45" s="27">
        <v>10</v>
      </c>
      <c r="J45" s="27">
        <v>0</v>
      </c>
      <c r="K45" s="44">
        <v>0.03</v>
      </c>
      <c r="L45" s="27">
        <v>161.666666666667</v>
      </c>
      <c r="M45" s="27">
        <f t="shared" si="14"/>
        <v>261.516666666667</v>
      </c>
      <c r="N45" s="27">
        <f t="shared" si="15"/>
        <v>18.3061666666667</v>
      </c>
      <c r="O45" s="27">
        <f t="shared" si="16"/>
        <v>25.184055</v>
      </c>
      <c r="P45" s="86" t="s">
        <v>50</v>
      </c>
    </row>
    <row r="46" s="62" customFormat="1" ht="38.4" outlineLevel="3" spans="1:16">
      <c r="A46" s="80" t="s">
        <v>148</v>
      </c>
      <c r="B46" s="77" t="s">
        <v>149</v>
      </c>
      <c r="C46" s="81" t="s">
        <v>150</v>
      </c>
      <c r="D46" s="82" t="s">
        <v>42</v>
      </c>
      <c r="E46" s="83">
        <v>4.9</v>
      </c>
      <c r="F46" s="79">
        <f t="shared" si="17"/>
        <v>2288.2806</v>
      </c>
      <c r="G46" s="79">
        <f t="shared" si="18"/>
        <v>11212.57494</v>
      </c>
      <c r="H46" s="84">
        <v>436</v>
      </c>
      <c r="I46" s="84">
        <v>200</v>
      </c>
      <c r="J46" s="84">
        <v>0</v>
      </c>
      <c r="K46" s="44">
        <v>0.02</v>
      </c>
      <c r="L46" s="84">
        <v>1300</v>
      </c>
      <c r="M46" s="27">
        <f t="shared" si="14"/>
        <v>1962</v>
      </c>
      <c r="N46" s="27">
        <f t="shared" si="15"/>
        <v>137.34</v>
      </c>
      <c r="O46" s="27">
        <f t="shared" si="16"/>
        <v>188.9406</v>
      </c>
      <c r="P46" s="86" t="s">
        <v>91</v>
      </c>
    </row>
    <row r="47" s="62" customFormat="1" ht="48" outlineLevel="3" spans="1:16">
      <c r="A47" s="80" t="s">
        <v>151</v>
      </c>
      <c r="B47" s="77" t="s">
        <v>115</v>
      </c>
      <c r="C47" s="81" t="s">
        <v>152</v>
      </c>
      <c r="D47" s="82" t="s">
        <v>42</v>
      </c>
      <c r="E47" s="83">
        <v>0.96</v>
      </c>
      <c r="F47" s="79">
        <f t="shared" si="17"/>
        <v>1467.2054</v>
      </c>
      <c r="G47" s="79">
        <f t="shared" si="18"/>
        <v>1408.517184</v>
      </c>
      <c r="H47" s="84">
        <v>260</v>
      </c>
      <c r="I47" s="84">
        <v>80</v>
      </c>
      <c r="J47" s="84">
        <v>0</v>
      </c>
      <c r="K47" s="44">
        <v>0.02</v>
      </c>
      <c r="L47" s="84">
        <v>900</v>
      </c>
      <c r="M47" s="27">
        <f t="shared" si="14"/>
        <v>1258</v>
      </c>
      <c r="N47" s="27">
        <f t="shared" si="15"/>
        <v>88.06</v>
      </c>
      <c r="O47" s="27">
        <f t="shared" si="16"/>
        <v>121.1454</v>
      </c>
      <c r="P47" s="86" t="s">
        <v>91</v>
      </c>
    </row>
    <row r="48" s="62" customFormat="1" ht="67.2" outlineLevel="3" spans="1:16">
      <c r="A48" s="80" t="s">
        <v>153</v>
      </c>
      <c r="B48" s="77" t="s">
        <v>154</v>
      </c>
      <c r="C48" s="81" t="s">
        <v>155</v>
      </c>
      <c r="D48" s="82" t="s">
        <v>73</v>
      </c>
      <c r="E48" s="83">
        <v>2.07</v>
      </c>
      <c r="F48" s="79">
        <f t="shared" si="17"/>
        <v>205.327115</v>
      </c>
      <c r="G48" s="79">
        <f t="shared" si="18"/>
        <v>425.02712805</v>
      </c>
      <c r="H48" s="84">
        <v>50</v>
      </c>
      <c r="I48" s="84">
        <v>8.75</v>
      </c>
      <c r="J48" s="84">
        <v>0</v>
      </c>
      <c r="K48" s="44">
        <v>0.02</v>
      </c>
      <c r="L48" s="84">
        <v>115</v>
      </c>
      <c r="M48" s="27">
        <f t="shared" si="14"/>
        <v>176.05</v>
      </c>
      <c r="N48" s="27">
        <f t="shared" si="15"/>
        <v>12.3235</v>
      </c>
      <c r="O48" s="27">
        <f t="shared" si="16"/>
        <v>16.953615</v>
      </c>
      <c r="P48" s="86" t="s">
        <v>50</v>
      </c>
    </row>
    <row r="49" s="62" customFormat="1" ht="28.8" outlineLevel="3" spans="1:16">
      <c r="A49" s="80" t="s">
        <v>156</v>
      </c>
      <c r="B49" s="77" t="s">
        <v>121</v>
      </c>
      <c r="C49" s="81" t="s">
        <v>122</v>
      </c>
      <c r="D49" s="82" t="s">
        <v>73</v>
      </c>
      <c r="E49" s="83">
        <v>5.76</v>
      </c>
      <c r="F49" s="79">
        <f t="shared" si="17"/>
        <v>156.354178</v>
      </c>
      <c r="G49" s="79">
        <f t="shared" si="18"/>
        <v>900.60006528</v>
      </c>
      <c r="H49" s="84">
        <v>45</v>
      </c>
      <c r="I49" s="84">
        <v>9.5</v>
      </c>
      <c r="J49" s="84">
        <v>0</v>
      </c>
      <c r="K49" s="44">
        <v>0.02</v>
      </c>
      <c r="L49" s="84">
        <v>78</v>
      </c>
      <c r="M49" s="27">
        <f t="shared" si="14"/>
        <v>134.06</v>
      </c>
      <c r="N49" s="27">
        <f t="shared" si="15"/>
        <v>9.3842</v>
      </c>
      <c r="O49" s="27">
        <f t="shared" si="16"/>
        <v>12.909978</v>
      </c>
      <c r="P49" s="85" t="s">
        <v>50</v>
      </c>
    </row>
    <row r="50" s="62" customFormat="1" ht="28.8" outlineLevel="3" spans="1:16">
      <c r="A50" s="80" t="s">
        <v>157</v>
      </c>
      <c r="B50" s="77" t="s">
        <v>158</v>
      </c>
      <c r="C50" s="81" t="s">
        <v>122</v>
      </c>
      <c r="D50" s="82" t="s">
        <v>73</v>
      </c>
      <c r="E50" s="83">
        <v>3.04</v>
      </c>
      <c r="F50" s="79">
        <f t="shared" si="17"/>
        <v>135.05754</v>
      </c>
      <c r="G50" s="79">
        <f t="shared" si="18"/>
        <v>410.5749216</v>
      </c>
      <c r="H50" s="84">
        <v>40</v>
      </c>
      <c r="I50" s="84">
        <v>9.5</v>
      </c>
      <c r="J50" s="84">
        <v>0</v>
      </c>
      <c r="K50" s="44">
        <v>0.02</v>
      </c>
      <c r="L50" s="84">
        <v>65</v>
      </c>
      <c r="M50" s="27">
        <f t="shared" si="14"/>
        <v>115.8</v>
      </c>
      <c r="N50" s="27">
        <f t="shared" si="15"/>
        <v>8.106</v>
      </c>
      <c r="O50" s="27">
        <f t="shared" si="16"/>
        <v>11.15154</v>
      </c>
      <c r="P50" s="85" t="s">
        <v>50</v>
      </c>
    </row>
    <row r="51" s="62" customFormat="1" outlineLevel="1" spans="1:16">
      <c r="A51" s="80" t="s">
        <v>159</v>
      </c>
      <c r="B51" s="77" t="s">
        <v>160</v>
      </c>
      <c r="C51" s="81"/>
      <c r="D51" s="82"/>
      <c r="E51" s="83"/>
      <c r="F51" s="79"/>
      <c r="G51" s="79"/>
      <c r="H51" s="84"/>
      <c r="I51" s="84"/>
      <c r="J51" s="84"/>
      <c r="K51" s="87"/>
      <c r="L51" s="84"/>
      <c r="M51" s="84"/>
      <c r="N51" s="84"/>
      <c r="O51" s="84"/>
      <c r="P51" s="86"/>
    </row>
    <row r="52" s="62" customFormat="1" outlineLevel="2" spans="1:16">
      <c r="A52" s="80" t="s">
        <v>161</v>
      </c>
      <c r="B52" s="77" t="s">
        <v>57</v>
      </c>
      <c r="C52" s="81"/>
      <c r="D52" s="82"/>
      <c r="E52" s="83"/>
      <c r="F52" s="79"/>
      <c r="G52" s="79"/>
      <c r="H52" s="84"/>
      <c r="I52" s="84"/>
      <c r="J52" s="84"/>
      <c r="K52" s="87"/>
      <c r="L52" s="84"/>
      <c r="M52" s="84"/>
      <c r="N52" s="84"/>
      <c r="O52" s="84"/>
      <c r="P52" s="86"/>
    </row>
    <row r="53" s="62" customFormat="1" ht="76.8" outlineLevel="3" spans="1:16">
      <c r="A53" s="80" t="s">
        <v>162</v>
      </c>
      <c r="B53" s="77" t="s">
        <v>128</v>
      </c>
      <c r="C53" s="81" t="s">
        <v>129</v>
      </c>
      <c r="D53" s="82" t="s">
        <v>42</v>
      </c>
      <c r="E53" s="83">
        <v>10.23</v>
      </c>
      <c r="F53" s="79">
        <f t="shared" si="17"/>
        <v>385.11226</v>
      </c>
      <c r="G53" s="79">
        <f t="shared" si="18"/>
        <v>3939.6984198</v>
      </c>
      <c r="H53" s="27">
        <v>30</v>
      </c>
      <c r="I53" s="27">
        <v>35</v>
      </c>
      <c r="J53" s="27">
        <v>0</v>
      </c>
      <c r="K53" s="44">
        <v>0.02</v>
      </c>
      <c r="L53" s="27">
        <v>260</v>
      </c>
      <c r="M53" s="27">
        <f t="shared" ref="M53:M55" si="19">H53+I53+J53+L53*(1+K53)</f>
        <v>330.2</v>
      </c>
      <c r="N53" s="27">
        <f t="shared" ref="N53:N55" si="20">M53*$N$6</f>
        <v>23.114</v>
      </c>
      <c r="O53" s="27">
        <f t="shared" ref="O53:O55" si="21">(M53+N53)*$O$6</f>
        <v>31.79826</v>
      </c>
      <c r="P53" s="86" t="s">
        <v>69</v>
      </c>
    </row>
    <row r="54" s="62" customFormat="1" ht="67.2" outlineLevel="3" spans="1:16">
      <c r="A54" s="80" t="s">
        <v>163</v>
      </c>
      <c r="B54" s="77" t="s">
        <v>63</v>
      </c>
      <c r="C54" s="81" t="s">
        <v>64</v>
      </c>
      <c r="D54" s="82" t="s">
        <v>42</v>
      </c>
      <c r="E54" s="83">
        <v>0.23</v>
      </c>
      <c r="F54" s="79">
        <f t="shared" si="17"/>
        <v>1247.47448</v>
      </c>
      <c r="G54" s="79">
        <f t="shared" si="18"/>
        <v>286.9191304</v>
      </c>
      <c r="H54" s="27">
        <v>545</v>
      </c>
      <c r="I54" s="27">
        <v>35</v>
      </c>
      <c r="J54" s="27">
        <v>0</v>
      </c>
      <c r="K54" s="44">
        <v>0.02</v>
      </c>
      <c r="L54" s="27">
        <v>480</v>
      </c>
      <c r="M54" s="27">
        <f t="shared" si="19"/>
        <v>1069.6</v>
      </c>
      <c r="N54" s="27">
        <f t="shared" si="20"/>
        <v>74.872</v>
      </c>
      <c r="O54" s="27">
        <f t="shared" si="21"/>
        <v>103.00248</v>
      </c>
      <c r="P54" s="88" t="s">
        <v>164</v>
      </c>
    </row>
    <row r="55" s="62" customFormat="1" ht="48" outlineLevel="3" spans="1:16">
      <c r="A55" s="80" t="s">
        <v>165</v>
      </c>
      <c r="B55" s="77" t="s">
        <v>75</v>
      </c>
      <c r="C55" s="81" t="s">
        <v>131</v>
      </c>
      <c r="D55" s="82" t="s">
        <v>73</v>
      </c>
      <c r="E55" s="83">
        <v>9.45</v>
      </c>
      <c r="F55" s="79">
        <f t="shared" si="17"/>
        <v>34.032634</v>
      </c>
      <c r="G55" s="79">
        <f t="shared" si="18"/>
        <v>321.6083913</v>
      </c>
      <c r="H55" s="27">
        <v>15</v>
      </c>
      <c r="I55" s="27">
        <v>5</v>
      </c>
      <c r="J55" s="27">
        <v>0</v>
      </c>
      <c r="K55" s="44">
        <v>0.02</v>
      </c>
      <c r="L55" s="27">
        <v>9</v>
      </c>
      <c r="M55" s="27">
        <f t="shared" si="19"/>
        <v>29.18</v>
      </c>
      <c r="N55" s="27">
        <f t="shared" si="20"/>
        <v>2.0426</v>
      </c>
      <c r="O55" s="27">
        <f t="shared" si="21"/>
        <v>2.810034</v>
      </c>
      <c r="P55" s="85" t="s">
        <v>50</v>
      </c>
    </row>
    <row r="56" s="62" customFormat="1" outlineLevel="2" spans="1:16">
      <c r="A56" s="80" t="s">
        <v>166</v>
      </c>
      <c r="B56" s="77" t="s">
        <v>79</v>
      </c>
      <c r="C56" s="81"/>
      <c r="D56" s="82"/>
      <c r="E56" s="83"/>
      <c r="F56" s="79"/>
      <c r="G56" s="79"/>
      <c r="H56" s="84"/>
      <c r="I56" s="84"/>
      <c r="J56" s="84"/>
      <c r="K56" s="87"/>
      <c r="L56" s="84"/>
      <c r="M56" s="84"/>
      <c r="N56" s="84"/>
      <c r="O56" s="84"/>
      <c r="P56" s="86"/>
    </row>
    <row r="57" s="62" customFormat="1" ht="105.6" outlineLevel="3" spans="1:16">
      <c r="A57" s="80" t="s">
        <v>167</v>
      </c>
      <c r="B57" s="77" t="s">
        <v>80</v>
      </c>
      <c r="C57" s="81" t="s">
        <v>134</v>
      </c>
      <c r="D57" s="82" t="s">
        <v>42</v>
      </c>
      <c r="E57" s="83">
        <v>10.24</v>
      </c>
      <c r="F57" s="79">
        <f t="shared" si="17"/>
        <v>178.607182</v>
      </c>
      <c r="G57" s="79">
        <f t="shared" si="18"/>
        <v>1828.93754368</v>
      </c>
      <c r="H57" s="27">
        <v>65</v>
      </c>
      <c r="I57" s="27">
        <v>30</v>
      </c>
      <c r="J57" s="27">
        <v>0</v>
      </c>
      <c r="K57" s="44">
        <v>0.02</v>
      </c>
      <c r="L57" s="27">
        <v>57</v>
      </c>
      <c r="M57" s="27">
        <f t="shared" ref="M57:M64" si="22">H57+I57+J57+L57*(1+K57)</f>
        <v>153.14</v>
      </c>
      <c r="N57" s="27">
        <f t="shared" ref="N57:N64" si="23">M57*$N$6</f>
        <v>10.7198</v>
      </c>
      <c r="O57" s="27">
        <f t="shared" ref="O57:O64" si="24">(M57+N57)*$O$6</f>
        <v>14.747382</v>
      </c>
      <c r="P57" s="86" t="s">
        <v>82</v>
      </c>
    </row>
    <row r="58" s="62" customFormat="1" outlineLevel="2" spans="1:16">
      <c r="A58" s="80" t="s">
        <v>168</v>
      </c>
      <c r="B58" s="77" t="s">
        <v>87</v>
      </c>
      <c r="C58" s="81"/>
      <c r="D58" s="82"/>
      <c r="E58" s="83"/>
      <c r="F58" s="79"/>
      <c r="G58" s="79"/>
      <c r="H58" s="84"/>
      <c r="I58" s="84"/>
      <c r="J58" s="84"/>
      <c r="K58" s="87"/>
      <c r="L58" s="84"/>
      <c r="M58" s="84"/>
      <c r="N58" s="84"/>
      <c r="O58" s="84"/>
      <c r="P58" s="86"/>
    </row>
    <row r="59" s="62" customFormat="1" ht="57.6" outlineLevel="3" spans="1:16">
      <c r="A59" s="80" t="s">
        <v>169</v>
      </c>
      <c r="B59" s="77" t="s">
        <v>97</v>
      </c>
      <c r="C59" s="81" t="s">
        <v>98</v>
      </c>
      <c r="D59" s="82" t="s">
        <v>42</v>
      </c>
      <c r="E59" s="83">
        <v>11.83</v>
      </c>
      <c r="F59" s="79">
        <f t="shared" si="17"/>
        <v>73.71016</v>
      </c>
      <c r="G59" s="79">
        <f t="shared" si="18"/>
        <v>871.9911928</v>
      </c>
      <c r="H59" s="84">
        <v>18</v>
      </c>
      <c r="I59" s="84">
        <v>4</v>
      </c>
      <c r="J59" s="84">
        <v>0</v>
      </c>
      <c r="K59" s="44">
        <v>0.03</v>
      </c>
      <c r="L59" s="84">
        <v>40</v>
      </c>
      <c r="M59" s="27">
        <f t="shared" si="22"/>
        <v>63.2</v>
      </c>
      <c r="N59" s="27">
        <f t="shared" si="23"/>
        <v>4.424</v>
      </c>
      <c r="O59" s="27">
        <f t="shared" si="24"/>
        <v>6.08616</v>
      </c>
      <c r="P59" s="86" t="s">
        <v>50</v>
      </c>
    </row>
    <row r="60" s="62" customFormat="1" ht="57.6" outlineLevel="3" spans="1:16">
      <c r="A60" s="80" t="s">
        <v>170</v>
      </c>
      <c r="B60" s="77" t="s">
        <v>143</v>
      </c>
      <c r="C60" s="81" t="s">
        <v>171</v>
      </c>
      <c r="D60" s="82" t="s">
        <v>42</v>
      </c>
      <c r="E60" s="83">
        <v>6.42</v>
      </c>
      <c r="F60" s="79">
        <f t="shared" si="17"/>
        <v>371.00003</v>
      </c>
      <c r="G60" s="79">
        <f t="shared" si="18"/>
        <v>2381.8201926</v>
      </c>
      <c r="H60" s="84">
        <v>200</v>
      </c>
      <c r="I60" s="84">
        <v>45</v>
      </c>
      <c r="J60" s="84">
        <v>0</v>
      </c>
      <c r="K60" s="44">
        <v>0.02</v>
      </c>
      <c r="L60" s="84">
        <v>71.6666666666667</v>
      </c>
      <c r="M60" s="27">
        <f t="shared" si="22"/>
        <v>318.1</v>
      </c>
      <c r="N60" s="27">
        <f t="shared" si="23"/>
        <v>22.267</v>
      </c>
      <c r="O60" s="27">
        <f t="shared" si="24"/>
        <v>30.63303</v>
      </c>
      <c r="P60" s="86" t="s">
        <v>50</v>
      </c>
    </row>
    <row r="61" s="62" customFormat="1" ht="48" outlineLevel="3" spans="1:16">
      <c r="A61" s="80" t="s">
        <v>172</v>
      </c>
      <c r="B61" s="77" t="s">
        <v>173</v>
      </c>
      <c r="C61" s="81" t="s">
        <v>174</v>
      </c>
      <c r="D61" s="82" t="s">
        <v>42</v>
      </c>
      <c r="E61" s="83">
        <v>2.02</v>
      </c>
      <c r="F61" s="79">
        <f t="shared" si="17"/>
        <v>605.3097</v>
      </c>
      <c r="G61" s="79">
        <f t="shared" si="18"/>
        <v>1222.725594</v>
      </c>
      <c r="H61" s="84">
        <v>260</v>
      </c>
      <c r="I61" s="84">
        <v>55</v>
      </c>
      <c r="J61" s="84">
        <v>0</v>
      </c>
      <c r="K61" s="44">
        <v>0.02</v>
      </c>
      <c r="L61" s="84">
        <v>200</v>
      </c>
      <c r="M61" s="27">
        <f t="shared" si="22"/>
        <v>519</v>
      </c>
      <c r="N61" s="27">
        <f t="shared" si="23"/>
        <v>36.33</v>
      </c>
      <c r="O61" s="27">
        <f t="shared" si="24"/>
        <v>49.9797</v>
      </c>
      <c r="P61" s="86" t="s">
        <v>91</v>
      </c>
    </row>
    <row r="62" s="62" customFormat="1" ht="38.4" outlineLevel="3" spans="1:16">
      <c r="A62" s="80" t="s">
        <v>175</v>
      </c>
      <c r="B62" s="77" t="s">
        <v>149</v>
      </c>
      <c r="C62" s="81" t="s">
        <v>176</v>
      </c>
      <c r="D62" s="82" t="s">
        <v>42</v>
      </c>
      <c r="E62" s="83">
        <f>2.31+1.23</f>
        <v>3.54</v>
      </c>
      <c r="F62" s="79">
        <f t="shared" si="17"/>
        <v>1672.637482</v>
      </c>
      <c r="G62" s="79">
        <f t="shared" si="18"/>
        <v>5921.13668628</v>
      </c>
      <c r="H62" s="84">
        <v>348</v>
      </c>
      <c r="I62" s="84">
        <v>110</v>
      </c>
      <c r="J62" s="84">
        <v>0</v>
      </c>
      <c r="K62" s="44">
        <v>0.02</v>
      </c>
      <c r="L62" s="84">
        <v>957</v>
      </c>
      <c r="M62" s="27">
        <f t="shared" si="22"/>
        <v>1434.14</v>
      </c>
      <c r="N62" s="27">
        <f t="shared" si="23"/>
        <v>100.3898</v>
      </c>
      <c r="O62" s="27">
        <f t="shared" si="24"/>
        <v>138.107682</v>
      </c>
      <c r="P62" s="86" t="s">
        <v>91</v>
      </c>
    </row>
    <row r="63" s="62" customFormat="1" ht="38.4" outlineLevel="3" spans="1:16">
      <c r="A63" s="80" t="s">
        <v>177</v>
      </c>
      <c r="B63" s="77" t="s">
        <v>178</v>
      </c>
      <c r="C63" s="81" t="s">
        <v>179</v>
      </c>
      <c r="D63" s="82" t="s">
        <v>42</v>
      </c>
      <c r="E63" s="83">
        <v>1.93</v>
      </c>
      <c r="F63" s="79">
        <f t="shared" si="17"/>
        <v>1448.5446</v>
      </c>
      <c r="G63" s="79">
        <f t="shared" si="18"/>
        <v>2795.691078</v>
      </c>
      <c r="H63" s="84">
        <v>326</v>
      </c>
      <c r="I63" s="84">
        <v>100</v>
      </c>
      <c r="J63" s="84">
        <v>0</v>
      </c>
      <c r="K63" s="44">
        <v>0.02</v>
      </c>
      <c r="L63" s="84">
        <v>800</v>
      </c>
      <c r="M63" s="27">
        <f t="shared" si="22"/>
        <v>1242</v>
      </c>
      <c r="N63" s="27">
        <f t="shared" si="23"/>
        <v>86.94</v>
      </c>
      <c r="O63" s="27">
        <f t="shared" si="24"/>
        <v>119.6046</v>
      </c>
      <c r="P63" s="86" t="s">
        <v>91</v>
      </c>
    </row>
    <row r="64" s="62" customFormat="1" ht="28.8" outlineLevel="3" spans="1:16">
      <c r="A64" s="80" t="s">
        <v>180</v>
      </c>
      <c r="B64" s="77" t="s">
        <v>121</v>
      </c>
      <c r="C64" s="81" t="s">
        <v>122</v>
      </c>
      <c r="D64" s="82" t="s">
        <v>73</v>
      </c>
      <c r="E64" s="83">
        <v>5.46</v>
      </c>
      <c r="F64" s="79">
        <f t="shared" si="17"/>
        <v>156.354178</v>
      </c>
      <c r="G64" s="79">
        <f t="shared" si="18"/>
        <v>853.69381188</v>
      </c>
      <c r="H64" s="84">
        <v>45</v>
      </c>
      <c r="I64" s="84">
        <v>9.5</v>
      </c>
      <c r="J64" s="84">
        <v>0</v>
      </c>
      <c r="K64" s="44">
        <v>0.02</v>
      </c>
      <c r="L64" s="84">
        <v>78</v>
      </c>
      <c r="M64" s="27">
        <f t="shared" si="22"/>
        <v>134.06</v>
      </c>
      <c r="N64" s="27">
        <f t="shared" si="23"/>
        <v>9.3842</v>
      </c>
      <c r="O64" s="27">
        <f t="shared" si="24"/>
        <v>12.909978</v>
      </c>
      <c r="P64" s="85" t="s">
        <v>50</v>
      </c>
    </row>
    <row r="65" outlineLevel="1" spans="1:16">
      <c r="A65" s="76" t="s">
        <v>181</v>
      </c>
      <c r="B65" s="77" t="s">
        <v>182</v>
      </c>
      <c r="C65" s="78"/>
      <c r="D65" s="77"/>
      <c r="E65" s="79"/>
      <c r="F65" s="79"/>
      <c r="G65" s="79"/>
      <c r="H65" s="27"/>
      <c r="I65" s="27"/>
      <c r="J65" s="27"/>
      <c r="K65" s="44"/>
      <c r="L65" s="27"/>
      <c r="M65" s="27"/>
      <c r="N65" s="27"/>
      <c r="O65" s="27"/>
      <c r="P65" s="85"/>
    </row>
    <row r="66" s="62" customFormat="1" outlineLevel="2" spans="1:16">
      <c r="A66" s="80" t="s">
        <v>183</v>
      </c>
      <c r="B66" s="77" t="s">
        <v>57</v>
      </c>
      <c r="C66" s="81"/>
      <c r="D66" s="82"/>
      <c r="E66" s="83"/>
      <c r="F66" s="79"/>
      <c r="G66" s="79"/>
      <c r="H66" s="84"/>
      <c r="I66" s="84"/>
      <c r="J66" s="84"/>
      <c r="K66" s="87"/>
      <c r="L66" s="84"/>
      <c r="M66" s="27"/>
      <c r="N66" s="27"/>
      <c r="O66" s="27"/>
      <c r="P66" s="86"/>
    </row>
    <row r="67" s="62" customFormat="1" ht="76.8" outlineLevel="3" spans="1:16">
      <c r="A67" s="80" t="s">
        <v>184</v>
      </c>
      <c r="B67" s="77" t="s">
        <v>128</v>
      </c>
      <c r="C67" s="81" t="s">
        <v>129</v>
      </c>
      <c r="D67" s="82" t="s">
        <v>42</v>
      </c>
      <c r="E67" s="83">
        <v>8.51</v>
      </c>
      <c r="F67" s="79">
        <f t="shared" si="17"/>
        <v>385.11226</v>
      </c>
      <c r="G67" s="79">
        <f t="shared" si="18"/>
        <v>3277.3053326</v>
      </c>
      <c r="H67" s="27">
        <v>30</v>
      </c>
      <c r="I67" s="27">
        <v>35</v>
      </c>
      <c r="J67" s="27">
        <v>0</v>
      </c>
      <c r="K67" s="44">
        <v>0.02</v>
      </c>
      <c r="L67" s="27">
        <v>260</v>
      </c>
      <c r="M67" s="27">
        <f t="shared" ref="M67:M69" si="25">H67+I67+J67+L67*(1+K67)</f>
        <v>330.2</v>
      </c>
      <c r="N67" s="27">
        <f t="shared" ref="N67:N69" si="26">M67*$N$6</f>
        <v>23.114</v>
      </c>
      <c r="O67" s="27">
        <f t="shared" ref="O67:O69" si="27">(M67+N67)*$O$6</f>
        <v>31.79826</v>
      </c>
      <c r="P67" s="86" t="s">
        <v>69</v>
      </c>
    </row>
    <row r="68" s="62" customFormat="1" ht="67.2" outlineLevel="3" spans="1:16">
      <c r="A68" s="80" t="s">
        <v>185</v>
      </c>
      <c r="B68" s="77" t="s">
        <v>63</v>
      </c>
      <c r="C68" s="81" t="s">
        <v>64</v>
      </c>
      <c r="D68" s="82" t="s">
        <v>42</v>
      </c>
      <c r="E68" s="83">
        <v>0.09</v>
      </c>
      <c r="F68" s="79">
        <f t="shared" si="17"/>
        <v>1800.65057</v>
      </c>
      <c r="G68" s="79">
        <f t="shared" si="18"/>
        <v>162.0585513</v>
      </c>
      <c r="H68" s="27">
        <v>545</v>
      </c>
      <c r="I68" s="27">
        <v>35</v>
      </c>
      <c r="J68" s="27">
        <v>0</v>
      </c>
      <c r="K68" s="44">
        <v>0.02</v>
      </c>
      <c r="L68" s="27">
        <v>945</v>
      </c>
      <c r="M68" s="27">
        <f t="shared" si="25"/>
        <v>1543.9</v>
      </c>
      <c r="N68" s="27">
        <f t="shared" si="26"/>
        <v>108.073</v>
      </c>
      <c r="O68" s="27">
        <f t="shared" si="27"/>
        <v>148.67757</v>
      </c>
      <c r="P68" s="88" t="s">
        <v>164</v>
      </c>
    </row>
    <row r="69" s="62" customFormat="1" ht="48" outlineLevel="3" spans="1:16">
      <c r="A69" s="80" t="s">
        <v>186</v>
      </c>
      <c r="B69" s="77" t="s">
        <v>75</v>
      </c>
      <c r="C69" s="81" t="s">
        <v>131</v>
      </c>
      <c r="D69" s="82" t="s">
        <v>73</v>
      </c>
      <c r="E69" s="83">
        <v>10.78</v>
      </c>
      <c r="F69" s="79">
        <f t="shared" si="17"/>
        <v>34.032634</v>
      </c>
      <c r="G69" s="79">
        <f t="shared" si="18"/>
        <v>366.87179452</v>
      </c>
      <c r="H69" s="27">
        <v>15</v>
      </c>
      <c r="I69" s="27">
        <v>5</v>
      </c>
      <c r="J69" s="27">
        <v>0</v>
      </c>
      <c r="K69" s="44">
        <v>0.02</v>
      </c>
      <c r="L69" s="27">
        <v>9</v>
      </c>
      <c r="M69" s="27">
        <f t="shared" si="25"/>
        <v>29.18</v>
      </c>
      <c r="N69" s="27">
        <f t="shared" si="26"/>
        <v>2.0426</v>
      </c>
      <c r="O69" s="27">
        <f t="shared" si="27"/>
        <v>2.810034</v>
      </c>
      <c r="P69" s="85" t="s">
        <v>50</v>
      </c>
    </row>
    <row r="70" s="62" customFormat="1" outlineLevel="2" spans="1:16">
      <c r="A70" s="80" t="s">
        <v>187</v>
      </c>
      <c r="B70" s="77" t="s">
        <v>79</v>
      </c>
      <c r="C70" s="81"/>
      <c r="D70" s="82"/>
      <c r="E70" s="83"/>
      <c r="F70" s="79"/>
      <c r="G70" s="79"/>
      <c r="H70" s="84"/>
      <c r="I70" s="84"/>
      <c r="J70" s="84"/>
      <c r="K70" s="87"/>
      <c r="L70" s="84"/>
      <c r="M70" s="84"/>
      <c r="N70" s="84"/>
      <c r="O70" s="84"/>
      <c r="P70" s="86"/>
    </row>
    <row r="71" s="62" customFormat="1" ht="105.6" outlineLevel="3" spans="1:16">
      <c r="A71" s="80" t="s">
        <v>188</v>
      </c>
      <c r="B71" s="77" t="s">
        <v>80</v>
      </c>
      <c r="C71" s="81" t="s">
        <v>134</v>
      </c>
      <c r="D71" s="82" t="s">
        <v>42</v>
      </c>
      <c r="E71" s="83">
        <v>8.64</v>
      </c>
      <c r="F71" s="79">
        <f t="shared" si="17"/>
        <v>178.607182</v>
      </c>
      <c r="G71" s="79">
        <f t="shared" si="18"/>
        <v>1543.16605248</v>
      </c>
      <c r="H71" s="27">
        <v>65</v>
      </c>
      <c r="I71" s="27">
        <v>30</v>
      </c>
      <c r="J71" s="27">
        <v>0</v>
      </c>
      <c r="K71" s="44">
        <v>0.02</v>
      </c>
      <c r="L71" s="27">
        <v>57</v>
      </c>
      <c r="M71" s="27">
        <f t="shared" ref="M71:M78" si="28">H71+I71+J71+L71*(1+K71)</f>
        <v>153.14</v>
      </c>
      <c r="N71" s="27">
        <f t="shared" ref="N71:N78" si="29">M71*$N$6</f>
        <v>10.7198</v>
      </c>
      <c r="O71" s="27">
        <f t="shared" ref="O71:O78" si="30">(M71+N71)*$O$6</f>
        <v>14.747382</v>
      </c>
      <c r="P71" s="86" t="s">
        <v>82</v>
      </c>
    </row>
    <row r="72" s="62" customFormat="1" outlineLevel="2" spans="1:16">
      <c r="A72" s="80" t="s">
        <v>189</v>
      </c>
      <c r="B72" s="77" t="s">
        <v>87</v>
      </c>
      <c r="C72" s="81"/>
      <c r="D72" s="82"/>
      <c r="E72" s="83"/>
      <c r="F72" s="79"/>
      <c r="G72" s="79"/>
      <c r="H72" s="84"/>
      <c r="I72" s="84"/>
      <c r="J72" s="84"/>
      <c r="K72" s="87"/>
      <c r="L72" s="84"/>
      <c r="M72" s="84"/>
      <c r="N72" s="84"/>
      <c r="O72" s="84"/>
      <c r="P72" s="86"/>
    </row>
    <row r="73" s="62" customFormat="1" ht="57.6" outlineLevel="3" spans="1:16">
      <c r="A73" s="80" t="s">
        <v>190</v>
      </c>
      <c r="B73" s="77" t="s">
        <v>97</v>
      </c>
      <c r="C73" s="81" t="s">
        <v>191</v>
      </c>
      <c r="D73" s="82" t="s">
        <v>42</v>
      </c>
      <c r="E73" s="83">
        <v>16.46</v>
      </c>
      <c r="F73" s="79">
        <f t="shared" ref="F73:F104" si="31">M73+N73+O73</f>
        <v>73.71016</v>
      </c>
      <c r="G73" s="79">
        <f t="shared" ref="G73:G104" si="32">E73*F73</f>
        <v>1213.2692336</v>
      </c>
      <c r="H73" s="84">
        <v>18</v>
      </c>
      <c r="I73" s="84">
        <v>4</v>
      </c>
      <c r="J73" s="84">
        <v>0</v>
      </c>
      <c r="K73" s="44">
        <v>0.03</v>
      </c>
      <c r="L73" s="84">
        <v>40</v>
      </c>
      <c r="M73" s="27">
        <f t="shared" si="28"/>
        <v>63.2</v>
      </c>
      <c r="N73" s="27">
        <f t="shared" si="29"/>
        <v>4.424</v>
      </c>
      <c r="O73" s="27">
        <f t="shared" si="30"/>
        <v>6.08616</v>
      </c>
      <c r="P73" s="86" t="s">
        <v>50</v>
      </c>
    </row>
    <row r="74" s="62" customFormat="1" ht="57.6" outlineLevel="3" spans="1:16">
      <c r="A74" s="80" t="s">
        <v>192</v>
      </c>
      <c r="B74" s="77" t="s">
        <v>143</v>
      </c>
      <c r="C74" s="81" t="s">
        <v>193</v>
      </c>
      <c r="D74" s="82" t="s">
        <v>42</v>
      </c>
      <c r="E74" s="83">
        <v>7.75</v>
      </c>
      <c r="F74" s="79">
        <f t="shared" si="31"/>
        <v>371.00003</v>
      </c>
      <c r="G74" s="79">
        <f t="shared" si="32"/>
        <v>2875.2502325</v>
      </c>
      <c r="H74" s="84">
        <v>200</v>
      </c>
      <c r="I74" s="84">
        <v>45</v>
      </c>
      <c r="J74" s="84">
        <v>0</v>
      </c>
      <c r="K74" s="44">
        <v>0.02</v>
      </c>
      <c r="L74" s="84">
        <v>71.6666666666667</v>
      </c>
      <c r="M74" s="27">
        <f t="shared" si="28"/>
        <v>318.1</v>
      </c>
      <c r="N74" s="27">
        <f t="shared" si="29"/>
        <v>22.267</v>
      </c>
      <c r="O74" s="27">
        <f t="shared" si="30"/>
        <v>30.63303</v>
      </c>
      <c r="P74" s="86" t="s">
        <v>50</v>
      </c>
    </row>
    <row r="75" s="62" customFormat="1" ht="38.4" outlineLevel="3" spans="1:16">
      <c r="A75" s="80" t="s">
        <v>194</v>
      </c>
      <c r="B75" s="77" t="s">
        <v>195</v>
      </c>
      <c r="C75" s="81" t="s">
        <v>196</v>
      </c>
      <c r="D75" s="82" t="s">
        <v>42</v>
      </c>
      <c r="E75" s="83">
        <v>0.36</v>
      </c>
      <c r="F75" s="79">
        <f t="shared" si="31"/>
        <v>1801.746892</v>
      </c>
      <c r="G75" s="79">
        <f t="shared" si="32"/>
        <v>648.62888112</v>
      </c>
      <c r="H75" s="84">
        <v>290</v>
      </c>
      <c r="I75" s="84">
        <v>90</v>
      </c>
      <c r="J75" s="84">
        <v>0</v>
      </c>
      <c r="K75" s="44">
        <v>0.02</v>
      </c>
      <c r="L75" s="84">
        <v>1142</v>
      </c>
      <c r="M75" s="27">
        <f t="shared" si="28"/>
        <v>1544.84</v>
      </c>
      <c r="N75" s="27">
        <f t="shared" si="29"/>
        <v>108.1388</v>
      </c>
      <c r="O75" s="27">
        <f t="shared" si="30"/>
        <v>148.768092</v>
      </c>
      <c r="P75" s="86" t="s">
        <v>91</v>
      </c>
    </row>
    <row r="76" s="62" customFormat="1" ht="67.2" outlineLevel="3" spans="1:16">
      <c r="A76" s="80" t="s">
        <v>197</v>
      </c>
      <c r="B76" s="77" t="s">
        <v>154</v>
      </c>
      <c r="C76" s="81" t="s">
        <v>155</v>
      </c>
      <c r="D76" s="82" t="s">
        <v>73</v>
      </c>
      <c r="E76" s="83">
        <v>1.46</v>
      </c>
      <c r="F76" s="79">
        <f t="shared" si="31"/>
        <v>205.327115</v>
      </c>
      <c r="G76" s="79">
        <f t="shared" si="32"/>
        <v>299.7775879</v>
      </c>
      <c r="H76" s="84">
        <v>50</v>
      </c>
      <c r="I76" s="84">
        <v>8.75</v>
      </c>
      <c r="J76" s="84">
        <v>0</v>
      </c>
      <c r="K76" s="44">
        <v>0.02</v>
      </c>
      <c r="L76" s="84">
        <v>115</v>
      </c>
      <c r="M76" s="27">
        <f t="shared" si="28"/>
        <v>176.05</v>
      </c>
      <c r="N76" s="27">
        <f t="shared" si="29"/>
        <v>12.3235</v>
      </c>
      <c r="O76" s="27">
        <f t="shared" si="30"/>
        <v>16.953615</v>
      </c>
      <c r="P76" s="86" t="s">
        <v>50</v>
      </c>
    </row>
    <row r="77" s="62" customFormat="1" ht="28.8" outlineLevel="3" spans="1:16">
      <c r="A77" s="80" t="s">
        <v>198</v>
      </c>
      <c r="B77" s="77" t="s">
        <v>121</v>
      </c>
      <c r="C77" s="81" t="s">
        <v>122</v>
      </c>
      <c r="D77" s="82" t="s">
        <v>73</v>
      </c>
      <c r="E77" s="83">
        <v>5.76</v>
      </c>
      <c r="F77" s="79">
        <f t="shared" si="31"/>
        <v>156.354178</v>
      </c>
      <c r="G77" s="79">
        <f t="shared" si="32"/>
        <v>900.60006528</v>
      </c>
      <c r="H77" s="84">
        <v>45</v>
      </c>
      <c r="I77" s="84">
        <v>9.5</v>
      </c>
      <c r="J77" s="84">
        <v>0</v>
      </c>
      <c r="K77" s="44">
        <v>0.02</v>
      </c>
      <c r="L77" s="84">
        <v>78</v>
      </c>
      <c r="M77" s="27">
        <f t="shared" si="28"/>
        <v>134.06</v>
      </c>
      <c r="N77" s="27">
        <f t="shared" si="29"/>
        <v>9.3842</v>
      </c>
      <c r="O77" s="27">
        <f t="shared" si="30"/>
        <v>12.909978</v>
      </c>
      <c r="P77" s="85" t="s">
        <v>50</v>
      </c>
    </row>
    <row r="78" s="62" customFormat="1" ht="28.8" outlineLevel="3" spans="1:16">
      <c r="A78" s="80" t="s">
        <v>199</v>
      </c>
      <c r="B78" s="77" t="s">
        <v>158</v>
      </c>
      <c r="C78" s="81" t="s">
        <v>122</v>
      </c>
      <c r="D78" s="82" t="s">
        <v>73</v>
      </c>
      <c r="E78" s="83">
        <v>4.18</v>
      </c>
      <c r="F78" s="79">
        <f t="shared" si="31"/>
        <v>135.05754</v>
      </c>
      <c r="G78" s="79">
        <f t="shared" si="32"/>
        <v>564.5405172</v>
      </c>
      <c r="H78" s="84">
        <v>40</v>
      </c>
      <c r="I78" s="84">
        <v>9.5</v>
      </c>
      <c r="J78" s="84">
        <v>0</v>
      </c>
      <c r="K78" s="44">
        <v>0.02</v>
      </c>
      <c r="L78" s="84">
        <v>65</v>
      </c>
      <c r="M78" s="27">
        <f t="shared" si="28"/>
        <v>115.8</v>
      </c>
      <c r="N78" s="27">
        <f t="shared" si="29"/>
        <v>8.106</v>
      </c>
      <c r="O78" s="27">
        <f t="shared" si="30"/>
        <v>11.15154</v>
      </c>
      <c r="P78" s="85" t="s">
        <v>50</v>
      </c>
    </row>
    <row r="79" outlineLevel="1" spans="1:16">
      <c r="A79" s="76" t="s">
        <v>200</v>
      </c>
      <c r="B79" s="77" t="s">
        <v>201</v>
      </c>
      <c r="C79" s="78"/>
      <c r="D79" s="77"/>
      <c r="E79" s="79"/>
      <c r="F79" s="79"/>
      <c r="G79" s="79"/>
      <c r="H79" s="27"/>
      <c r="I79" s="27"/>
      <c r="J79" s="27"/>
      <c r="K79" s="44"/>
      <c r="L79" s="27"/>
      <c r="M79" s="27"/>
      <c r="N79" s="27"/>
      <c r="O79" s="27"/>
      <c r="P79" s="85"/>
    </row>
    <row r="80" s="64" customFormat="1" ht="14.4" outlineLevel="2" spans="1:16">
      <c r="A80" s="76" t="s">
        <v>202</v>
      </c>
      <c r="B80" s="77" t="s">
        <v>57</v>
      </c>
      <c r="C80" s="78"/>
      <c r="D80" s="77"/>
      <c r="E80" s="79"/>
      <c r="F80" s="79"/>
      <c r="G80" s="79"/>
      <c r="H80" s="27"/>
      <c r="I80" s="27"/>
      <c r="J80" s="27"/>
      <c r="K80" s="44"/>
      <c r="L80" s="27"/>
      <c r="M80" s="27"/>
      <c r="N80" s="27"/>
      <c r="O80" s="27"/>
      <c r="P80" s="85"/>
    </row>
    <row r="81" s="62" customFormat="1" ht="96" outlineLevel="3" spans="1:16">
      <c r="A81" s="80" t="s">
        <v>203</v>
      </c>
      <c r="B81" s="77" t="s">
        <v>59</v>
      </c>
      <c r="C81" s="81" t="s">
        <v>204</v>
      </c>
      <c r="D81" s="82" t="s">
        <v>42</v>
      </c>
      <c r="E81" s="83">
        <v>3.46</v>
      </c>
      <c r="F81" s="79">
        <f t="shared" si="31"/>
        <v>239.32476</v>
      </c>
      <c r="G81" s="79">
        <f t="shared" si="32"/>
        <v>828.0636696</v>
      </c>
      <c r="H81" s="27">
        <v>60</v>
      </c>
      <c r="I81" s="27">
        <v>33</v>
      </c>
      <c r="J81" s="27">
        <v>0</v>
      </c>
      <c r="K81" s="44">
        <v>0.02</v>
      </c>
      <c r="L81" s="27">
        <v>110</v>
      </c>
      <c r="M81" s="27">
        <f t="shared" ref="M81:M83" si="33">H81+I81+J81+L81*(1+K81)</f>
        <v>205.2</v>
      </c>
      <c r="N81" s="27">
        <f t="shared" ref="N81:N83" si="34">M81*$N$6</f>
        <v>14.364</v>
      </c>
      <c r="O81" s="27">
        <f t="shared" ref="O81:O83" si="35">(M81+N81)*$O$6</f>
        <v>19.76076</v>
      </c>
      <c r="P81" s="88" t="s">
        <v>61</v>
      </c>
    </row>
    <row r="82" s="62" customFormat="1" ht="96" outlineLevel="3" spans="1:16">
      <c r="A82" s="80" t="s">
        <v>205</v>
      </c>
      <c r="B82" s="77" t="s">
        <v>206</v>
      </c>
      <c r="C82" s="81" t="s">
        <v>207</v>
      </c>
      <c r="D82" s="82" t="s">
        <v>42</v>
      </c>
      <c r="E82" s="83">
        <v>1.26</v>
      </c>
      <c r="F82" s="79">
        <f t="shared" si="31"/>
        <v>625.1368</v>
      </c>
      <c r="G82" s="79">
        <f t="shared" si="32"/>
        <v>787.672368</v>
      </c>
      <c r="H82" s="27">
        <v>80</v>
      </c>
      <c r="I82" s="27">
        <v>150</v>
      </c>
      <c r="J82" s="27">
        <v>0</v>
      </c>
      <c r="K82" s="44">
        <v>0.02</v>
      </c>
      <c r="L82" s="27">
        <v>300</v>
      </c>
      <c r="M82" s="27">
        <f t="shared" si="33"/>
        <v>536</v>
      </c>
      <c r="N82" s="27">
        <f t="shared" si="34"/>
        <v>37.52</v>
      </c>
      <c r="O82" s="27">
        <f t="shared" si="35"/>
        <v>51.6168</v>
      </c>
      <c r="P82" s="86" t="s">
        <v>50</v>
      </c>
    </row>
    <row r="83" s="62" customFormat="1" ht="67.2" outlineLevel="3" spans="1:16">
      <c r="A83" s="80" t="s">
        <v>208</v>
      </c>
      <c r="B83" s="77" t="s">
        <v>63</v>
      </c>
      <c r="C83" s="81" t="s">
        <v>155</v>
      </c>
      <c r="D83" s="82" t="s">
        <v>42</v>
      </c>
      <c r="E83" s="83">
        <v>0.12</v>
      </c>
      <c r="F83" s="79">
        <f t="shared" si="31"/>
        <v>1509.1922</v>
      </c>
      <c r="G83" s="79">
        <f t="shared" si="32"/>
        <v>181.103064</v>
      </c>
      <c r="H83" s="27">
        <v>545</v>
      </c>
      <c r="I83" s="27">
        <v>35</v>
      </c>
      <c r="J83" s="27">
        <v>0</v>
      </c>
      <c r="K83" s="44">
        <v>0.02</v>
      </c>
      <c r="L83" s="27">
        <v>700</v>
      </c>
      <c r="M83" s="27">
        <f t="shared" si="33"/>
        <v>1294</v>
      </c>
      <c r="N83" s="27">
        <f t="shared" si="34"/>
        <v>90.58</v>
      </c>
      <c r="O83" s="27">
        <f t="shared" si="35"/>
        <v>124.6122</v>
      </c>
      <c r="P83" s="88" t="s">
        <v>164</v>
      </c>
    </row>
    <row r="84" s="62" customFormat="1" outlineLevel="2" spans="1:16">
      <c r="A84" s="80" t="s">
        <v>209</v>
      </c>
      <c r="B84" s="77" t="s">
        <v>79</v>
      </c>
      <c r="C84" s="81"/>
      <c r="D84" s="82"/>
      <c r="E84" s="83"/>
      <c r="F84" s="79"/>
      <c r="G84" s="79"/>
      <c r="H84" s="84"/>
      <c r="I84" s="84"/>
      <c r="J84" s="84"/>
      <c r="K84" s="87"/>
      <c r="L84" s="84"/>
      <c r="M84" s="84"/>
      <c r="N84" s="84"/>
      <c r="O84" s="84"/>
      <c r="P84" s="86"/>
    </row>
    <row r="85" s="62" customFormat="1" ht="105.6" outlineLevel="3" spans="1:16">
      <c r="A85" s="80" t="s">
        <v>210</v>
      </c>
      <c r="B85" s="77" t="s">
        <v>80</v>
      </c>
      <c r="C85" s="81" t="s">
        <v>211</v>
      </c>
      <c r="D85" s="82" t="s">
        <v>42</v>
      </c>
      <c r="E85" s="83">
        <v>5.12</v>
      </c>
      <c r="F85" s="79">
        <f t="shared" si="31"/>
        <v>178.607182</v>
      </c>
      <c r="G85" s="79">
        <f t="shared" si="32"/>
        <v>914.46877184</v>
      </c>
      <c r="H85" s="27">
        <v>65</v>
      </c>
      <c r="I85" s="27">
        <v>30</v>
      </c>
      <c r="J85" s="27">
        <v>0</v>
      </c>
      <c r="K85" s="44">
        <v>0.02</v>
      </c>
      <c r="L85" s="27">
        <v>57</v>
      </c>
      <c r="M85" s="27">
        <f t="shared" ref="M85:M94" si="36">H85+I85+J85+L85*(1+K85)</f>
        <v>153.14</v>
      </c>
      <c r="N85" s="27">
        <f t="shared" ref="N85:N94" si="37">M85*$N$6</f>
        <v>10.7198</v>
      </c>
      <c r="O85" s="27">
        <f t="shared" ref="O85:O94" si="38">(M85+N85)*$O$6</f>
        <v>14.747382</v>
      </c>
      <c r="P85" s="86" t="s">
        <v>82</v>
      </c>
    </row>
    <row r="86" s="64" customFormat="1" ht="14.4" outlineLevel="2" spans="1:16">
      <c r="A86" s="76" t="s">
        <v>212</v>
      </c>
      <c r="B86" s="77" t="s">
        <v>87</v>
      </c>
      <c r="C86" s="78"/>
      <c r="D86" s="77"/>
      <c r="E86" s="79"/>
      <c r="F86" s="79"/>
      <c r="G86" s="79"/>
      <c r="H86" s="27"/>
      <c r="I86" s="27"/>
      <c r="J86" s="27"/>
      <c r="K86" s="44"/>
      <c r="L86" s="27"/>
      <c r="M86" s="27"/>
      <c r="N86" s="27"/>
      <c r="O86" s="27"/>
      <c r="P86" s="85"/>
    </row>
    <row r="87" s="62" customFormat="1" ht="76.8" outlineLevel="3" spans="1:16">
      <c r="A87" s="80" t="s">
        <v>213</v>
      </c>
      <c r="B87" s="77" t="s">
        <v>214</v>
      </c>
      <c r="C87" s="81" t="s">
        <v>215</v>
      </c>
      <c r="D87" s="82" t="s">
        <v>42</v>
      </c>
      <c r="E87" s="83">
        <v>19.96</v>
      </c>
      <c r="F87" s="79">
        <f t="shared" si="31"/>
        <v>291.80826</v>
      </c>
      <c r="G87" s="79">
        <f t="shared" si="32"/>
        <v>5824.4928696</v>
      </c>
      <c r="H87" s="27">
        <v>75</v>
      </c>
      <c r="I87" s="27">
        <v>33</v>
      </c>
      <c r="J87" s="27">
        <v>30</v>
      </c>
      <c r="K87" s="44">
        <v>0.02</v>
      </c>
      <c r="L87" s="27">
        <v>110</v>
      </c>
      <c r="M87" s="27">
        <f t="shared" si="36"/>
        <v>250.2</v>
      </c>
      <c r="N87" s="27">
        <f t="shared" si="37"/>
        <v>17.514</v>
      </c>
      <c r="O87" s="27">
        <f t="shared" si="38"/>
        <v>24.09426</v>
      </c>
      <c r="P87" s="88" t="s">
        <v>216</v>
      </c>
    </row>
    <row r="88" ht="57.6" outlineLevel="3" spans="1:16">
      <c r="A88" s="80" t="s">
        <v>217</v>
      </c>
      <c r="B88" s="77" t="s">
        <v>218</v>
      </c>
      <c r="C88" s="78" t="s">
        <v>219</v>
      </c>
      <c r="D88" s="77" t="s">
        <v>42</v>
      </c>
      <c r="E88" s="79">
        <v>6.72</v>
      </c>
      <c r="F88" s="79">
        <f t="shared" si="31"/>
        <v>1432.68292</v>
      </c>
      <c r="G88" s="79">
        <f t="shared" si="32"/>
        <v>9627.6292224</v>
      </c>
      <c r="H88" s="84">
        <v>200</v>
      </c>
      <c r="I88" s="84">
        <v>80</v>
      </c>
      <c r="J88" s="84">
        <v>10</v>
      </c>
      <c r="K88" s="44">
        <v>0.02</v>
      </c>
      <c r="L88" s="84">
        <v>920</v>
      </c>
      <c r="M88" s="27">
        <f t="shared" si="36"/>
        <v>1228.4</v>
      </c>
      <c r="N88" s="27">
        <f t="shared" si="37"/>
        <v>85.988</v>
      </c>
      <c r="O88" s="27">
        <f t="shared" si="38"/>
        <v>118.29492</v>
      </c>
      <c r="P88" s="85" t="s">
        <v>50</v>
      </c>
    </row>
    <row r="89" s="62" customFormat="1" ht="38.4" outlineLevel="3" spans="1:16">
      <c r="A89" s="80" t="s">
        <v>220</v>
      </c>
      <c r="B89" s="77" t="s">
        <v>221</v>
      </c>
      <c r="C89" s="81" t="s">
        <v>222</v>
      </c>
      <c r="D89" s="82" t="s">
        <v>42</v>
      </c>
      <c r="E89" s="83">
        <v>0.96</v>
      </c>
      <c r="F89" s="79">
        <f t="shared" si="31"/>
        <v>546.41155</v>
      </c>
      <c r="G89" s="79">
        <f t="shared" si="32"/>
        <v>524.555088</v>
      </c>
      <c r="H89" s="84">
        <v>80</v>
      </c>
      <c r="I89" s="84">
        <v>30</v>
      </c>
      <c r="J89" s="84">
        <v>1.5</v>
      </c>
      <c r="K89" s="44">
        <v>0.02</v>
      </c>
      <c r="L89" s="84">
        <v>350</v>
      </c>
      <c r="M89" s="27">
        <f t="shared" si="36"/>
        <v>468.5</v>
      </c>
      <c r="N89" s="27">
        <f t="shared" si="37"/>
        <v>32.795</v>
      </c>
      <c r="O89" s="27">
        <f t="shared" si="38"/>
        <v>45.11655</v>
      </c>
      <c r="P89" s="85" t="s">
        <v>223</v>
      </c>
    </row>
    <row r="90" s="62" customFormat="1" ht="28.8" outlineLevel="3" spans="1:16">
      <c r="A90" s="80" t="s">
        <v>224</v>
      </c>
      <c r="B90" s="77" t="s">
        <v>121</v>
      </c>
      <c r="C90" s="81" t="s">
        <v>122</v>
      </c>
      <c r="D90" s="82" t="s">
        <v>73</v>
      </c>
      <c r="E90" s="83">
        <v>0.85</v>
      </c>
      <c r="F90" s="79">
        <f t="shared" si="31"/>
        <v>156.354178</v>
      </c>
      <c r="G90" s="79">
        <f t="shared" si="32"/>
        <v>132.9010513</v>
      </c>
      <c r="H90" s="84">
        <v>45</v>
      </c>
      <c r="I90" s="84">
        <v>9.5</v>
      </c>
      <c r="J90" s="84">
        <v>0</v>
      </c>
      <c r="K90" s="44">
        <v>0.02</v>
      </c>
      <c r="L90" s="84">
        <v>78</v>
      </c>
      <c r="M90" s="27">
        <f t="shared" si="36"/>
        <v>134.06</v>
      </c>
      <c r="N90" s="27">
        <f t="shared" si="37"/>
        <v>9.3842</v>
      </c>
      <c r="O90" s="27">
        <f t="shared" si="38"/>
        <v>12.909978</v>
      </c>
      <c r="P90" s="85" t="s">
        <v>50</v>
      </c>
    </row>
    <row r="91" s="62" customFormat="1" ht="28.8" outlineLevel="3" spans="1:16">
      <c r="A91" s="80" t="s">
        <v>225</v>
      </c>
      <c r="B91" s="77" t="s">
        <v>158</v>
      </c>
      <c r="C91" s="81" t="s">
        <v>122</v>
      </c>
      <c r="D91" s="82" t="s">
        <v>73</v>
      </c>
      <c r="E91" s="83">
        <v>2.68</v>
      </c>
      <c r="F91" s="79">
        <f t="shared" si="31"/>
        <v>135.05754</v>
      </c>
      <c r="G91" s="79">
        <f t="shared" si="32"/>
        <v>361.9542072</v>
      </c>
      <c r="H91" s="84">
        <v>40</v>
      </c>
      <c r="I91" s="84">
        <v>9.5</v>
      </c>
      <c r="J91" s="84">
        <v>0</v>
      </c>
      <c r="K91" s="44">
        <v>0.02</v>
      </c>
      <c r="L91" s="84">
        <v>65</v>
      </c>
      <c r="M91" s="27">
        <f t="shared" si="36"/>
        <v>115.8</v>
      </c>
      <c r="N91" s="27">
        <f t="shared" si="37"/>
        <v>8.106</v>
      </c>
      <c r="O91" s="27">
        <f t="shared" si="38"/>
        <v>11.15154</v>
      </c>
      <c r="P91" s="85" t="s">
        <v>50</v>
      </c>
    </row>
    <row r="92" s="62" customFormat="1" ht="38.4" outlineLevel="3" spans="1:16">
      <c r="A92" s="80" t="s">
        <v>226</v>
      </c>
      <c r="B92" s="77" t="s">
        <v>227</v>
      </c>
      <c r="C92" s="81" t="s">
        <v>228</v>
      </c>
      <c r="D92" s="82" t="s">
        <v>42</v>
      </c>
      <c r="E92" s="83">
        <v>2</v>
      </c>
      <c r="F92" s="79">
        <f t="shared" si="31"/>
        <v>412.8702</v>
      </c>
      <c r="G92" s="79">
        <f t="shared" si="32"/>
        <v>825.7404</v>
      </c>
      <c r="H92" s="84">
        <v>90</v>
      </c>
      <c r="I92" s="84">
        <v>60</v>
      </c>
      <c r="J92" s="84">
        <v>0</v>
      </c>
      <c r="K92" s="44">
        <v>0.02</v>
      </c>
      <c r="L92" s="84">
        <v>200</v>
      </c>
      <c r="M92" s="27">
        <f t="shared" si="36"/>
        <v>354</v>
      </c>
      <c r="N92" s="27">
        <f t="shared" si="37"/>
        <v>24.78</v>
      </c>
      <c r="O92" s="27">
        <f t="shared" si="38"/>
        <v>34.0902</v>
      </c>
      <c r="P92" s="86" t="s">
        <v>91</v>
      </c>
    </row>
    <row r="93" s="62" customFormat="1" ht="48" outlineLevel="3" spans="1:16">
      <c r="A93" s="80" t="s">
        <v>229</v>
      </c>
      <c r="B93" s="77" t="s">
        <v>230</v>
      </c>
      <c r="C93" s="81" t="s">
        <v>231</v>
      </c>
      <c r="D93" s="82" t="s">
        <v>42</v>
      </c>
      <c r="E93" s="83">
        <v>0.53</v>
      </c>
      <c r="F93" s="79">
        <f t="shared" si="31"/>
        <v>1709.119346</v>
      </c>
      <c r="G93" s="79">
        <f t="shared" si="32"/>
        <v>905.83325338</v>
      </c>
      <c r="H93" s="84">
        <v>326</v>
      </c>
      <c r="I93" s="84">
        <v>78</v>
      </c>
      <c r="J93" s="84">
        <v>20</v>
      </c>
      <c r="K93" s="44">
        <v>0.02</v>
      </c>
      <c r="L93" s="84">
        <v>1021</v>
      </c>
      <c r="M93" s="27">
        <f t="shared" si="36"/>
        <v>1465.42</v>
      </c>
      <c r="N93" s="27">
        <f t="shared" si="37"/>
        <v>102.5794</v>
      </c>
      <c r="O93" s="27">
        <f t="shared" si="38"/>
        <v>141.119946</v>
      </c>
      <c r="P93" s="86" t="s">
        <v>91</v>
      </c>
    </row>
    <row r="94" s="62" customFormat="1" ht="38.4" outlineLevel="3" spans="1:16">
      <c r="A94" s="80" t="s">
        <v>232</v>
      </c>
      <c r="B94" s="77" t="s">
        <v>115</v>
      </c>
      <c r="C94" s="81" t="s">
        <v>233</v>
      </c>
      <c r="D94" s="82" t="s">
        <v>42</v>
      </c>
      <c r="E94" s="83">
        <v>0.25</v>
      </c>
      <c r="F94" s="79">
        <f t="shared" si="31"/>
        <v>1816.97877</v>
      </c>
      <c r="G94" s="79">
        <f t="shared" si="32"/>
        <v>454.2446925</v>
      </c>
      <c r="H94" s="84">
        <v>300</v>
      </c>
      <c r="I94" s="84">
        <v>70</v>
      </c>
      <c r="J94" s="84">
        <v>20</v>
      </c>
      <c r="K94" s="44">
        <v>0.02</v>
      </c>
      <c r="L94" s="84">
        <v>1145</v>
      </c>
      <c r="M94" s="27">
        <f t="shared" si="36"/>
        <v>1557.9</v>
      </c>
      <c r="N94" s="27">
        <f t="shared" si="37"/>
        <v>109.053</v>
      </c>
      <c r="O94" s="27">
        <f t="shared" si="38"/>
        <v>150.02577</v>
      </c>
      <c r="P94" s="86" t="s">
        <v>91</v>
      </c>
    </row>
    <row r="95" outlineLevel="2" spans="1:16">
      <c r="A95" s="76" t="s">
        <v>234</v>
      </c>
      <c r="B95" s="77" t="s">
        <v>235</v>
      </c>
      <c r="C95" s="78"/>
      <c r="D95" s="77"/>
      <c r="E95" s="79"/>
      <c r="F95" s="79"/>
      <c r="G95" s="79"/>
      <c r="H95" s="27"/>
      <c r="I95" s="27"/>
      <c r="J95" s="27"/>
      <c r="K95" s="44"/>
      <c r="L95" s="27"/>
      <c r="M95" s="27"/>
      <c r="N95" s="27"/>
      <c r="O95" s="27"/>
      <c r="P95" s="85"/>
    </row>
    <row r="96" s="62" customFormat="1" outlineLevel="2" spans="1:16">
      <c r="A96" s="80" t="s">
        <v>236</v>
      </c>
      <c r="B96" s="77" t="s">
        <v>57</v>
      </c>
      <c r="C96" s="81"/>
      <c r="D96" s="82"/>
      <c r="E96" s="83"/>
      <c r="F96" s="79"/>
      <c r="G96" s="79"/>
      <c r="H96" s="84"/>
      <c r="I96" s="84"/>
      <c r="J96" s="84"/>
      <c r="K96" s="87"/>
      <c r="L96" s="84"/>
      <c r="M96" s="84"/>
      <c r="N96" s="84"/>
      <c r="O96" s="84"/>
      <c r="P96" s="86"/>
    </row>
    <row r="97" s="62" customFormat="1" ht="67.2" outlineLevel="3" spans="1:16">
      <c r="A97" s="80" t="s">
        <v>237</v>
      </c>
      <c r="B97" s="77" t="s">
        <v>59</v>
      </c>
      <c r="C97" s="81" t="s">
        <v>60</v>
      </c>
      <c r="D97" s="82" t="s">
        <v>42</v>
      </c>
      <c r="E97" s="83">
        <v>3.76</v>
      </c>
      <c r="F97" s="79">
        <f t="shared" si="31"/>
        <v>239.32476</v>
      </c>
      <c r="G97" s="79">
        <f t="shared" si="32"/>
        <v>899.8610976</v>
      </c>
      <c r="H97" s="27">
        <v>60</v>
      </c>
      <c r="I97" s="27">
        <v>33</v>
      </c>
      <c r="J97" s="27">
        <v>0</v>
      </c>
      <c r="K97" s="44">
        <v>0.02</v>
      </c>
      <c r="L97" s="27">
        <v>110</v>
      </c>
      <c r="M97" s="27">
        <f t="shared" ref="M97:M100" si="39">H97+I97+J97+L97*(1+K97)</f>
        <v>205.2</v>
      </c>
      <c r="N97" s="27">
        <f t="shared" ref="N97:N100" si="40">M97*$N$6</f>
        <v>14.364</v>
      </c>
      <c r="O97" s="27">
        <f t="shared" ref="O97:O100" si="41">(M97+N97)*$O$6</f>
        <v>19.76076</v>
      </c>
      <c r="P97" s="88" t="s">
        <v>61</v>
      </c>
    </row>
    <row r="98" s="62" customFormat="1" ht="57.6" outlineLevel="3" spans="1:16">
      <c r="A98" s="80" t="s">
        <v>238</v>
      </c>
      <c r="B98" s="77" t="s">
        <v>239</v>
      </c>
      <c r="C98" s="81" t="s">
        <v>240</v>
      </c>
      <c r="D98" s="82" t="s">
        <v>42</v>
      </c>
      <c r="E98" s="83">
        <v>2.04</v>
      </c>
      <c r="F98" s="79">
        <f t="shared" si="31"/>
        <v>57.73185</v>
      </c>
      <c r="G98" s="79">
        <f t="shared" si="32"/>
        <v>117.772974</v>
      </c>
      <c r="H98" s="84">
        <v>14</v>
      </c>
      <c r="I98" s="84">
        <v>10</v>
      </c>
      <c r="J98" s="84">
        <v>0</v>
      </c>
      <c r="K98" s="44">
        <v>0.02</v>
      </c>
      <c r="L98" s="84">
        <v>25</v>
      </c>
      <c r="M98" s="27">
        <f t="shared" si="39"/>
        <v>49.5</v>
      </c>
      <c r="N98" s="27">
        <f t="shared" si="40"/>
        <v>3.465</v>
      </c>
      <c r="O98" s="27">
        <f t="shared" si="41"/>
        <v>4.76685</v>
      </c>
      <c r="P98" s="85" t="s">
        <v>241</v>
      </c>
    </row>
    <row r="99" s="62" customFormat="1" outlineLevel="2" spans="1:16">
      <c r="A99" s="80" t="s">
        <v>242</v>
      </c>
      <c r="B99" s="77" t="s">
        <v>79</v>
      </c>
      <c r="C99" s="81"/>
      <c r="D99" s="82"/>
      <c r="E99" s="83"/>
      <c r="F99" s="79"/>
      <c r="G99" s="79"/>
      <c r="H99" s="84"/>
      <c r="I99" s="84"/>
      <c r="J99" s="84"/>
      <c r="K99" s="87"/>
      <c r="L99" s="84"/>
      <c r="M99" s="84"/>
      <c r="N99" s="84"/>
      <c r="O99" s="84"/>
      <c r="P99" s="86"/>
    </row>
    <row r="100" s="62" customFormat="1" ht="105.6" outlineLevel="3" spans="1:16">
      <c r="A100" s="80" t="s">
        <v>243</v>
      </c>
      <c r="B100" s="77" t="s">
        <v>80</v>
      </c>
      <c r="C100" s="81" t="s">
        <v>211</v>
      </c>
      <c r="D100" s="82" t="s">
        <v>42</v>
      </c>
      <c r="E100" s="83">
        <v>5.56</v>
      </c>
      <c r="F100" s="79">
        <f t="shared" si="31"/>
        <v>178.607182</v>
      </c>
      <c r="G100" s="79">
        <f t="shared" si="32"/>
        <v>993.05593192</v>
      </c>
      <c r="H100" s="27">
        <v>65</v>
      </c>
      <c r="I100" s="27">
        <v>30</v>
      </c>
      <c r="J100" s="27">
        <v>0</v>
      </c>
      <c r="K100" s="44">
        <v>0.02</v>
      </c>
      <c r="L100" s="27">
        <v>57</v>
      </c>
      <c r="M100" s="27">
        <f t="shared" si="39"/>
        <v>153.14</v>
      </c>
      <c r="N100" s="27">
        <f t="shared" si="40"/>
        <v>10.7198</v>
      </c>
      <c r="O100" s="27">
        <f t="shared" si="41"/>
        <v>14.747382</v>
      </c>
      <c r="P100" s="86" t="s">
        <v>82</v>
      </c>
    </row>
    <row r="101" s="64" customFormat="1" ht="14.4" outlineLevel="2" spans="1:16">
      <c r="A101" s="76" t="s">
        <v>244</v>
      </c>
      <c r="B101" s="77" t="s">
        <v>87</v>
      </c>
      <c r="C101" s="78"/>
      <c r="D101" s="77"/>
      <c r="E101" s="79"/>
      <c r="F101" s="79"/>
      <c r="G101" s="79"/>
      <c r="H101" s="27"/>
      <c r="I101" s="27"/>
      <c r="J101" s="27"/>
      <c r="K101" s="44"/>
      <c r="L101" s="27"/>
      <c r="M101" s="27"/>
      <c r="N101" s="27"/>
      <c r="O101" s="27"/>
      <c r="P101" s="85"/>
    </row>
    <row r="102" s="62" customFormat="1" ht="76.8" outlineLevel="3" spans="1:16">
      <c r="A102" s="80" t="s">
        <v>245</v>
      </c>
      <c r="B102" s="77" t="s">
        <v>214</v>
      </c>
      <c r="C102" s="81" t="s">
        <v>215</v>
      </c>
      <c r="D102" s="82" t="s">
        <v>42</v>
      </c>
      <c r="E102" s="83">
        <v>17.75</v>
      </c>
      <c r="F102" s="79">
        <f t="shared" si="31"/>
        <v>291.80826</v>
      </c>
      <c r="G102" s="79">
        <f t="shared" si="32"/>
        <v>5179.596615</v>
      </c>
      <c r="H102" s="27">
        <v>75</v>
      </c>
      <c r="I102" s="27">
        <v>33</v>
      </c>
      <c r="J102" s="27">
        <v>30</v>
      </c>
      <c r="K102" s="44">
        <v>0.02</v>
      </c>
      <c r="L102" s="27">
        <v>110</v>
      </c>
      <c r="M102" s="27">
        <f t="shared" ref="M102:M105" si="42">H102+I102+J102+L102*(1+K102)</f>
        <v>250.2</v>
      </c>
      <c r="N102" s="27">
        <f t="shared" ref="N102:N105" si="43">M102*$N$6</f>
        <v>17.514</v>
      </c>
      <c r="O102" s="27">
        <f t="shared" ref="O102:O105" si="44">(M102+N102)*$O$6</f>
        <v>24.09426</v>
      </c>
      <c r="P102" s="88" t="s">
        <v>216</v>
      </c>
    </row>
    <row r="103" s="62" customFormat="1" ht="38.4" outlineLevel="3" spans="1:16">
      <c r="A103" s="80" t="s">
        <v>246</v>
      </c>
      <c r="B103" s="77" t="s">
        <v>247</v>
      </c>
      <c r="C103" s="81" t="s">
        <v>248</v>
      </c>
      <c r="D103" s="82" t="s">
        <v>42</v>
      </c>
      <c r="E103" s="83">
        <v>2.52</v>
      </c>
      <c r="F103" s="79">
        <f t="shared" si="31"/>
        <v>1739.489798</v>
      </c>
      <c r="G103" s="79">
        <f t="shared" si="32"/>
        <v>4383.51429096</v>
      </c>
      <c r="H103" s="84">
        <v>380</v>
      </c>
      <c r="I103" s="84">
        <v>68</v>
      </c>
      <c r="J103" s="84">
        <v>0</v>
      </c>
      <c r="K103" s="44">
        <v>0.02</v>
      </c>
      <c r="L103" s="84">
        <v>1023</v>
      </c>
      <c r="M103" s="27">
        <f t="shared" si="42"/>
        <v>1491.46</v>
      </c>
      <c r="N103" s="27">
        <f t="shared" si="43"/>
        <v>104.4022</v>
      </c>
      <c r="O103" s="27">
        <f t="shared" si="44"/>
        <v>143.627598</v>
      </c>
      <c r="P103" s="86" t="s">
        <v>91</v>
      </c>
    </row>
    <row r="104" s="62" customFormat="1" ht="28.8" outlineLevel="3" spans="1:16">
      <c r="A104" s="80" t="s">
        <v>249</v>
      </c>
      <c r="B104" s="77" t="s">
        <v>121</v>
      </c>
      <c r="C104" s="81" t="s">
        <v>122</v>
      </c>
      <c r="D104" s="82" t="s">
        <v>73</v>
      </c>
      <c r="E104" s="83">
        <v>3.52</v>
      </c>
      <c r="F104" s="79">
        <f t="shared" si="31"/>
        <v>156.354178</v>
      </c>
      <c r="G104" s="79">
        <f t="shared" si="32"/>
        <v>550.36670656</v>
      </c>
      <c r="H104" s="84">
        <v>45</v>
      </c>
      <c r="I104" s="84">
        <v>9.5</v>
      </c>
      <c r="J104" s="84">
        <v>0</v>
      </c>
      <c r="K104" s="44">
        <v>0.02</v>
      </c>
      <c r="L104" s="84">
        <v>78</v>
      </c>
      <c r="M104" s="27">
        <f t="shared" si="42"/>
        <v>134.06</v>
      </c>
      <c r="N104" s="27">
        <f t="shared" si="43"/>
        <v>9.3842</v>
      </c>
      <c r="O104" s="27">
        <f t="shared" si="44"/>
        <v>12.909978</v>
      </c>
      <c r="P104" s="85" t="s">
        <v>50</v>
      </c>
    </row>
    <row r="105" s="62" customFormat="1" ht="28.8" outlineLevel="3" spans="1:16">
      <c r="A105" s="80" t="s">
        <v>250</v>
      </c>
      <c r="B105" s="77" t="s">
        <v>158</v>
      </c>
      <c r="C105" s="81" t="s">
        <v>122</v>
      </c>
      <c r="D105" s="82" t="s">
        <v>73</v>
      </c>
      <c r="E105" s="83">
        <v>4.44</v>
      </c>
      <c r="F105" s="79">
        <f t="shared" ref="F105:F140" si="45">M105+N105+O105</f>
        <v>135.05754</v>
      </c>
      <c r="G105" s="79">
        <f t="shared" ref="G105:G140" si="46">E105*F105</f>
        <v>599.6554776</v>
      </c>
      <c r="H105" s="84">
        <v>40</v>
      </c>
      <c r="I105" s="84">
        <v>9.5</v>
      </c>
      <c r="J105" s="84">
        <v>0</v>
      </c>
      <c r="K105" s="44">
        <v>0.02</v>
      </c>
      <c r="L105" s="84">
        <v>65</v>
      </c>
      <c r="M105" s="27">
        <f t="shared" si="42"/>
        <v>115.8</v>
      </c>
      <c r="N105" s="27">
        <f t="shared" si="43"/>
        <v>8.106</v>
      </c>
      <c r="O105" s="27">
        <f t="shared" si="44"/>
        <v>11.15154</v>
      </c>
      <c r="P105" s="85" t="s">
        <v>50</v>
      </c>
    </row>
    <row r="106" s="62" customFormat="1" outlineLevel="1" spans="1:16">
      <c r="A106" s="80" t="s">
        <v>251</v>
      </c>
      <c r="B106" s="77" t="s">
        <v>252</v>
      </c>
      <c r="C106" s="81"/>
      <c r="D106" s="82"/>
      <c r="E106" s="83"/>
      <c r="F106" s="79"/>
      <c r="G106" s="79"/>
      <c r="H106" s="84"/>
      <c r="I106" s="84"/>
      <c r="J106" s="84"/>
      <c r="K106" s="87"/>
      <c r="L106" s="84"/>
      <c r="M106" s="84"/>
      <c r="N106" s="84"/>
      <c r="O106" s="84"/>
      <c r="P106" s="86"/>
    </row>
    <row r="107" s="62" customFormat="1" outlineLevel="2" spans="1:16">
      <c r="A107" s="80" t="s">
        <v>253</v>
      </c>
      <c r="B107" s="77" t="s">
        <v>57</v>
      </c>
      <c r="C107" s="81"/>
      <c r="D107" s="82"/>
      <c r="E107" s="83"/>
      <c r="F107" s="79"/>
      <c r="G107" s="79"/>
      <c r="H107" s="84"/>
      <c r="I107" s="84"/>
      <c r="J107" s="84"/>
      <c r="K107" s="87"/>
      <c r="L107" s="84"/>
      <c r="M107" s="84"/>
      <c r="N107" s="84"/>
      <c r="O107" s="84"/>
      <c r="P107" s="86"/>
    </row>
    <row r="108" s="62" customFormat="1" ht="67.2" outlineLevel="3" spans="1:16">
      <c r="A108" s="80" t="s">
        <v>254</v>
      </c>
      <c r="B108" s="77" t="s">
        <v>59</v>
      </c>
      <c r="C108" s="81" t="s">
        <v>60</v>
      </c>
      <c r="D108" s="82" t="s">
        <v>42</v>
      </c>
      <c r="E108" s="83">
        <v>11.37</v>
      </c>
      <c r="F108" s="79">
        <f t="shared" si="45"/>
        <v>239.32476</v>
      </c>
      <c r="G108" s="79">
        <f t="shared" si="46"/>
        <v>2721.1225212</v>
      </c>
      <c r="H108" s="27">
        <v>60</v>
      </c>
      <c r="I108" s="27">
        <v>33</v>
      </c>
      <c r="J108" s="27">
        <v>0</v>
      </c>
      <c r="K108" s="44">
        <v>0.02</v>
      </c>
      <c r="L108" s="27">
        <v>110</v>
      </c>
      <c r="M108" s="27">
        <f t="shared" ref="M108:M110" si="47">H108+I108+J108+L108*(1+K108)</f>
        <v>205.2</v>
      </c>
      <c r="N108" s="27">
        <f t="shared" ref="N108:N110" si="48">M108*$N$6</f>
        <v>14.364</v>
      </c>
      <c r="O108" s="27">
        <f t="shared" ref="O108:O110" si="49">(M108+N108)*$O$6</f>
        <v>19.76076</v>
      </c>
      <c r="P108" s="88" t="s">
        <v>61</v>
      </c>
    </row>
    <row r="109" s="62" customFormat="1" ht="67.2" outlineLevel="3" spans="1:16">
      <c r="A109" s="80" t="s">
        <v>255</v>
      </c>
      <c r="B109" s="77" t="s">
        <v>63</v>
      </c>
      <c r="C109" s="81" t="s">
        <v>64</v>
      </c>
      <c r="D109" s="82" t="s">
        <v>42</v>
      </c>
      <c r="E109" s="83">
        <v>0.36</v>
      </c>
      <c r="F109" s="79">
        <f t="shared" si="45"/>
        <v>957.205736</v>
      </c>
      <c r="G109" s="79">
        <f t="shared" si="46"/>
        <v>344.59406496</v>
      </c>
      <c r="H109" s="27">
        <v>545</v>
      </c>
      <c r="I109" s="27">
        <v>35</v>
      </c>
      <c r="J109" s="27">
        <v>0</v>
      </c>
      <c r="K109" s="44">
        <v>0.02</v>
      </c>
      <c r="L109" s="27">
        <v>236</v>
      </c>
      <c r="M109" s="27">
        <f t="shared" si="47"/>
        <v>820.72</v>
      </c>
      <c r="N109" s="27">
        <f t="shared" si="48"/>
        <v>57.4504</v>
      </c>
      <c r="O109" s="27">
        <f t="shared" si="49"/>
        <v>79.035336</v>
      </c>
      <c r="P109" s="88" t="s">
        <v>164</v>
      </c>
    </row>
    <row r="110" s="62" customFormat="1" ht="48" outlineLevel="3" spans="1:16">
      <c r="A110" s="80" t="s">
        <v>256</v>
      </c>
      <c r="B110" s="77" t="s">
        <v>75</v>
      </c>
      <c r="C110" s="81" t="s">
        <v>76</v>
      </c>
      <c r="D110" s="82" t="s">
        <v>73</v>
      </c>
      <c r="E110" s="83">
        <v>7.53</v>
      </c>
      <c r="F110" s="79">
        <f t="shared" si="45"/>
        <v>34.032634</v>
      </c>
      <c r="G110" s="79">
        <f t="shared" si="46"/>
        <v>256.26573402</v>
      </c>
      <c r="H110" s="27">
        <v>15</v>
      </c>
      <c r="I110" s="27">
        <v>5</v>
      </c>
      <c r="J110" s="27">
        <v>0</v>
      </c>
      <c r="K110" s="44">
        <v>0.02</v>
      </c>
      <c r="L110" s="27">
        <v>9</v>
      </c>
      <c r="M110" s="27">
        <f t="shared" si="47"/>
        <v>29.18</v>
      </c>
      <c r="N110" s="27">
        <f t="shared" si="48"/>
        <v>2.0426</v>
      </c>
      <c r="O110" s="27">
        <f t="shared" si="49"/>
        <v>2.810034</v>
      </c>
      <c r="P110" s="85" t="s">
        <v>50</v>
      </c>
    </row>
    <row r="111" s="62" customFormat="1" outlineLevel="2" spans="1:16">
      <c r="A111" s="80" t="s">
        <v>257</v>
      </c>
      <c r="B111" s="77" t="s">
        <v>79</v>
      </c>
      <c r="C111" s="81"/>
      <c r="D111" s="82"/>
      <c r="E111" s="83"/>
      <c r="F111" s="79"/>
      <c r="G111" s="79"/>
      <c r="H111" s="84"/>
      <c r="I111" s="84"/>
      <c r="J111" s="84"/>
      <c r="K111" s="87"/>
      <c r="L111" s="84"/>
      <c r="M111" s="84"/>
      <c r="N111" s="84"/>
      <c r="O111" s="84"/>
      <c r="P111" s="86"/>
    </row>
    <row r="112" s="62" customFormat="1" ht="105.6" outlineLevel="3" spans="1:16">
      <c r="A112" s="80" t="s">
        <v>258</v>
      </c>
      <c r="B112" s="77" t="s">
        <v>80</v>
      </c>
      <c r="C112" s="81" t="s">
        <v>134</v>
      </c>
      <c r="D112" s="82" t="s">
        <v>42</v>
      </c>
      <c r="E112" s="83">
        <v>11.43</v>
      </c>
      <c r="F112" s="79">
        <f t="shared" si="45"/>
        <v>178.607182</v>
      </c>
      <c r="G112" s="79">
        <f t="shared" si="46"/>
        <v>2041.48009026</v>
      </c>
      <c r="H112" s="27">
        <v>65</v>
      </c>
      <c r="I112" s="27">
        <v>30</v>
      </c>
      <c r="J112" s="27">
        <v>0</v>
      </c>
      <c r="K112" s="44">
        <v>0.02</v>
      </c>
      <c r="L112" s="27">
        <v>57</v>
      </c>
      <c r="M112" s="27">
        <f t="shared" ref="M112:M119" si="50">H112+I112+J112+L112*(1+K112)</f>
        <v>153.14</v>
      </c>
      <c r="N112" s="27">
        <f t="shared" ref="N112:N119" si="51">M112*$N$6</f>
        <v>10.7198</v>
      </c>
      <c r="O112" s="27">
        <f t="shared" ref="O112:O119" si="52">(M112+N112)*$O$6</f>
        <v>14.747382</v>
      </c>
      <c r="P112" s="86" t="s">
        <v>82</v>
      </c>
    </row>
    <row r="113" s="62" customFormat="1" outlineLevel="2" spans="1:16">
      <c r="A113" s="80" t="s">
        <v>259</v>
      </c>
      <c r="B113" s="77" t="s">
        <v>87</v>
      </c>
      <c r="C113" s="81"/>
      <c r="D113" s="82"/>
      <c r="E113" s="83"/>
      <c r="F113" s="79"/>
      <c r="G113" s="79"/>
      <c r="H113" s="84"/>
      <c r="I113" s="84"/>
      <c r="J113" s="84"/>
      <c r="K113" s="87"/>
      <c r="L113" s="84"/>
      <c r="M113" s="84"/>
      <c r="N113" s="84"/>
      <c r="O113" s="84"/>
      <c r="P113" s="86"/>
    </row>
    <row r="114" s="62" customFormat="1" ht="57.6" outlineLevel="3" spans="1:16">
      <c r="A114" s="80" t="s">
        <v>260</v>
      </c>
      <c r="B114" s="77" t="s">
        <v>97</v>
      </c>
      <c r="C114" s="81" t="s">
        <v>261</v>
      </c>
      <c r="D114" s="82" t="s">
        <v>42</v>
      </c>
      <c r="E114" s="83">
        <v>12.67</v>
      </c>
      <c r="F114" s="79">
        <f t="shared" si="45"/>
        <v>73.71016</v>
      </c>
      <c r="G114" s="79">
        <f t="shared" si="46"/>
        <v>933.9077272</v>
      </c>
      <c r="H114" s="84">
        <v>18</v>
      </c>
      <c r="I114" s="84">
        <v>4</v>
      </c>
      <c r="J114" s="84">
        <v>0</v>
      </c>
      <c r="K114" s="44">
        <v>0.03</v>
      </c>
      <c r="L114" s="84">
        <v>40</v>
      </c>
      <c r="M114" s="27">
        <f t="shared" si="50"/>
        <v>63.2</v>
      </c>
      <c r="N114" s="27">
        <f t="shared" si="51"/>
        <v>4.424</v>
      </c>
      <c r="O114" s="27">
        <f t="shared" si="52"/>
        <v>6.08616</v>
      </c>
      <c r="P114" s="85" t="s">
        <v>50</v>
      </c>
    </row>
    <row r="115" s="62" customFormat="1" ht="38.4" outlineLevel="3" spans="1:16">
      <c r="A115" s="80" t="s">
        <v>262</v>
      </c>
      <c r="B115" s="77" t="s">
        <v>115</v>
      </c>
      <c r="C115" s="81" t="s">
        <v>263</v>
      </c>
      <c r="D115" s="82" t="s">
        <v>42</v>
      </c>
      <c r="E115" s="83">
        <f>1.5+3.84</f>
        <v>5.34</v>
      </c>
      <c r="F115" s="79">
        <f t="shared" si="45"/>
        <v>1537.1834</v>
      </c>
      <c r="G115" s="79">
        <f t="shared" si="46"/>
        <v>8208.559356</v>
      </c>
      <c r="H115" s="84">
        <v>360</v>
      </c>
      <c r="I115" s="84">
        <v>40</v>
      </c>
      <c r="J115" s="84">
        <v>0</v>
      </c>
      <c r="K115" s="44">
        <v>0.02</v>
      </c>
      <c r="L115" s="84">
        <v>900</v>
      </c>
      <c r="M115" s="27">
        <f t="shared" si="50"/>
        <v>1318</v>
      </c>
      <c r="N115" s="27">
        <f t="shared" si="51"/>
        <v>92.26</v>
      </c>
      <c r="O115" s="27">
        <f t="shared" si="52"/>
        <v>126.9234</v>
      </c>
      <c r="P115" s="86" t="s">
        <v>91</v>
      </c>
    </row>
    <row r="116" s="62" customFormat="1" ht="48" outlineLevel="3" spans="1:16">
      <c r="A116" s="80" t="s">
        <v>264</v>
      </c>
      <c r="B116" s="77" t="s">
        <v>230</v>
      </c>
      <c r="C116" s="81" t="s">
        <v>265</v>
      </c>
      <c r="D116" s="82" t="s">
        <v>42</v>
      </c>
      <c r="E116" s="83">
        <v>0.89</v>
      </c>
      <c r="F116" s="79">
        <f t="shared" si="45"/>
        <v>1440.3805</v>
      </c>
      <c r="G116" s="79">
        <f t="shared" si="46"/>
        <v>1281.938645</v>
      </c>
      <c r="H116" s="84">
        <v>350</v>
      </c>
      <c r="I116" s="84">
        <v>69</v>
      </c>
      <c r="J116" s="84">
        <v>0</v>
      </c>
      <c r="K116" s="44">
        <v>0.02</v>
      </c>
      <c r="L116" s="84">
        <v>800</v>
      </c>
      <c r="M116" s="27">
        <f t="shared" si="50"/>
        <v>1235</v>
      </c>
      <c r="N116" s="27">
        <f t="shared" si="51"/>
        <v>86.45</v>
      </c>
      <c r="O116" s="27">
        <f t="shared" si="52"/>
        <v>118.9305</v>
      </c>
      <c r="P116" s="85" t="s">
        <v>91</v>
      </c>
    </row>
    <row r="117" s="62" customFormat="1" ht="67.2" outlineLevel="3" spans="1:16">
      <c r="A117" s="80" t="s">
        <v>266</v>
      </c>
      <c r="B117" s="77" t="s">
        <v>154</v>
      </c>
      <c r="C117" s="81" t="s">
        <v>155</v>
      </c>
      <c r="D117" s="82" t="s">
        <v>73</v>
      </c>
      <c r="E117" s="83">
        <v>5.35</v>
      </c>
      <c r="F117" s="79">
        <f t="shared" si="45"/>
        <v>205.327115</v>
      </c>
      <c r="G117" s="79">
        <f t="shared" si="46"/>
        <v>1098.50006525</v>
      </c>
      <c r="H117" s="84">
        <v>50</v>
      </c>
      <c r="I117" s="84">
        <v>8.75</v>
      </c>
      <c r="J117" s="84">
        <v>0</v>
      </c>
      <c r="K117" s="44">
        <v>0.02</v>
      </c>
      <c r="L117" s="84">
        <v>115</v>
      </c>
      <c r="M117" s="27">
        <f t="shared" si="50"/>
        <v>176.05</v>
      </c>
      <c r="N117" s="27">
        <f t="shared" si="51"/>
        <v>12.3235</v>
      </c>
      <c r="O117" s="27">
        <f t="shared" si="52"/>
        <v>16.953615</v>
      </c>
      <c r="P117" s="85" t="s">
        <v>50</v>
      </c>
    </row>
    <row r="118" s="62" customFormat="1" ht="28.8" outlineLevel="3" spans="1:16">
      <c r="A118" s="80" t="s">
        <v>267</v>
      </c>
      <c r="B118" s="77" t="s">
        <v>121</v>
      </c>
      <c r="C118" s="81" t="s">
        <v>122</v>
      </c>
      <c r="D118" s="82" t="s">
        <v>73</v>
      </c>
      <c r="E118" s="83">
        <v>14.2</v>
      </c>
      <c r="F118" s="79">
        <f t="shared" si="45"/>
        <v>156.354178</v>
      </c>
      <c r="G118" s="79">
        <f t="shared" si="46"/>
        <v>2220.2293276</v>
      </c>
      <c r="H118" s="84">
        <v>45</v>
      </c>
      <c r="I118" s="84">
        <v>9.5</v>
      </c>
      <c r="J118" s="84">
        <v>0</v>
      </c>
      <c r="K118" s="44">
        <v>0.02</v>
      </c>
      <c r="L118" s="84">
        <v>78</v>
      </c>
      <c r="M118" s="27">
        <f t="shared" si="50"/>
        <v>134.06</v>
      </c>
      <c r="N118" s="27">
        <f t="shared" si="51"/>
        <v>9.3842</v>
      </c>
      <c r="O118" s="27">
        <f t="shared" si="52"/>
        <v>12.909978</v>
      </c>
      <c r="P118" s="85" t="s">
        <v>50</v>
      </c>
    </row>
    <row r="119" s="62" customFormat="1" ht="28.8" outlineLevel="3" spans="1:16">
      <c r="A119" s="80" t="s">
        <v>268</v>
      </c>
      <c r="B119" s="77" t="s">
        <v>158</v>
      </c>
      <c r="C119" s="81" t="s">
        <v>122</v>
      </c>
      <c r="D119" s="82" t="s">
        <v>73</v>
      </c>
      <c r="E119" s="83">
        <v>9.1</v>
      </c>
      <c r="F119" s="79">
        <f t="shared" si="45"/>
        <v>135.05754</v>
      </c>
      <c r="G119" s="79">
        <f t="shared" si="46"/>
        <v>1229.023614</v>
      </c>
      <c r="H119" s="84">
        <v>40</v>
      </c>
      <c r="I119" s="84">
        <v>9.5</v>
      </c>
      <c r="J119" s="84">
        <v>0</v>
      </c>
      <c r="K119" s="44">
        <v>0.02</v>
      </c>
      <c r="L119" s="84">
        <v>65</v>
      </c>
      <c r="M119" s="27">
        <f t="shared" si="50"/>
        <v>115.8</v>
      </c>
      <c r="N119" s="27">
        <f t="shared" si="51"/>
        <v>8.106</v>
      </c>
      <c r="O119" s="27">
        <f t="shared" si="52"/>
        <v>11.15154</v>
      </c>
      <c r="P119" s="85" t="s">
        <v>50</v>
      </c>
    </row>
    <row r="120" s="61" customFormat="1" ht="28.8" spans="1:16">
      <c r="A120" s="73" t="s">
        <v>269</v>
      </c>
      <c r="B120" s="74" t="s">
        <v>270</v>
      </c>
      <c r="C120" s="75"/>
      <c r="D120" s="74"/>
      <c r="E120" s="21"/>
      <c r="F120" s="79"/>
      <c r="G120" s="79"/>
      <c r="H120" s="89"/>
      <c r="I120" s="89"/>
      <c r="J120" s="89"/>
      <c r="K120" s="90"/>
      <c r="L120" s="89"/>
      <c r="M120" s="89"/>
      <c r="N120" s="89"/>
      <c r="O120" s="89"/>
      <c r="P120" s="41"/>
    </row>
    <row r="121" s="64" customFormat="1" ht="14.4" outlineLevel="1" spans="1:16">
      <c r="A121" s="76" t="s">
        <v>37</v>
      </c>
      <c r="B121" s="77" t="s">
        <v>57</v>
      </c>
      <c r="C121" s="78"/>
      <c r="D121" s="77"/>
      <c r="E121" s="79"/>
      <c r="F121" s="79"/>
      <c r="G121" s="79"/>
      <c r="H121" s="27"/>
      <c r="I121" s="27"/>
      <c r="J121" s="27"/>
      <c r="K121" s="44"/>
      <c r="L121" s="27"/>
      <c r="M121" s="27"/>
      <c r="N121" s="27"/>
      <c r="O121" s="27"/>
      <c r="P121" s="85"/>
    </row>
    <row r="122" s="62" customFormat="1" ht="67.2" outlineLevel="2" spans="1:16">
      <c r="A122" s="80" t="s">
        <v>39</v>
      </c>
      <c r="B122" s="77" t="s">
        <v>59</v>
      </c>
      <c r="C122" s="81" t="s">
        <v>60</v>
      </c>
      <c r="D122" s="82" t="s">
        <v>42</v>
      </c>
      <c r="E122" s="83">
        <v>25.92</v>
      </c>
      <c r="F122" s="79">
        <f t="shared" si="45"/>
        <v>239.32476</v>
      </c>
      <c r="G122" s="79">
        <f t="shared" si="46"/>
        <v>6203.2977792</v>
      </c>
      <c r="H122" s="27">
        <v>60</v>
      </c>
      <c r="I122" s="27">
        <v>33</v>
      </c>
      <c r="J122" s="27">
        <v>0</v>
      </c>
      <c r="K122" s="44">
        <v>0.02</v>
      </c>
      <c r="L122" s="27">
        <v>110</v>
      </c>
      <c r="M122" s="27">
        <f t="shared" ref="M122:M126" si="53">H122+I122+J122+L122*(1+K122)</f>
        <v>205.2</v>
      </c>
      <c r="N122" s="27">
        <f t="shared" ref="N122:N126" si="54">M122*$N$6</f>
        <v>14.364</v>
      </c>
      <c r="O122" s="27">
        <f t="shared" ref="O122:O126" si="55">(M122+N122)*$O$6</f>
        <v>19.76076</v>
      </c>
      <c r="P122" s="88" t="s">
        <v>61</v>
      </c>
    </row>
    <row r="123" s="62" customFormat="1" ht="86.4" outlineLevel="2" spans="1:16">
      <c r="A123" s="80" t="s">
        <v>43</v>
      </c>
      <c r="B123" s="77" t="s">
        <v>271</v>
      </c>
      <c r="C123" s="81" t="s">
        <v>272</v>
      </c>
      <c r="D123" s="82" t="s">
        <v>42</v>
      </c>
      <c r="E123" s="79">
        <f>5.48+2.78</f>
        <v>8.26</v>
      </c>
      <c r="F123" s="79">
        <f t="shared" si="45"/>
        <v>277.34614</v>
      </c>
      <c r="G123" s="79">
        <f t="shared" si="46"/>
        <v>2290.8791164</v>
      </c>
      <c r="H123" s="27">
        <v>60</v>
      </c>
      <c r="I123" s="27">
        <v>35</v>
      </c>
      <c r="J123" s="27">
        <v>0</v>
      </c>
      <c r="K123" s="44">
        <v>0.02</v>
      </c>
      <c r="L123" s="27">
        <v>140</v>
      </c>
      <c r="M123" s="27">
        <f t="shared" si="53"/>
        <v>237.8</v>
      </c>
      <c r="N123" s="27">
        <f t="shared" si="54"/>
        <v>16.646</v>
      </c>
      <c r="O123" s="27">
        <f t="shared" si="55"/>
        <v>22.90014</v>
      </c>
      <c r="P123" s="86" t="s">
        <v>273</v>
      </c>
    </row>
    <row r="124" s="62" customFormat="1" ht="76.8" outlineLevel="2" spans="1:16">
      <c r="A124" s="80" t="s">
        <v>46</v>
      </c>
      <c r="B124" s="77" t="s">
        <v>274</v>
      </c>
      <c r="C124" s="81" t="s">
        <v>275</v>
      </c>
      <c r="D124" s="82" t="s">
        <v>42</v>
      </c>
      <c r="E124" s="83">
        <v>0.69</v>
      </c>
      <c r="F124" s="79">
        <f t="shared" si="45"/>
        <v>1247.47448</v>
      </c>
      <c r="G124" s="79">
        <f t="shared" si="46"/>
        <v>860.7573912</v>
      </c>
      <c r="H124" s="27">
        <v>545</v>
      </c>
      <c r="I124" s="27">
        <v>35</v>
      </c>
      <c r="J124" s="27">
        <v>0</v>
      </c>
      <c r="K124" s="44">
        <v>0.02</v>
      </c>
      <c r="L124" s="27">
        <v>480</v>
      </c>
      <c r="M124" s="27">
        <f t="shared" si="53"/>
        <v>1069.6</v>
      </c>
      <c r="N124" s="27">
        <f t="shared" si="54"/>
        <v>74.872</v>
      </c>
      <c r="O124" s="27">
        <f t="shared" si="55"/>
        <v>103.00248</v>
      </c>
      <c r="P124" s="88" t="s">
        <v>164</v>
      </c>
    </row>
    <row r="125" s="62" customFormat="1" ht="57.6" outlineLevel="2" spans="1:16">
      <c r="A125" s="80" t="s">
        <v>51</v>
      </c>
      <c r="B125" s="77" t="s">
        <v>75</v>
      </c>
      <c r="C125" s="81" t="s">
        <v>276</v>
      </c>
      <c r="D125" s="82" t="s">
        <v>73</v>
      </c>
      <c r="E125" s="83">
        <v>21.84</v>
      </c>
      <c r="F125" s="79">
        <f t="shared" si="45"/>
        <v>34.032634</v>
      </c>
      <c r="G125" s="79">
        <f t="shared" si="46"/>
        <v>743.27272656</v>
      </c>
      <c r="H125" s="27">
        <v>15</v>
      </c>
      <c r="I125" s="27">
        <v>5</v>
      </c>
      <c r="J125" s="27">
        <v>0</v>
      </c>
      <c r="K125" s="44">
        <v>0.02</v>
      </c>
      <c r="L125" s="27">
        <v>9</v>
      </c>
      <c r="M125" s="27">
        <f t="shared" si="53"/>
        <v>29.18</v>
      </c>
      <c r="N125" s="27">
        <f t="shared" si="54"/>
        <v>2.0426</v>
      </c>
      <c r="O125" s="27">
        <f t="shared" si="55"/>
        <v>2.810034</v>
      </c>
      <c r="P125" s="85" t="s">
        <v>50</v>
      </c>
    </row>
    <row r="126" s="62" customFormat="1" ht="67.2" outlineLevel="2" spans="1:16">
      <c r="A126" s="80" t="s">
        <v>277</v>
      </c>
      <c r="B126" s="77" t="s">
        <v>278</v>
      </c>
      <c r="C126" s="81" t="s">
        <v>279</v>
      </c>
      <c r="D126" s="82" t="s">
        <v>73</v>
      </c>
      <c r="E126" s="83">
        <v>14.67</v>
      </c>
      <c r="F126" s="79">
        <f t="shared" si="45"/>
        <v>24.60893</v>
      </c>
      <c r="G126" s="79">
        <f t="shared" si="46"/>
        <v>361.0130031</v>
      </c>
      <c r="H126" s="27">
        <v>13</v>
      </c>
      <c r="I126" s="27">
        <v>3</v>
      </c>
      <c r="J126" s="27">
        <v>0</v>
      </c>
      <c r="K126" s="44">
        <v>0.02</v>
      </c>
      <c r="L126" s="27">
        <v>5</v>
      </c>
      <c r="M126" s="27">
        <f t="shared" si="53"/>
        <v>21.1</v>
      </c>
      <c r="N126" s="27">
        <f t="shared" si="54"/>
        <v>1.477</v>
      </c>
      <c r="O126" s="27">
        <f t="shared" si="55"/>
        <v>2.03193</v>
      </c>
      <c r="P126" s="88" t="s">
        <v>280</v>
      </c>
    </row>
    <row r="127" s="62" customFormat="1" outlineLevel="1" spans="1:16">
      <c r="A127" s="76" t="s">
        <v>54</v>
      </c>
      <c r="B127" s="77" t="s">
        <v>79</v>
      </c>
      <c r="C127" s="78"/>
      <c r="D127" s="77"/>
      <c r="E127" s="79"/>
      <c r="F127" s="79"/>
      <c r="G127" s="79"/>
      <c r="H127" s="27"/>
      <c r="I127" s="27"/>
      <c r="J127" s="27"/>
      <c r="K127" s="44"/>
      <c r="L127" s="27"/>
      <c r="M127" s="27"/>
      <c r="N127" s="27"/>
      <c r="O127" s="27"/>
      <c r="P127" s="85"/>
    </row>
    <row r="128" s="62" customFormat="1" ht="96" outlineLevel="2" spans="1:16">
      <c r="A128" s="80" t="s">
        <v>56</v>
      </c>
      <c r="B128" s="77" t="s">
        <v>80</v>
      </c>
      <c r="C128" s="81" t="s">
        <v>281</v>
      </c>
      <c r="D128" s="82" t="s">
        <v>42</v>
      </c>
      <c r="E128" s="83">
        <v>26</v>
      </c>
      <c r="F128" s="79">
        <f t="shared" si="45"/>
        <v>178.607182</v>
      </c>
      <c r="G128" s="79">
        <f t="shared" si="46"/>
        <v>4643.786732</v>
      </c>
      <c r="H128" s="27">
        <v>65</v>
      </c>
      <c r="I128" s="27">
        <v>30</v>
      </c>
      <c r="J128" s="27">
        <v>0</v>
      </c>
      <c r="K128" s="44">
        <v>0.02</v>
      </c>
      <c r="L128" s="27">
        <v>57</v>
      </c>
      <c r="M128" s="27">
        <f t="shared" ref="M128:M140" si="56">H128+I128+J128+L128*(1+K128)</f>
        <v>153.14</v>
      </c>
      <c r="N128" s="27">
        <f t="shared" ref="N128:N140" si="57">M128*$N$6</f>
        <v>10.7198</v>
      </c>
      <c r="O128" s="27">
        <f t="shared" ref="O128:O140" si="58">(M128+N128)*$O$6</f>
        <v>14.747382</v>
      </c>
      <c r="P128" s="86" t="s">
        <v>82</v>
      </c>
    </row>
    <row r="129" s="62" customFormat="1" ht="67.2" outlineLevel="2" spans="1:16">
      <c r="A129" s="80" t="s">
        <v>78</v>
      </c>
      <c r="B129" s="77" t="s">
        <v>136</v>
      </c>
      <c r="C129" s="81" t="s">
        <v>282</v>
      </c>
      <c r="D129" s="82" t="s">
        <v>42</v>
      </c>
      <c r="E129" s="83">
        <v>8.41</v>
      </c>
      <c r="F129" s="79">
        <f t="shared" si="45"/>
        <v>51.877024</v>
      </c>
      <c r="G129" s="79">
        <f t="shared" si="46"/>
        <v>436.28577184</v>
      </c>
      <c r="H129" s="84">
        <v>20</v>
      </c>
      <c r="I129" s="84">
        <v>0</v>
      </c>
      <c r="J129" s="84">
        <v>0</v>
      </c>
      <c r="K129" s="44">
        <v>0.02</v>
      </c>
      <c r="L129" s="84">
        <v>24</v>
      </c>
      <c r="M129" s="27">
        <f t="shared" si="56"/>
        <v>44.48</v>
      </c>
      <c r="N129" s="27">
        <f t="shared" si="57"/>
        <v>3.1136</v>
      </c>
      <c r="O129" s="27">
        <f t="shared" si="58"/>
        <v>4.283424</v>
      </c>
      <c r="P129" s="86" t="s">
        <v>138</v>
      </c>
    </row>
    <row r="130" s="62" customFormat="1" outlineLevel="1" spans="1:16">
      <c r="A130" s="76" t="s">
        <v>123</v>
      </c>
      <c r="B130" s="77" t="s">
        <v>87</v>
      </c>
      <c r="C130" s="78"/>
      <c r="D130" s="77"/>
      <c r="E130" s="79"/>
      <c r="F130" s="79"/>
      <c r="G130" s="79"/>
      <c r="H130" s="27"/>
      <c r="I130" s="27"/>
      <c r="J130" s="27"/>
      <c r="K130" s="44"/>
      <c r="L130" s="27"/>
      <c r="M130" s="27"/>
      <c r="N130" s="27"/>
      <c r="O130" s="27"/>
      <c r="P130" s="85"/>
    </row>
    <row r="131" s="62" customFormat="1" ht="76.8" outlineLevel="2" spans="1:16">
      <c r="A131" s="80" t="s">
        <v>125</v>
      </c>
      <c r="B131" s="77" t="s">
        <v>283</v>
      </c>
      <c r="C131" s="81" t="s">
        <v>284</v>
      </c>
      <c r="D131" s="82" t="s">
        <v>42</v>
      </c>
      <c r="E131" s="83">
        <v>24.22</v>
      </c>
      <c r="F131" s="79">
        <f t="shared" si="45"/>
        <v>241.65736</v>
      </c>
      <c r="G131" s="79">
        <f t="shared" si="46"/>
        <v>5852.9412592</v>
      </c>
      <c r="H131" s="84">
        <v>80</v>
      </c>
      <c r="I131" s="84">
        <v>15</v>
      </c>
      <c r="J131" s="84">
        <v>0</v>
      </c>
      <c r="K131" s="44">
        <v>0.02</v>
      </c>
      <c r="L131" s="84">
        <v>110</v>
      </c>
      <c r="M131" s="27">
        <f t="shared" si="56"/>
        <v>207.2</v>
      </c>
      <c r="N131" s="27">
        <f t="shared" si="57"/>
        <v>14.504</v>
      </c>
      <c r="O131" s="27">
        <f t="shared" si="58"/>
        <v>19.95336</v>
      </c>
      <c r="P131" s="88" t="s">
        <v>61</v>
      </c>
    </row>
    <row r="132" s="62" customFormat="1" ht="76.8" outlineLevel="2" spans="1:16">
      <c r="A132" s="80" t="s">
        <v>132</v>
      </c>
      <c r="B132" s="77" t="s">
        <v>285</v>
      </c>
      <c r="C132" s="81" t="s">
        <v>286</v>
      </c>
      <c r="D132" s="82" t="s">
        <v>42</v>
      </c>
      <c r="E132" s="83">
        <v>21.04</v>
      </c>
      <c r="F132" s="79">
        <f t="shared" si="45"/>
        <v>239.32476</v>
      </c>
      <c r="G132" s="79">
        <f t="shared" si="46"/>
        <v>5035.3929504</v>
      </c>
      <c r="H132" s="27">
        <v>60</v>
      </c>
      <c r="I132" s="27">
        <v>33</v>
      </c>
      <c r="J132" s="27">
        <v>0</v>
      </c>
      <c r="K132" s="44">
        <v>0.02</v>
      </c>
      <c r="L132" s="27">
        <v>110</v>
      </c>
      <c r="M132" s="27">
        <f t="shared" si="56"/>
        <v>205.2</v>
      </c>
      <c r="N132" s="27">
        <f t="shared" si="57"/>
        <v>14.364</v>
      </c>
      <c r="O132" s="27">
        <f t="shared" si="58"/>
        <v>19.76076</v>
      </c>
      <c r="P132" s="88" t="s">
        <v>61</v>
      </c>
    </row>
    <row r="133" s="62" customFormat="1" ht="57.6" outlineLevel="2" spans="1:16">
      <c r="A133" s="80" t="s">
        <v>139</v>
      </c>
      <c r="B133" s="77" t="s">
        <v>287</v>
      </c>
      <c r="C133" s="78" t="s">
        <v>288</v>
      </c>
      <c r="D133" s="82" t="s">
        <v>42</v>
      </c>
      <c r="E133" s="83">
        <v>3.43</v>
      </c>
      <c r="F133" s="79">
        <f t="shared" si="45"/>
        <v>222.41341</v>
      </c>
      <c r="G133" s="79">
        <f t="shared" si="46"/>
        <v>762.8779963</v>
      </c>
      <c r="H133" s="84">
        <v>102</v>
      </c>
      <c r="I133" s="84">
        <v>36</v>
      </c>
      <c r="J133" s="84">
        <v>0</v>
      </c>
      <c r="K133" s="44">
        <v>0.02</v>
      </c>
      <c r="L133" s="84">
        <f>20+95/3</f>
        <v>51.6666666666667</v>
      </c>
      <c r="M133" s="27">
        <f t="shared" si="56"/>
        <v>190.7</v>
      </c>
      <c r="N133" s="27">
        <f t="shared" si="57"/>
        <v>13.349</v>
      </c>
      <c r="O133" s="27">
        <f t="shared" si="58"/>
        <v>18.36441</v>
      </c>
      <c r="P133" s="86" t="s">
        <v>138</v>
      </c>
    </row>
    <row r="134" s="62" customFormat="1" ht="76.8" outlineLevel="2" spans="1:16">
      <c r="A134" s="80" t="s">
        <v>289</v>
      </c>
      <c r="B134" s="77" t="s">
        <v>287</v>
      </c>
      <c r="C134" s="78" t="s">
        <v>290</v>
      </c>
      <c r="D134" s="82" t="s">
        <v>42</v>
      </c>
      <c r="E134" s="79">
        <v>30.23</v>
      </c>
      <c r="F134" s="79">
        <f t="shared" si="45"/>
        <v>54.256276</v>
      </c>
      <c r="G134" s="79">
        <f t="shared" si="46"/>
        <v>1640.16722348</v>
      </c>
      <c r="H134" s="84">
        <v>20</v>
      </c>
      <c r="I134" s="84">
        <v>0</v>
      </c>
      <c r="J134" s="84">
        <v>0</v>
      </c>
      <c r="K134" s="44">
        <v>0.02</v>
      </c>
      <c r="L134" s="84">
        <v>26</v>
      </c>
      <c r="M134" s="27">
        <f t="shared" si="56"/>
        <v>46.52</v>
      </c>
      <c r="N134" s="27">
        <f t="shared" si="57"/>
        <v>3.2564</v>
      </c>
      <c r="O134" s="27">
        <f t="shared" si="58"/>
        <v>4.479876</v>
      </c>
      <c r="P134" s="86" t="s">
        <v>138</v>
      </c>
    </row>
    <row r="135" s="62" customFormat="1" ht="48" outlineLevel="2" spans="1:16">
      <c r="A135" s="80" t="s">
        <v>291</v>
      </c>
      <c r="B135" s="77" t="s">
        <v>292</v>
      </c>
      <c r="C135" s="78" t="s">
        <v>293</v>
      </c>
      <c r="D135" s="82" t="s">
        <v>42</v>
      </c>
      <c r="E135" s="79">
        <v>0.75</v>
      </c>
      <c r="F135" s="79">
        <f t="shared" si="45"/>
        <v>203.16946</v>
      </c>
      <c r="G135" s="79">
        <f t="shared" si="46"/>
        <v>152.377095</v>
      </c>
      <c r="H135" s="84">
        <v>80</v>
      </c>
      <c r="I135" s="84">
        <v>33</v>
      </c>
      <c r="J135" s="84">
        <v>0</v>
      </c>
      <c r="K135" s="44">
        <v>0.02</v>
      </c>
      <c r="L135" s="84">
        <v>60</v>
      </c>
      <c r="M135" s="27">
        <f t="shared" si="56"/>
        <v>174.2</v>
      </c>
      <c r="N135" s="27">
        <f t="shared" si="57"/>
        <v>12.194</v>
      </c>
      <c r="O135" s="27">
        <f t="shared" si="58"/>
        <v>16.77546</v>
      </c>
      <c r="P135" s="85" t="s">
        <v>50</v>
      </c>
    </row>
    <row r="136" s="62" customFormat="1" ht="48" outlineLevel="2" spans="1:16">
      <c r="A136" s="80" t="s">
        <v>294</v>
      </c>
      <c r="B136" s="77" t="s">
        <v>295</v>
      </c>
      <c r="C136" s="78" t="s">
        <v>296</v>
      </c>
      <c r="D136" s="82" t="s">
        <v>42</v>
      </c>
      <c r="E136" s="79">
        <v>3.28</v>
      </c>
      <c r="F136" s="79">
        <f t="shared" si="45"/>
        <v>863.062</v>
      </c>
      <c r="G136" s="79">
        <f t="shared" si="46"/>
        <v>2830.84336</v>
      </c>
      <c r="H136" s="84">
        <v>190</v>
      </c>
      <c r="I136" s="84">
        <v>250</v>
      </c>
      <c r="J136" s="84">
        <v>0</v>
      </c>
      <c r="K136" s="87">
        <v>0</v>
      </c>
      <c r="L136" s="84">
        <v>300</v>
      </c>
      <c r="M136" s="27">
        <f t="shared" si="56"/>
        <v>740</v>
      </c>
      <c r="N136" s="27">
        <f t="shared" si="57"/>
        <v>51.8</v>
      </c>
      <c r="O136" s="27">
        <f t="shared" si="58"/>
        <v>71.262</v>
      </c>
      <c r="P136" s="85" t="s">
        <v>50</v>
      </c>
    </row>
    <row r="137" s="62" customFormat="1" ht="38.4" outlineLevel="2" spans="1:16">
      <c r="A137" s="80" t="s">
        <v>297</v>
      </c>
      <c r="B137" s="77" t="s">
        <v>298</v>
      </c>
      <c r="C137" s="78" t="s">
        <v>299</v>
      </c>
      <c r="D137" s="82" t="s">
        <v>42</v>
      </c>
      <c r="E137" s="79">
        <v>0.13</v>
      </c>
      <c r="F137" s="79">
        <f t="shared" si="45"/>
        <v>58.000099</v>
      </c>
      <c r="G137" s="79">
        <f t="shared" si="46"/>
        <v>7.54001287</v>
      </c>
      <c r="H137" s="84">
        <v>35</v>
      </c>
      <c r="I137" s="84">
        <v>3</v>
      </c>
      <c r="J137" s="84">
        <v>0</v>
      </c>
      <c r="K137" s="44">
        <v>0.02</v>
      </c>
      <c r="L137" s="84">
        <v>11.5</v>
      </c>
      <c r="M137" s="27">
        <f t="shared" si="56"/>
        <v>49.73</v>
      </c>
      <c r="N137" s="27">
        <f t="shared" si="57"/>
        <v>3.4811</v>
      </c>
      <c r="O137" s="27">
        <f t="shared" si="58"/>
        <v>4.788999</v>
      </c>
      <c r="P137" s="85" t="s">
        <v>50</v>
      </c>
    </row>
    <row r="138" s="62" customFormat="1" ht="57.6" outlineLevel="2" spans="1:16">
      <c r="A138" s="80" t="s">
        <v>300</v>
      </c>
      <c r="B138" s="77" t="s">
        <v>89</v>
      </c>
      <c r="C138" s="81" t="s">
        <v>301</v>
      </c>
      <c r="D138" s="82" t="s">
        <v>42</v>
      </c>
      <c r="E138" s="83">
        <v>7.39</v>
      </c>
      <c r="F138" s="79">
        <f t="shared" si="45"/>
        <v>229.275141666667</v>
      </c>
      <c r="G138" s="79">
        <f t="shared" si="46"/>
        <v>1694.34329691667</v>
      </c>
      <c r="H138" s="27">
        <v>75</v>
      </c>
      <c r="I138" s="27">
        <v>10</v>
      </c>
      <c r="J138" s="27">
        <v>0</v>
      </c>
      <c r="K138" s="44">
        <v>0.03</v>
      </c>
      <c r="L138" s="27">
        <v>108.333333333333</v>
      </c>
      <c r="M138" s="27">
        <f t="shared" si="56"/>
        <v>196.583333333333</v>
      </c>
      <c r="N138" s="27">
        <f t="shared" si="57"/>
        <v>13.7608333333333</v>
      </c>
      <c r="O138" s="27">
        <f t="shared" si="58"/>
        <v>18.930975</v>
      </c>
      <c r="P138" s="85" t="s">
        <v>302</v>
      </c>
    </row>
    <row r="139" s="62" customFormat="1" ht="38.4" outlineLevel="2" spans="1:16">
      <c r="A139" s="80" t="s">
        <v>303</v>
      </c>
      <c r="B139" s="77" t="s">
        <v>304</v>
      </c>
      <c r="C139" s="81" t="s">
        <v>305</v>
      </c>
      <c r="D139" s="82" t="s">
        <v>42</v>
      </c>
      <c r="E139" s="83">
        <f>0.8*2+1*2</f>
        <v>3.6</v>
      </c>
      <c r="F139" s="79">
        <f t="shared" si="45"/>
        <v>758.095</v>
      </c>
      <c r="G139" s="79">
        <f t="shared" si="46"/>
        <v>2729.142</v>
      </c>
      <c r="H139" s="84">
        <v>350</v>
      </c>
      <c r="I139" s="84">
        <v>50</v>
      </c>
      <c r="J139" s="84">
        <v>0</v>
      </c>
      <c r="K139" s="87">
        <v>0</v>
      </c>
      <c r="L139" s="84">
        <v>250</v>
      </c>
      <c r="M139" s="27">
        <f t="shared" si="56"/>
        <v>650</v>
      </c>
      <c r="N139" s="27">
        <f t="shared" si="57"/>
        <v>45.5</v>
      </c>
      <c r="O139" s="27">
        <f t="shared" si="58"/>
        <v>62.595</v>
      </c>
      <c r="P139" s="85" t="s">
        <v>65</v>
      </c>
    </row>
    <row r="140" s="62" customFormat="1" ht="28.8" outlineLevel="2" spans="1:16">
      <c r="A140" s="80" t="s">
        <v>306</v>
      </c>
      <c r="B140" s="77" t="s">
        <v>121</v>
      </c>
      <c r="C140" s="81" t="s">
        <v>307</v>
      </c>
      <c r="D140" s="82" t="s">
        <v>73</v>
      </c>
      <c r="E140" s="83">
        <v>12.61</v>
      </c>
      <c r="F140" s="79">
        <f t="shared" si="45"/>
        <v>156.354178</v>
      </c>
      <c r="G140" s="79">
        <f t="shared" si="46"/>
        <v>1971.62618458</v>
      </c>
      <c r="H140" s="84">
        <v>45</v>
      </c>
      <c r="I140" s="84">
        <v>9.5</v>
      </c>
      <c r="J140" s="84">
        <v>0</v>
      </c>
      <c r="K140" s="44">
        <v>0.02</v>
      </c>
      <c r="L140" s="84">
        <v>78</v>
      </c>
      <c r="M140" s="27">
        <f t="shared" si="56"/>
        <v>134.06</v>
      </c>
      <c r="N140" s="27">
        <f t="shared" si="57"/>
        <v>9.3842</v>
      </c>
      <c r="O140" s="27">
        <f t="shared" si="58"/>
        <v>12.909978</v>
      </c>
      <c r="P140" s="85" t="s">
        <v>50</v>
      </c>
    </row>
    <row r="141" s="61" customFormat="1" ht="19.2" spans="1:16">
      <c r="A141" s="73" t="s">
        <v>308</v>
      </c>
      <c r="B141" s="74" t="s">
        <v>309</v>
      </c>
      <c r="C141" s="75"/>
      <c r="D141" s="74"/>
      <c r="E141" s="21"/>
      <c r="F141" s="79"/>
      <c r="G141" s="79"/>
      <c r="H141" s="89"/>
      <c r="I141" s="89"/>
      <c r="J141" s="89"/>
      <c r="K141" s="90"/>
      <c r="L141" s="89"/>
      <c r="M141" s="89"/>
      <c r="N141" s="89"/>
      <c r="O141" s="89"/>
      <c r="P141" s="41"/>
    </row>
    <row r="142" s="64" customFormat="1" ht="14.4" outlineLevel="1" spans="1:16">
      <c r="A142" s="76" t="s">
        <v>37</v>
      </c>
      <c r="B142" s="77" t="s">
        <v>57</v>
      </c>
      <c r="C142" s="78"/>
      <c r="D142" s="77"/>
      <c r="E142" s="79"/>
      <c r="F142" s="79"/>
      <c r="G142" s="79"/>
      <c r="H142" s="27"/>
      <c r="I142" s="27"/>
      <c r="J142" s="27"/>
      <c r="K142" s="44"/>
      <c r="L142" s="27"/>
      <c r="M142" s="27"/>
      <c r="N142" s="27"/>
      <c r="O142" s="27"/>
      <c r="P142" s="85"/>
    </row>
    <row r="143" s="62" customFormat="1" ht="67.2" outlineLevel="2" spans="1:16">
      <c r="A143" s="80" t="s">
        <v>39</v>
      </c>
      <c r="B143" s="77" t="s">
        <v>59</v>
      </c>
      <c r="C143" s="81" t="s">
        <v>60</v>
      </c>
      <c r="D143" s="82" t="s">
        <v>42</v>
      </c>
      <c r="E143" s="83">
        <v>9.29</v>
      </c>
      <c r="F143" s="79">
        <f>M143+N143+O143</f>
        <v>223.9296</v>
      </c>
      <c r="G143" s="79">
        <f>E143*F143</f>
        <v>2080.305984</v>
      </c>
      <c r="H143" s="27">
        <v>57</v>
      </c>
      <c r="I143" s="27">
        <v>33</v>
      </c>
      <c r="J143" s="27">
        <v>0</v>
      </c>
      <c r="K143" s="44">
        <v>0.02</v>
      </c>
      <c r="L143" s="27">
        <v>100</v>
      </c>
      <c r="M143" s="27">
        <f t="shared" ref="M143:M151" si="59">H143+I143+J143+L143*(1+K143)</f>
        <v>192</v>
      </c>
      <c r="N143" s="27">
        <f t="shared" ref="N143:N151" si="60">M143*$N$6</f>
        <v>13.44</v>
      </c>
      <c r="O143" s="27">
        <f t="shared" ref="O143:O151" si="61">(M143+N143)*$O$6</f>
        <v>18.4896</v>
      </c>
      <c r="P143" s="88" t="s">
        <v>61</v>
      </c>
    </row>
    <row r="144" s="62" customFormat="1" outlineLevel="1" spans="1:16">
      <c r="A144" s="76" t="s">
        <v>54</v>
      </c>
      <c r="B144" s="77" t="s">
        <v>79</v>
      </c>
      <c r="C144" s="78"/>
      <c r="D144" s="77"/>
      <c r="E144" s="79"/>
      <c r="F144" s="79"/>
      <c r="G144" s="79"/>
      <c r="H144" s="27"/>
      <c r="I144" s="27"/>
      <c r="J144" s="27"/>
      <c r="K144" s="44"/>
      <c r="L144" s="27"/>
      <c r="M144" s="27"/>
      <c r="N144" s="27"/>
      <c r="O144" s="27"/>
      <c r="P144" s="85"/>
    </row>
    <row r="145" s="62" customFormat="1" ht="57.6" outlineLevel="2" spans="1:16">
      <c r="A145" s="80" t="s">
        <v>56</v>
      </c>
      <c r="B145" s="77" t="s">
        <v>136</v>
      </c>
      <c r="C145" s="81" t="s">
        <v>310</v>
      </c>
      <c r="D145" s="82" t="s">
        <v>42</v>
      </c>
      <c r="E145" s="83">
        <v>11.13</v>
      </c>
      <c r="F145" s="79">
        <f>M145+N145+O145</f>
        <v>51.877024</v>
      </c>
      <c r="G145" s="79">
        <f>E145*F145</f>
        <v>577.39127712</v>
      </c>
      <c r="H145" s="84">
        <v>20</v>
      </c>
      <c r="I145" s="84">
        <v>0</v>
      </c>
      <c r="J145" s="84">
        <v>0</v>
      </c>
      <c r="K145" s="44">
        <v>0.02</v>
      </c>
      <c r="L145" s="84">
        <v>24</v>
      </c>
      <c r="M145" s="27">
        <f t="shared" si="59"/>
        <v>44.48</v>
      </c>
      <c r="N145" s="27">
        <f t="shared" si="60"/>
        <v>3.1136</v>
      </c>
      <c r="O145" s="27">
        <f t="shared" si="61"/>
        <v>4.283424</v>
      </c>
      <c r="P145" s="86" t="s">
        <v>138</v>
      </c>
    </row>
    <row r="146" s="62" customFormat="1" outlineLevel="1" spans="1:16">
      <c r="A146" s="76" t="s">
        <v>123</v>
      </c>
      <c r="B146" s="77" t="s">
        <v>87</v>
      </c>
      <c r="C146" s="78"/>
      <c r="D146" s="77"/>
      <c r="E146" s="79"/>
      <c r="F146" s="79"/>
      <c r="G146" s="79"/>
      <c r="H146" s="27"/>
      <c r="I146" s="27"/>
      <c r="J146" s="27"/>
      <c r="K146" s="44"/>
      <c r="L146" s="27"/>
      <c r="M146" s="27"/>
      <c r="N146" s="27"/>
      <c r="O146" s="27"/>
      <c r="P146" s="85"/>
    </row>
    <row r="147" s="62" customFormat="1" ht="76.8" outlineLevel="2" spans="1:16">
      <c r="A147" s="80" t="s">
        <v>125</v>
      </c>
      <c r="B147" s="77" t="s">
        <v>285</v>
      </c>
      <c r="C147" s="81" t="s">
        <v>286</v>
      </c>
      <c r="D147" s="82" t="s">
        <v>42</v>
      </c>
      <c r="E147" s="83">
        <v>14.74</v>
      </c>
      <c r="F147" s="79">
        <f>M147+N147+O147</f>
        <v>241.4241</v>
      </c>
      <c r="G147" s="79">
        <f>E147*F147</f>
        <v>3558.591234</v>
      </c>
      <c r="H147" s="27">
        <v>72</v>
      </c>
      <c r="I147" s="27">
        <v>33</v>
      </c>
      <c r="J147" s="27">
        <v>0</v>
      </c>
      <c r="K147" s="44">
        <v>0.02</v>
      </c>
      <c r="L147" s="27">
        <v>100</v>
      </c>
      <c r="M147" s="27">
        <f t="shared" si="59"/>
        <v>207</v>
      </c>
      <c r="N147" s="27">
        <f t="shared" si="60"/>
        <v>14.49</v>
      </c>
      <c r="O147" s="27">
        <f t="shared" si="61"/>
        <v>19.9341</v>
      </c>
      <c r="P147" s="88" t="s">
        <v>61</v>
      </c>
    </row>
    <row r="148" s="62" customFormat="1" ht="57.6" outlineLevel="2" spans="1:16">
      <c r="A148" s="80" t="s">
        <v>132</v>
      </c>
      <c r="B148" s="77" t="s">
        <v>287</v>
      </c>
      <c r="C148" s="78" t="s">
        <v>288</v>
      </c>
      <c r="D148" s="82" t="s">
        <v>42</v>
      </c>
      <c r="E148" s="83">
        <v>3.84</v>
      </c>
      <c r="F148" s="79">
        <f>M148+N148+O148</f>
        <v>222.41341</v>
      </c>
      <c r="G148" s="79">
        <f>E148*F148</f>
        <v>854.0674944</v>
      </c>
      <c r="H148" s="84">
        <v>102</v>
      </c>
      <c r="I148" s="84">
        <v>36</v>
      </c>
      <c r="J148" s="84">
        <v>0</v>
      </c>
      <c r="K148" s="44">
        <v>0.02</v>
      </c>
      <c r="L148" s="84">
        <f>20+95/3</f>
        <v>51.6666666666667</v>
      </c>
      <c r="M148" s="27">
        <f t="shared" si="59"/>
        <v>190.7</v>
      </c>
      <c r="N148" s="27">
        <f t="shared" si="60"/>
        <v>13.349</v>
      </c>
      <c r="O148" s="27">
        <f t="shared" si="61"/>
        <v>18.36441</v>
      </c>
      <c r="P148" s="86" t="s">
        <v>138</v>
      </c>
    </row>
    <row r="149" s="62" customFormat="1" ht="76.8" outlineLevel="2" spans="1:16">
      <c r="A149" s="80" t="s">
        <v>139</v>
      </c>
      <c r="B149" s="77" t="s">
        <v>287</v>
      </c>
      <c r="C149" s="78" t="s">
        <v>290</v>
      </c>
      <c r="D149" s="82" t="s">
        <v>42</v>
      </c>
      <c r="E149" s="79">
        <v>22.37</v>
      </c>
      <c r="F149" s="79">
        <f>M149+N149+O149</f>
        <v>54.256276</v>
      </c>
      <c r="G149" s="79">
        <f>E149*F149</f>
        <v>1213.71289412</v>
      </c>
      <c r="H149" s="84">
        <v>20</v>
      </c>
      <c r="I149" s="84">
        <v>0</v>
      </c>
      <c r="J149" s="84">
        <v>0</v>
      </c>
      <c r="K149" s="44">
        <v>0.02</v>
      </c>
      <c r="L149" s="84">
        <v>26</v>
      </c>
      <c r="M149" s="27">
        <f t="shared" si="59"/>
        <v>46.52</v>
      </c>
      <c r="N149" s="27">
        <f t="shared" si="60"/>
        <v>3.2564</v>
      </c>
      <c r="O149" s="27">
        <f t="shared" si="61"/>
        <v>4.479876</v>
      </c>
      <c r="P149" s="85" t="s">
        <v>138</v>
      </c>
    </row>
    <row r="150" s="62" customFormat="1" ht="28.8" outlineLevel="2" spans="1:16">
      <c r="A150" s="80" t="s">
        <v>289</v>
      </c>
      <c r="B150" s="77" t="s">
        <v>121</v>
      </c>
      <c r="C150" s="81" t="s">
        <v>307</v>
      </c>
      <c r="D150" s="82" t="s">
        <v>73</v>
      </c>
      <c r="E150" s="83">
        <v>6.82</v>
      </c>
      <c r="F150" s="79">
        <f>M150+N150+O150</f>
        <v>156.354178</v>
      </c>
      <c r="G150" s="79">
        <f>E150*F150</f>
        <v>1066.33549396</v>
      </c>
      <c r="H150" s="84">
        <v>45</v>
      </c>
      <c r="I150" s="84">
        <v>9.5</v>
      </c>
      <c r="J150" s="84">
        <v>0</v>
      </c>
      <c r="K150" s="44">
        <v>0.02</v>
      </c>
      <c r="L150" s="84">
        <v>78</v>
      </c>
      <c r="M150" s="27">
        <f t="shared" si="59"/>
        <v>134.06</v>
      </c>
      <c r="N150" s="27">
        <f t="shared" si="60"/>
        <v>9.3842</v>
      </c>
      <c r="O150" s="27">
        <f t="shared" si="61"/>
        <v>12.909978</v>
      </c>
      <c r="P150" s="85" t="s">
        <v>50</v>
      </c>
    </row>
    <row r="151" s="62" customFormat="1" ht="38.4" outlineLevel="2" spans="1:16">
      <c r="A151" s="80" t="s">
        <v>291</v>
      </c>
      <c r="B151" s="77" t="s">
        <v>304</v>
      </c>
      <c r="C151" s="81" t="s">
        <v>311</v>
      </c>
      <c r="D151" s="82" t="s">
        <v>42</v>
      </c>
      <c r="E151" s="83">
        <f>0.8*2+1*2</f>
        <v>3.6</v>
      </c>
      <c r="F151" s="79">
        <f>M151+N151+O151</f>
        <v>758.095</v>
      </c>
      <c r="G151" s="79">
        <f>E151*F151</f>
        <v>2729.142</v>
      </c>
      <c r="H151" s="84">
        <v>350</v>
      </c>
      <c r="I151" s="84">
        <v>50</v>
      </c>
      <c r="J151" s="84">
        <v>0</v>
      </c>
      <c r="K151" s="87">
        <v>0</v>
      </c>
      <c r="L151" s="84">
        <v>250</v>
      </c>
      <c r="M151" s="27">
        <f t="shared" si="59"/>
        <v>650</v>
      </c>
      <c r="N151" s="27">
        <f t="shared" si="60"/>
        <v>45.5</v>
      </c>
      <c r="O151" s="27">
        <f t="shared" si="61"/>
        <v>62.595</v>
      </c>
      <c r="P151" s="85" t="s">
        <v>50</v>
      </c>
    </row>
    <row r="152" s="61" customFormat="1" spans="1:16">
      <c r="A152" s="73" t="s">
        <v>312</v>
      </c>
      <c r="B152" s="74" t="s">
        <v>313</v>
      </c>
      <c r="C152" s="75"/>
      <c r="D152" s="74" t="s">
        <v>314</v>
      </c>
      <c r="E152" s="21"/>
      <c r="F152" s="21"/>
      <c r="G152" s="21">
        <f>SUM(G8:G151)</f>
        <v>208826.922022724</v>
      </c>
      <c r="H152" s="74"/>
      <c r="I152" s="74"/>
      <c r="J152" s="74"/>
      <c r="K152" s="74"/>
      <c r="L152" s="74"/>
      <c r="M152" s="74"/>
      <c r="N152" s="74"/>
      <c r="O152" s="74"/>
      <c r="P152" s="41"/>
    </row>
    <row r="153" s="65" customFormat="1" ht="19.95" spans="1:16">
      <c r="A153" s="52" t="s">
        <v>8</v>
      </c>
      <c r="B153" s="53" t="s">
        <v>315</v>
      </c>
      <c r="C153" s="53"/>
      <c r="D153" s="53"/>
      <c r="E153" s="53"/>
      <c r="F153" s="54"/>
      <c r="G153" s="54"/>
      <c r="H153" s="55"/>
      <c r="I153" s="55"/>
      <c r="J153" s="55"/>
      <c r="K153" s="55"/>
      <c r="L153" s="55"/>
      <c r="M153" s="55"/>
      <c r="N153" s="55"/>
      <c r="O153" s="55"/>
      <c r="P153" s="59"/>
    </row>
  </sheetData>
  <autoFilter ref="A5:P153">
    <extLst/>
  </autoFilter>
  <mergeCells count="14">
    <mergeCell ref="A1:P1"/>
    <mergeCell ref="H2:O2"/>
    <mergeCell ref="H3:J3"/>
    <mergeCell ref="K3:L3"/>
    <mergeCell ref="B153:P153"/>
    <mergeCell ref="A2:A5"/>
    <mergeCell ref="B2:B5"/>
    <mergeCell ref="C2:C5"/>
    <mergeCell ref="D2:D5"/>
    <mergeCell ref="E2:E5"/>
    <mergeCell ref="F2:F4"/>
    <mergeCell ref="G2:G5"/>
    <mergeCell ref="M3:M4"/>
    <mergeCell ref="P2:P5"/>
  </mergeCells>
  <printOptions horizontalCentered="1"/>
  <pageMargins left="0.25" right="0.25" top="0.75" bottom="0.75" header="0.298611111111111" footer="0.298611111111111"/>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9"/>
  <sheetViews>
    <sheetView workbookViewId="0">
      <pane xSplit="16" ySplit="5" topLeftCell="R102" activePane="bottomRight" state="frozen"/>
      <selection/>
      <selection pane="topRight"/>
      <selection pane="bottomLeft"/>
      <selection pane="bottomRight" activeCell="T102" sqref="T102"/>
    </sheetView>
  </sheetViews>
  <sheetFormatPr defaultColWidth="7.87962962962963" defaultRowHeight="10.8"/>
  <cols>
    <col min="1" max="1" width="3.66666666666667" style="3" customWidth="1"/>
    <col min="2" max="2" width="5.77777777777778" style="4" customWidth="1"/>
    <col min="3" max="3" width="29.8888888888889" style="5" customWidth="1"/>
    <col min="4" max="4" width="3.66666666666667" style="6" customWidth="1"/>
    <col min="5" max="5" width="6.11111111111111" style="6" customWidth="1"/>
    <col min="6" max="6" width="7.33333333333333" style="7" customWidth="1"/>
    <col min="7" max="7" width="9.22222222222222" style="8" customWidth="1"/>
    <col min="8" max="8" width="6.88888888888889" style="5" customWidth="1"/>
    <col min="9" max="9" width="5.55555555555556" style="5" customWidth="1"/>
    <col min="10" max="10" width="5.44444444444444" style="5" customWidth="1"/>
    <col min="11" max="11" width="5.33333333333333" style="5" customWidth="1"/>
    <col min="12" max="12" width="8.44444444444444" style="5" customWidth="1"/>
    <col min="13" max="13" width="7.63888888888889" style="5" customWidth="1"/>
    <col min="14" max="14" width="6.66666666666667" style="5" customWidth="1"/>
    <col min="15" max="15" width="6.11111111111111" style="5" customWidth="1"/>
    <col min="16" max="16" width="5.55555555555556" style="6" customWidth="1"/>
    <col min="17" max="16384" width="7.87962962962963" style="1"/>
  </cols>
  <sheetData>
    <row r="1" s="1" customFormat="1" ht="26.55" spans="1:16">
      <c r="A1" s="9" t="s">
        <v>316</v>
      </c>
      <c r="B1" s="10"/>
      <c r="C1" s="11"/>
      <c r="D1" s="11"/>
      <c r="E1" s="11"/>
      <c r="F1" s="12"/>
      <c r="G1" s="12"/>
      <c r="H1" s="11"/>
      <c r="I1" s="11"/>
      <c r="J1" s="11"/>
      <c r="K1" s="11"/>
      <c r="L1" s="11"/>
      <c r="M1" s="11"/>
      <c r="N1" s="11"/>
      <c r="O1" s="11"/>
      <c r="P1" s="6"/>
    </row>
    <row r="2" s="1" customFormat="1" spans="1:16">
      <c r="A2" s="13" t="s">
        <v>1</v>
      </c>
      <c r="B2" s="14" t="s">
        <v>317</v>
      </c>
      <c r="C2" s="14" t="s">
        <v>12</v>
      </c>
      <c r="D2" s="14" t="s">
        <v>318</v>
      </c>
      <c r="E2" s="14" t="s">
        <v>14</v>
      </c>
      <c r="F2" s="15" t="s">
        <v>15</v>
      </c>
      <c r="G2" s="16" t="s">
        <v>16</v>
      </c>
      <c r="H2" s="17" t="s">
        <v>17</v>
      </c>
      <c r="I2" s="17"/>
      <c r="J2" s="17"/>
      <c r="K2" s="17"/>
      <c r="L2" s="17"/>
      <c r="M2" s="17"/>
      <c r="N2" s="17"/>
      <c r="O2" s="17"/>
      <c r="P2" s="40" t="s">
        <v>18</v>
      </c>
    </row>
    <row r="3" s="1" customFormat="1" spans="1:16">
      <c r="A3" s="18"/>
      <c r="B3" s="19"/>
      <c r="C3" s="19"/>
      <c r="D3" s="19"/>
      <c r="E3" s="19"/>
      <c r="F3" s="20"/>
      <c r="G3" s="21"/>
      <c r="H3" s="19" t="s">
        <v>19</v>
      </c>
      <c r="I3" s="19"/>
      <c r="J3" s="19"/>
      <c r="K3" s="19" t="s">
        <v>20</v>
      </c>
      <c r="L3" s="19"/>
      <c r="M3" s="19" t="s">
        <v>21</v>
      </c>
      <c r="N3" s="19" t="s">
        <v>22</v>
      </c>
      <c r="O3" s="19" t="s">
        <v>23</v>
      </c>
      <c r="P3" s="41"/>
    </row>
    <row r="4" s="1" customFormat="1" spans="1:16">
      <c r="A4" s="18"/>
      <c r="B4" s="19"/>
      <c r="C4" s="19"/>
      <c r="D4" s="19"/>
      <c r="E4" s="19"/>
      <c r="F4" s="20"/>
      <c r="G4" s="21"/>
      <c r="H4" s="19" t="s">
        <v>24</v>
      </c>
      <c r="I4" s="19" t="s">
        <v>25</v>
      </c>
      <c r="J4" s="19" t="s">
        <v>26</v>
      </c>
      <c r="K4" s="19" t="s">
        <v>27</v>
      </c>
      <c r="L4" s="19" t="s">
        <v>28</v>
      </c>
      <c r="M4" s="19"/>
      <c r="N4" s="19" t="s">
        <v>29</v>
      </c>
      <c r="O4" s="19" t="s">
        <v>30</v>
      </c>
      <c r="P4" s="41"/>
    </row>
    <row r="5" s="1" customFormat="1" ht="28.8" spans="1:16">
      <c r="A5" s="18"/>
      <c r="B5" s="19"/>
      <c r="C5" s="19"/>
      <c r="D5" s="19"/>
      <c r="E5" s="19"/>
      <c r="F5" s="20" t="s">
        <v>31</v>
      </c>
      <c r="G5" s="21"/>
      <c r="H5" s="19">
        <v>1</v>
      </c>
      <c r="I5" s="19">
        <v>2</v>
      </c>
      <c r="J5" s="19">
        <v>3</v>
      </c>
      <c r="K5" s="19">
        <v>4</v>
      </c>
      <c r="L5" s="19">
        <v>5</v>
      </c>
      <c r="M5" s="19" t="s">
        <v>32</v>
      </c>
      <c r="N5" s="19" t="s">
        <v>33</v>
      </c>
      <c r="O5" s="19" t="s">
        <v>34</v>
      </c>
      <c r="P5" s="41"/>
    </row>
    <row r="6" s="1" customFormat="1" spans="1:16">
      <c r="A6" s="22" t="s">
        <v>35</v>
      </c>
      <c r="B6" s="23" t="s">
        <v>319</v>
      </c>
      <c r="C6" s="23"/>
      <c r="D6" s="24"/>
      <c r="E6" s="24"/>
      <c r="F6" s="25"/>
      <c r="G6" s="20"/>
      <c r="H6" s="19"/>
      <c r="I6" s="19"/>
      <c r="J6" s="19"/>
      <c r="K6" s="19"/>
      <c r="L6" s="19"/>
      <c r="M6" s="19"/>
      <c r="N6" s="42">
        <v>0.07</v>
      </c>
      <c r="O6" s="42">
        <v>0.09</v>
      </c>
      <c r="P6" s="43"/>
    </row>
    <row r="7" s="1" customFormat="1" ht="48" spans="1:16">
      <c r="A7" s="22" t="s">
        <v>39</v>
      </c>
      <c r="B7" s="23" t="s">
        <v>320</v>
      </c>
      <c r="C7" s="26" t="s">
        <v>321</v>
      </c>
      <c r="D7" s="24" t="s">
        <v>322</v>
      </c>
      <c r="E7" s="24">
        <v>1</v>
      </c>
      <c r="F7" s="25">
        <f>M7+N7+O7</f>
        <v>699.78</v>
      </c>
      <c r="G7" s="25">
        <f>E7*F7</f>
        <v>699.78</v>
      </c>
      <c r="H7" s="27">
        <v>0</v>
      </c>
      <c r="I7" s="27">
        <v>0</v>
      </c>
      <c r="J7" s="27">
        <v>0</v>
      </c>
      <c r="K7" s="44">
        <v>0</v>
      </c>
      <c r="L7" s="27">
        <v>600</v>
      </c>
      <c r="M7" s="27">
        <f t="shared" ref="M7:M47" si="0">H7+I7+J7+L7*(1+K7)</f>
        <v>600</v>
      </c>
      <c r="N7" s="27">
        <f t="shared" ref="N7:N47" si="1">M7*$N$6</f>
        <v>42</v>
      </c>
      <c r="O7" s="27">
        <f t="shared" ref="O7:O47" si="2">(M7+N7)*$O$6</f>
        <v>57.78</v>
      </c>
      <c r="P7" s="43" t="s">
        <v>323</v>
      </c>
    </row>
    <row r="8" s="1" customFormat="1" ht="48" spans="1:16">
      <c r="A8" s="22" t="s">
        <v>43</v>
      </c>
      <c r="B8" s="23" t="s">
        <v>320</v>
      </c>
      <c r="C8" s="26" t="s">
        <v>324</v>
      </c>
      <c r="D8" s="24" t="s">
        <v>322</v>
      </c>
      <c r="E8" s="24">
        <v>1</v>
      </c>
      <c r="F8" s="25">
        <f t="shared" ref="F8:F39" si="3">M8+N8+O8</f>
        <v>408.205</v>
      </c>
      <c r="G8" s="25">
        <f t="shared" ref="G8:G39" si="4">E8*F8</f>
        <v>408.205</v>
      </c>
      <c r="H8" s="27">
        <v>0</v>
      </c>
      <c r="I8" s="27">
        <v>0</v>
      </c>
      <c r="J8" s="27">
        <v>0</v>
      </c>
      <c r="K8" s="44">
        <v>0</v>
      </c>
      <c r="L8" s="27">
        <v>350</v>
      </c>
      <c r="M8" s="27">
        <f t="shared" si="0"/>
        <v>350</v>
      </c>
      <c r="N8" s="27">
        <f t="shared" si="1"/>
        <v>24.5</v>
      </c>
      <c r="O8" s="27">
        <f t="shared" si="2"/>
        <v>33.705</v>
      </c>
      <c r="P8" s="43" t="s">
        <v>323</v>
      </c>
    </row>
    <row r="9" s="1" customFormat="1" ht="57.6" spans="1:16">
      <c r="A9" s="22" t="s">
        <v>46</v>
      </c>
      <c r="B9" s="26" t="s">
        <v>325</v>
      </c>
      <c r="C9" s="26" t="s">
        <v>326</v>
      </c>
      <c r="D9" s="28" t="s">
        <v>73</v>
      </c>
      <c r="E9" s="24">
        <v>50</v>
      </c>
      <c r="F9" s="25">
        <f t="shared" si="3"/>
        <v>65.721005</v>
      </c>
      <c r="G9" s="25">
        <f t="shared" si="4"/>
        <v>3286.05025</v>
      </c>
      <c r="H9" s="27">
        <v>10</v>
      </c>
      <c r="I9" s="27">
        <v>0</v>
      </c>
      <c r="J9" s="27">
        <v>0</v>
      </c>
      <c r="K9" s="44">
        <v>0.03</v>
      </c>
      <c r="L9" s="27">
        <v>45</v>
      </c>
      <c r="M9" s="27">
        <f t="shared" si="0"/>
        <v>56.35</v>
      </c>
      <c r="N9" s="27">
        <f t="shared" si="1"/>
        <v>3.9445</v>
      </c>
      <c r="O9" s="27">
        <f t="shared" si="2"/>
        <v>5.426505</v>
      </c>
      <c r="P9" s="43" t="s">
        <v>327</v>
      </c>
    </row>
    <row r="10" s="2" customFormat="1" ht="57.6" spans="1:16">
      <c r="A10" s="29" t="s">
        <v>51</v>
      </c>
      <c r="B10" s="30" t="s">
        <v>325</v>
      </c>
      <c r="C10" s="30" t="s">
        <v>328</v>
      </c>
      <c r="D10" s="31" t="s">
        <v>73</v>
      </c>
      <c r="E10" s="32">
        <v>36</v>
      </c>
      <c r="F10" s="25">
        <f t="shared" si="3"/>
        <v>21.273312</v>
      </c>
      <c r="G10" s="25">
        <f t="shared" si="4"/>
        <v>765.839232</v>
      </c>
      <c r="H10" s="27">
        <v>10</v>
      </c>
      <c r="I10" s="27">
        <v>0</v>
      </c>
      <c r="J10" s="27">
        <v>0</v>
      </c>
      <c r="K10" s="44">
        <v>0.03</v>
      </c>
      <c r="L10" s="27">
        <v>8</v>
      </c>
      <c r="M10" s="27">
        <f t="shared" si="0"/>
        <v>18.24</v>
      </c>
      <c r="N10" s="27">
        <f t="shared" si="1"/>
        <v>1.2768</v>
      </c>
      <c r="O10" s="27">
        <f t="shared" si="2"/>
        <v>1.756512</v>
      </c>
      <c r="P10" s="45" t="s">
        <v>327</v>
      </c>
    </row>
    <row r="11" s="1" customFormat="1" ht="28.8" spans="1:16">
      <c r="A11" s="22" t="s">
        <v>277</v>
      </c>
      <c r="B11" s="26" t="s">
        <v>329</v>
      </c>
      <c r="C11" s="26" t="s">
        <v>330</v>
      </c>
      <c r="D11" s="33" t="s">
        <v>73</v>
      </c>
      <c r="E11" s="24">
        <v>2.24</v>
      </c>
      <c r="F11" s="25">
        <f t="shared" si="3"/>
        <v>20.2574647</v>
      </c>
      <c r="G11" s="25">
        <f t="shared" si="4"/>
        <v>45.376720928</v>
      </c>
      <c r="H11" s="27">
        <v>15</v>
      </c>
      <c r="I11" s="27">
        <v>0</v>
      </c>
      <c r="J11" s="27">
        <v>0</v>
      </c>
      <c r="K11" s="44">
        <v>0.03</v>
      </c>
      <c r="L11" s="27">
        <v>2.3</v>
      </c>
      <c r="M11" s="27">
        <f t="shared" si="0"/>
        <v>17.369</v>
      </c>
      <c r="N11" s="27">
        <f t="shared" si="1"/>
        <v>1.21583</v>
      </c>
      <c r="O11" s="27">
        <f t="shared" si="2"/>
        <v>1.6726347</v>
      </c>
      <c r="P11" s="45" t="s">
        <v>327</v>
      </c>
    </row>
    <row r="12" s="2" customFormat="1" ht="28.8" spans="1:16">
      <c r="A12" s="29" t="s">
        <v>331</v>
      </c>
      <c r="B12" s="30" t="s">
        <v>329</v>
      </c>
      <c r="C12" s="30" t="s">
        <v>332</v>
      </c>
      <c r="D12" s="34" t="s">
        <v>73</v>
      </c>
      <c r="E12" s="32">
        <f>296.71+(2.95+1.11+2.77+2.5*3)</f>
        <v>311.04</v>
      </c>
      <c r="F12" s="25">
        <f t="shared" si="3"/>
        <v>20.8581092</v>
      </c>
      <c r="G12" s="25">
        <f t="shared" si="4"/>
        <v>6487.706285568</v>
      </c>
      <c r="H12" s="27">
        <v>15</v>
      </c>
      <c r="I12" s="27">
        <v>0</v>
      </c>
      <c r="J12" s="27">
        <v>0</v>
      </c>
      <c r="K12" s="44">
        <v>0.03</v>
      </c>
      <c r="L12" s="27">
        <v>2.8</v>
      </c>
      <c r="M12" s="27">
        <f t="shared" si="0"/>
        <v>17.884</v>
      </c>
      <c r="N12" s="27">
        <f t="shared" si="1"/>
        <v>1.25188</v>
      </c>
      <c r="O12" s="27">
        <f t="shared" si="2"/>
        <v>1.7222292</v>
      </c>
      <c r="P12" s="45" t="s">
        <v>327</v>
      </c>
    </row>
    <row r="13" s="2" customFormat="1" ht="28.8" spans="1:16">
      <c r="A13" s="29" t="s">
        <v>333</v>
      </c>
      <c r="B13" s="35" t="s">
        <v>334</v>
      </c>
      <c r="C13" s="36" t="s">
        <v>335</v>
      </c>
      <c r="D13" s="34" t="s">
        <v>73</v>
      </c>
      <c r="E13" s="32">
        <f>759.49+(6.49+3.87+12.02)*3</f>
        <v>826.63</v>
      </c>
      <c r="F13" s="25">
        <f t="shared" si="3"/>
        <v>11.4927202</v>
      </c>
      <c r="G13" s="25">
        <f t="shared" si="4"/>
        <v>9500.227298926</v>
      </c>
      <c r="H13" s="27">
        <v>8</v>
      </c>
      <c r="I13" s="27">
        <v>0</v>
      </c>
      <c r="J13" s="27">
        <v>0</v>
      </c>
      <c r="K13" s="44">
        <v>0.03</v>
      </c>
      <c r="L13" s="27">
        <v>1.8</v>
      </c>
      <c r="M13" s="27">
        <f t="shared" si="0"/>
        <v>9.854</v>
      </c>
      <c r="N13" s="27">
        <f t="shared" si="1"/>
        <v>0.68978</v>
      </c>
      <c r="O13" s="27">
        <f t="shared" si="2"/>
        <v>0.9489402</v>
      </c>
      <c r="P13" s="45" t="s">
        <v>327</v>
      </c>
    </row>
    <row r="14" s="2" customFormat="1" ht="28.8" spans="1:16">
      <c r="A14" s="29" t="s">
        <v>336</v>
      </c>
      <c r="B14" s="35" t="s">
        <v>334</v>
      </c>
      <c r="C14" s="36" t="s">
        <v>337</v>
      </c>
      <c r="D14" s="34" t="s">
        <v>73</v>
      </c>
      <c r="E14" s="32">
        <f>118.31+69.04+(2.95+1.11+2.77+2.5*3)*3</f>
        <v>230.34</v>
      </c>
      <c r="F14" s="25">
        <f t="shared" si="3"/>
        <v>12.5738803</v>
      </c>
      <c r="G14" s="25">
        <f t="shared" si="4"/>
        <v>2896.267588302</v>
      </c>
      <c r="H14" s="27">
        <v>8</v>
      </c>
      <c r="I14" s="27">
        <v>0</v>
      </c>
      <c r="J14" s="27">
        <v>0</v>
      </c>
      <c r="K14" s="44">
        <v>0.03</v>
      </c>
      <c r="L14" s="27">
        <v>2.7</v>
      </c>
      <c r="M14" s="27">
        <f t="shared" si="0"/>
        <v>10.781</v>
      </c>
      <c r="N14" s="27">
        <f t="shared" si="1"/>
        <v>0.75467</v>
      </c>
      <c r="O14" s="27">
        <f t="shared" si="2"/>
        <v>1.0382103</v>
      </c>
      <c r="P14" s="45" t="s">
        <v>327</v>
      </c>
    </row>
    <row r="15" s="1" customFormat="1" ht="28.8" spans="1:16">
      <c r="A15" s="22" t="s">
        <v>338</v>
      </c>
      <c r="B15" s="23" t="s">
        <v>334</v>
      </c>
      <c r="C15" s="37" t="s">
        <v>339</v>
      </c>
      <c r="D15" s="33" t="s">
        <v>73</v>
      </c>
      <c r="E15" s="24">
        <f>(8.94+1.5+1)*3</f>
        <v>34.32</v>
      </c>
      <c r="F15" s="25">
        <f t="shared" si="3"/>
        <v>14.31574935</v>
      </c>
      <c r="G15" s="25">
        <f t="shared" si="4"/>
        <v>491.316517692</v>
      </c>
      <c r="H15" s="27">
        <v>8</v>
      </c>
      <c r="I15" s="27">
        <v>0</v>
      </c>
      <c r="J15" s="27">
        <v>0</v>
      </c>
      <c r="K15" s="44">
        <v>0.03</v>
      </c>
      <c r="L15" s="27">
        <v>4.15</v>
      </c>
      <c r="M15" s="27">
        <f t="shared" si="0"/>
        <v>12.2745</v>
      </c>
      <c r="N15" s="27">
        <f t="shared" si="1"/>
        <v>0.859215</v>
      </c>
      <c r="O15" s="27">
        <f t="shared" si="2"/>
        <v>1.18203435</v>
      </c>
      <c r="P15" s="45" t="s">
        <v>327</v>
      </c>
    </row>
    <row r="16" s="1" customFormat="1" ht="38.4" spans="1:16">
      <c r="A16" s="22" t="s">
        <v>340</v>
      </c>
      <c r="B16" s="23" t="s">
        <v>341</v>
      </c>
      <c r="C16" s="37" t="s">
        <v>342</v>
      </c>
      <c r="D16" s="24" t="s">
        <v>343</v>
      </c>
      <c r="E16" s="24">
        <v>4</v>
      </c>
      <c r="F16" s="25">
        <f t="shared" si="3"/>
        <v>418.58507</v>
      </c>
      <c r="G16" s="25">
        <f t="shared" si="4"/>
        <v>1674.34028</v>
      </c>
      <c r="H16" s="27">
        <v>20</v>
      </c>
      <c r="I16" s="27">
        <v>5</v>
      </c>
      <c r="J16" s="27">
        <v>5</v>
      </c>
      <c r="K16" s="44">
        <v>0</v>
      </c>
      <c r="L16" s="27">
        <v>328.9</v>
      </c>
      <c r="M16" s="27">
        <f t="shared" si="0"/>
        <v>358.9</v>
      </c>
      <c r="N16" s="27">
        <f t="shared" si="1"/>
        <v>25.123</v>
      </c>
      <c r="O16" s="27">
        <f t="shared" si="2"/>
        <v>34.56207</v>
      </c>
      <c r="P16" s="43" t="s">
        <v>344</v>
      </c>
    </row>
    <row r="17" s="1" customFormat="1" ht="38.4" spans="1:16">
      <c r="A17" s="22" t="s">
        <v>345</v>
      </c>
      <c r="B17" s="23" t="s">
        <v>341</v>
      </c>
      <c r="C17" s="37" t="s">
        <v>346</v>
      </c>
      <c r="D17" s="24" t="s">
        <v>343</v>
      </c>
      <c r="E17" s="24">
        <v>6</v>
      </c>
      <c r="F17" s="25">
        <f t="shared" si="3"/>
        <v>418.58507</v>
      </c>
      <c r="G17" s="25">
        <f t="shared" si="4"/>
        <v>2511.51042</v>
      </c>
      <c r="H17" s="27">
        <v>20</v>
      </c>
      <c r="I17" s="27">
        <v>5</v>
      </c>
      <c r="J17" s="27">
        <v>5</v>
      </c>
      <c r="K17" s="44">
        <v>0</v>
      </c>
      <c r="L17" s="27">
        <v>328.9</v>
      </c>
      <c r="M17" s="27">
        <f t="shared" si="0"/>
        <v>358.9</v>
      </c>
      <c r="N17" s="27">
        <f t="shared" si="1"/>
        <v>25.123</v>
      </c>
      <c r="O17" s="27">
        <f t="shared" si="2"/>
        <v>34.56207</v>
      </c>
      <c r="P17" s="43" t="s">
        <v>344</v>
      </c>
    </row>
    <row r="18" s="1" customFormat="1" ht="38.4" spans="1:16">
      <c r="A18" s="22" t="s">
        <v>347</v>
      </c>
      <c r="B18" s="23" t="s">
        <v>341</v>
      </c>
      <c r="C18" s="37" t="s">
        <v>348</v>
      </c>
      <c r="D18" s="24" t="s">
        <v>343</v>
      </c>
      <c r="E18" s="24">
        <v>2</v>
      </c>
      <c r="F18" s="25">
        <f t="shared" si="3"/>
        <v>418.58507</v>
      </c>
      <c r="G18" s="25">
        <f t="shared" si="4"/>
        <v>837.17014</v>
      </c>
      <c r="H18" s="27">
        <v>20</v>
      </c>
      <c r="I18" s="27">
        <v>5</v>
      </c>
      <c r="J18" s="27">
        <v>5</v>
      </c>
      <c r="K18" s="44">
        <v>0</v>
      </c>
      <c r="L18" s="27">
        <v>328.9</v>
      </c>
      <c r="M18" s="27">
        <f t="shared" si="0"/>
        <v>358.9</v>
      </c>
      <c r="N18" s="27">
        <f t="shared" si="1"/>
        <v>25.123</v>
      </c>
      <c r="O18" s="27">
        <f t="shared" si="2"/>
        <v>34.56207</v>
      </c>
      <c r="P18" s="43" t="s">
        <v>344</v>
      </c>
    </row>
    <row r="19" s="1" customFormat="1" ht="38.4" spans="1:16">
      <c r="A19" s="22" t="s">
        <v>349</v>
      </c>
      <c r="B19" s="23" t="s">
        <v>341</v>
      </c>
      <c r="C19" s="37" t="s">
        <v>350</v>
      </c>
      <c r="D19" s="24" t="s">
        <v>343</v>
      </c>
      <c r="E19" s="24">
        <f>8+3</f>
        <v>11</v>
      </c>
      <c r="F19" s="25">
        <f t="shared" si="3"/>
        <v>418.58507</v>
      </c>
      <c r="G19" s="25">
        <f t="shared" si="4"/>
        <v>4604.43577</v>
      </c>
      <c r="H19" s="27">
        <v>20</v>
      </c>
      <c r="I19" s="27">
        <v>5</v>
      </c>
      <c r="J19" s="27">
        <v>5</v>
      </c>
      <c r="K19" s="44">
        <v>0</v>
      </c>
      <c r="L19" s="27">
        <v>328.9</v>
      </c>
      <c r="M19" s="27">
        <f t="shared" si="0"/>
        <v>358.9</v>
      </c>
      <c r="N19" s="27">
        <f t="shared" si="1"/>
        <v>25.123</v>
      </c>
      <c r="O19" s="27">
        <f t="shared" si="2"/>
        <v>34.56207</v>
      </c>
      <c r="P19" s="43" t="s">
        <v>344</v>
      </c>
    </row>
    <row r="20" s="1" customFormat="1" ht="38.4" spans="1:16">
      <c r="A20" s="22" t="s">
        <v>351</v>
      </c>
      <c r="B20" s="23" t="s">
        <v>341</v>
      </c>
      <c r="C20" s="37" t="s">
        <v>352</v>
      </c>
      <c r="D20" s="24" t="s">
        <v>343</v>
      </c>
      <c r="E20" s="24">
        <f>2+1</f>
        <v>3</v>
      </c>
      <c r="F20" s="25">
        <f t="shared" si="3"/>
        <v>418.58507</v>
      </c>
      <c r="G20" s="25">
        <f t="shared" si="4"/>
        <v>1255.75521</v>
      </c>
      <c r="H20" s="27">
        <v>20</v>
      </c>
      <c r="I20" s="27">
        <v>5</v>
      </c>
      <c r="J20" s="27">
        <v>5</v>
      </c>
      <c r="K20" s="44">
        <v>0</v>
      </c>
      <c r="L20" s="27">
        <v>328.9</v>
      </c>
      <c r="M20" s="27">
        <f t="shared" si="0"/>
        <v>358.9</v>
      </c>
      <c r="N20" s="27">
        <f t="shared" si="1"/>
        <v>25.123</v>
      </c>
      <c r="O20" s="27">
        <f t="shared" si="2"/>
        <v>34.56207</v>
      </c>
      <c r="P20" s="43" t="s">
        <v>344</v>
      </c>
    </row>
    <row r="21" s="1" customFormat="1" ht="38.4" spans="1:16">
      <c r="A21" s="22" t="s">
        <v>353</v>
      </c>
      <c r="B21" s="23" t="s">
        <v>341</v>
      </c>
      <c r="C21" s="37" t="s">
        <v>354</v>
      </c>
      <c r="D21" s="24" t="s">
        <v>343</v>
      </c>
      <c r="E21" s="24">
        <v>1</v>
      </c>
      <c r="F21" s="25">
        <f t="shared" si="3"/>
        <v>418.58507</v>
      </c>
      <c r="G21" s="25">
        <f t="shared" si="4"/>
        <v>418.58507</v>
      </c>
      <c r="H21" s="27">
        <v>20</v>
      </c>
      <c r="I21" s="27">
        <v>5</v>
      </c>
      <c r="J21" s="27">
        <v>5</v>
      </c>
      <c r="K21" s="44">
        <v>0</v>
      </c>
      <c r="L21" s="27">
        <v>328.9</v>
      </c>
      <c r="M21" s="27">
        <f t="shared" si="0"/>
        <v>358.9</v>
      </c>
      <c r="N21" s="27">
        <f t="shared" si="1"/>
        <v>25.123</v>
      </c>
      <c r="O21" s="27">
        <f t="shared" si="2"/>
        <v>34.56207</v>
      </c>
      <c r="P21" s="43" t="s">
        <v>344</v>
      </c>
    </row>
    <row r="22" s="1" customFormat="1" ht="38.4" spans="1:16">
      <c r="A22" s="22" t="s">
        <v>355</v>
      </c>
      <c r="B22" s="23" t="s">
        <v>341</v>
      </c>
      <c r="C22" s="37" t="s">
        <v>356</v>
      </c>
      <c r="D22" s="24" t="s">
        <v>343</v>
      </c>
      <c r="E22" s="24">
        <v>1</v>
      </c>
      <c r="F22" s="25">
        <f t="shared" si="3"/>
        <v>418.58507</v>
      </c>
      <c r="G22" s="25">
        <f t="shared" si="4"/>
        <v>418.58507</v>
      </c>
      <c r="H22" s="27">
        <v>20</v>
      </c>
      <c r="I22" s="27">
        <v>5</v>
      </c>
      <c r="J22" s="27">
        <v>5</v>
      </c>
      <c r="K22" s="44">
        <v>0</v>
      </c>
      <c r="L22" s="27">
        <v>328.9</v>
      </c>
      <c r="M22" s="27">
        <f t="shared" si="0"/>
        <v>358.9</v>
      </c>
      <c r="N22" s="27">
        <f t="shared" si="1"/>
        <v>25.123</v>
      </c>
      <c r="O22" s="27">
        <f t="shared" si="2"/>
        <v>34.56207</v>
      </c>
      <c r="P22" s="43" t="s">
        <v>344</v>
      </c>
    </row>
    <row r="23" s="2" customFormat="1" ht="38.4" spans="1:16">
      <c r="A23" s="29" t="s">
        <v>357</v>
      </c>
      <c r="B23" s="35" t="s">
        <v>341</v>
      </c>
      <c r="C23" s="36" t="s">
        <v>358</v>
      </c>
      <c r="D23" s="32" t="s">
        <v>343</v>
      </c>
      <c r="E23" s="32">
        <f>27+4</f>
        <v>31</v>
      </c>
      <c r="F23" s="25">
        <f t="shared" si="3"/>
        <v>23.20937</v>
      </c>
      <c r="G23" s="25">
        <f t="shared" si="4"/>
        <v>719.49047</v>
      </c>
      <c r="H23" s="27">
        <v>5</v>
      </c>
      <c r="I23" s="27">
        <v>0</v>
      </c>
      <c r="J23" s="27">
        <v>0</v>
      </c>
      <c r="K23" s="44">
        <v>0</v>
      </c>
      <c r="L23" s="27">
        <v>14.9</v>
      </c>
      <c r="M23" s="27">
        <f t="shared" si="0"/>
        <v>19.9</v>
      </c>
      <c r="N23" s="27">
        <f t="shared" si="1"/>
        <v>1.393</v>
      </c>
      <c r="O23" s="27">
        <f t="shared" si="2"/>
        <v>1.91637</v>
      </c>
      <c r="P23" s="43" t="s">
        <v>344</v>
      </c>
    </row>
    <row r="24" s="1" customFormat="1" ht="38.4" spans="1:16">
      <c r="A24" s="22" t="s">
        <v>359</v>
      </c>
      <c r="B24" s="23" t="s">
        <v>341</v>
      </c>
      <c r="C24" s="37" t="s">
        <v>360</v>
      </c>
      <c r="D24" s="24" t="s">
        <v>343</v>
      </c>
      <c r="E24" s="24">
        <v>3</v>
      </c>
      <c r="F24" s="25">
        <f t="shared" si="3"/>
        <v>39.53757</v>
      </c>
      <c r="G24" s="25">
        <f t="shared" si="4"/>
        <v>118.61271</v>
      </c>
      <c r="H24" s="27">
        <v>5</v>
      </c>
      <c r="I24" s="27">
        <v>0</v>
      </c>
      <c r="J24" s="27">
        <v>0</v>
      </c>
      <c r="K24" s="44">
        <v>0</v>
      </c>
      <c r="L24" s="27">
        <v>28.9</v>
      </c>
      <c r="M24" s="27">
        <f t="shared" si="0"/>
        <v>33.9</v>
      </c>
      <c r="N24" s="27">
        <f t="shared" si="1"/>
        <v>2.373</v>
      </c>
      <c r="O24" s="27">
        <f t="shared" si="2"/>
        <v>3.26457</v>
      </c>
      <c r="P24" s="43" t="s">
        <v>344</v>
      </c>
    </row>
    <row r="25" s="1" customFormat="1" ht="38.4" spans="1:16">
      <c r="A25" s="22" t="s">
        <v>361</v>
      </c>
      <c r="B25" s="23" t="s">
        <v>341</v>
      </c>
      <c r="C25" s="37" t="s">
        <v>362</v>
      </c>
      <c r="D25" s="24" t="s">
        <v>343</v>
      </c>
      <c r="E25" s="24">
        <v>8</v>
      </c>
      <c r="F25" s="25">
        <f t="shared" si="3"/>
        <v>46.53537</v>
      </c>
      <c r="G25" s="25">
        <f t="shared" si="4"/>
        <v>372.28296</v>
      </c>
      <c r="H25" s="27">
        <v>5</v>
      </c>
      <c r="I25" s="27">
        <v>0</v>
      </c>
      <c r="J25" s="27">
        <v>0</v>
      </c>
      <c r="K25" s="44">
        <v>0</v>
      </c>
      <c r="L25" s="27">
        <v>34.9</v>
      </c>
      <c r="M25" s="27">
        <f t="shared" si="0"/>
        <v>39.9</v>
      </c>
      <c r="N25" s="27">
        <f t="shared" si="1"/>
        <v>2.793</v>
      </c>
      <c r="O25" s="27">
        <f t="shared" si="2"/>
        <v>3.84237</v>
      </c>
      <c r="P25" s="43" t="s">
        <v>344</v>
      </c>
    </row>
    <row r="26" s="1" customFormat="1" ht="38.4" spans="1:16">
      <c r="A26" s="22" t="s">
        <v>363</v>
      </c>
      <c r="B26" s="23" t="s">
        <v>341</v>
      </c>
      <c r="C26" s="37" t="s">
        <v>364</v>
      </c>
      <c r="D26" s="24" t="s">
        <v>343</v>
      </c>
      <c r="E26" s="24">
        <v>3</v>
      </c>
      <c r="F26" s="25">
        <f t="shared" si="3"/>
        <v>72.07734</v>
      </c>
      <c r="G26" s="25">
        <f t="shared" si="4"/>
        <v>216.23202</v>
      </c>
      <c r="H26" s="27">
        <v>5</v>
      </c>
      <c r="I26" s="27">
        <v>0</v>
      </c>
      <c r="J26" s="27">
        <v>0</v>
      </c>
      <c r="K26" s="44">
        <v>0</v>
      </c>
      <c r="L26" s="27">
        <v>56.8</v>
      </c>
      <c r="M26" s="27">
        <f t="shared" si="0"/>
        <v>61.8</v>
      </c>
      <c r="N26" s="27">
        <f t="shared" si="1"/>
        <v>4.326</v>
      </c>
      <c r="O26" s="27">
        <f t="shared" si="2"/>
        <v>5.95134</v>
      </c>
      <c r="P26" s="43" t="s">
        <v>344</v>
      </c>
    </row>
    <row r="27" s="1" customFormat="1" ht="38.4" spans="1:16">
      <c r="A27" s="22" t="s">
        <v>365</v>
      </c>
      <c r="B27" s="23" t="s">
        <v>341</v>
      </c>
      <c r="C27" s="37" t="s">
        <v>366</v>
      </c>
      <c r="D27" s="24" t="s">
        <v>343</v>
      </c>
      <c r="E27" s="24">
        <v>1</v>
      </c>
      <c r="F27" s="25">
        <f t="shared" si="3"/>
        <v>156.2842</v>
      </c>
      <c r="G27" s="25">
        <f t="shared" si="4"/>
        <v>156.2842</v>
      </c>
      <c r="H27" s="27">
        <v>5</v>
      </c>
      <c r="I27" s="27">
        <v>0</v>
      </c>
      <c r="J27" s="27">
        <v>0</v>
      </c>
      <c r="K27" s="44">
        <v>0</v>
      </c>
      <c r="L27" s="27">
        <v>129</v>
      </c>
      <c r="M27" s="27">
        <f t="shared" si="0"/>
        <v>134</v>
      </c>
      <c r="N27" s="27">
        <f t="shared" si="1"/>
        <v>9.38</v>
      </c>
      <c r="O27" s="27">
        <f t="shared" si="2"/>
        <v>12.9042</v>
      </c>
      <c r="P27" s="43" t="s">
        <v>344</v>
      </c>
    </row>
    <row r="28" s="1" customFormat="1" ht="28.8" spans="1:16">
      <c r="A28" s="22" t="s">
        <v>367</v>
      </c>
      <c r="B28" s="26" t="s">
        <v>368</v>
      </c>
      <c r="C28" s="26" t="s">
        <v>369</v>
      </c>
      <c r="D28" s="33" t="s">
        <v>343</v>
      </c>
      <c r="E28" s="24">
        <v>116</v>
      </c>
      <c r="F28" s="25">
        <f t="shared" si="3"/>
        <v>9.21377</v>
      </c>
      <c r="G28" s="25">
        <f t="shared" si="4"/>
        <v>1068.79732</v>
      </c>
      <c r="H28" s="27">
        <v>5</v>
      </c>
      <c r="I28" s="27">
        <v>0</v>
      </c>
      <c r="J28" s="27">
        <v>0</v>
      </c>
      <c r="K28" s="44">
        <v>0</v>
      </c>
      <c r="L28" s="27">
        <v>2.9</v>
      </c>
      <c r="M28" s="27">
        <f t="shared" si="0"/>
        <v>7.9</v>
      </c>
      <c r="N28" s="27">
        <f t="shared" si="1"/>
        <v>0.553</v>
      </c>
      <c r="O28" s="27">
        <f t="shared" si="2"/>
        <v>0.76077</v>
      </c>
      <c r="P28" s="43" t="s">
        <v>323</v>
      </c>
    </row>
    <row r="29" s="1" customFormat="1" ht="28.8" spans="1:16">
      <c r="A29" s="22" t="s">
        <v>370</v>
      </c>
      <c r="B29" s="23" t="s">
        <v>371</v>
      </c>
      <c r="C29" s="26" t="s">
        <v>372</v>
      </c>
      <c r="D29" s="33" t="s">
        <v>343</v>
      </c>
      <c r="E29" s="24">
        <v>3</v>
      </c>
      <c r="F29" s="25">
        <f t="shared" si="3"/>
        <v>167.9472</v>
      </c>
      <c r="G29" s="25">
        <f t="shared" si="4"/>
        <v>503.8416</v>
      </c>
      <c r="H29" s="27">
        <v>5</v>
      </c>
      <c r="I29" s="27">
        <v>0</v>
      </c>
      <c r="J29" s="27">
        <v>0</v>
      </c>
      <c r="K29" s="44">
        <v>0</v>
      </c>
      <c r="L29" s="27">
        <v>139</v>
      </c>
      <c r="M29" s="27">
        <f t="shared" si="0"/>
        <v>144</v>
      </c>
      <c r="N29" s="27">
        <f t="shared" si="1"/>
        <v>10.08</v>
      </c>
      <c r="O29" s="27">
        <f t="shared" si="2"/>
        <v>13.8672</v>
      </c>
      <c r="P29" s="43" t="s">
        <v>373</v>
      </c>
    </row>
    <row r="30" s="1" customFormat="1" ht="28.8" spans="1:16">
      <c r="A30" s="22" t="s">
        <v>374</v>
      </c>
      <c r="B30" s="23" t="s">
        <v>371</v>
      </c>
      <c r="C30" s="26" t="s">
        <v>375</v>
      </c>
      <c r="D30" s="33" t="s">
        <v>343</v>
      </c>
      <c r="E30" s="24">
        <v>2</v>
      </c>
      <c r="F30" s="25">
        <f t="shared" si="3"/>
        <v>466.52</v>
      </c>
      <c r="G30" s="25">
        <f t="shared" si="4"/>
        <v>933.04</v>
      </c>
      <c r="H30" s="27">
        <v>5</v>
      </c>
      <c r="I30" s="27">
        <v>0</v>
      </c>
      <c r="J30" s="27">
        <v>0</v>
      </c>
      <c r="K30" s="44">
        <v>0</v>
      </c>
      <c r="L30" s="27">
        <v>395</v>
      </c>
      <c r="M30" s="27">
        <f t="shared" si="0"/>
        <v>400</v>
      </c>
      <c r="N30" s="27">
        <f t="shared" si="1"/>
        <v>28</v>
      </c>
      <c r="O30" s="27">
        <f t="shared" si="2"/>
        <v>38.52</v>
      </c>
      <c r="P30" s="43" t="s">
        <v>373</v>
      </c>
    </row>
    <row r="31" s="1" customFormat="1" ht="28.8" spans="1:16">
      <c r="A31" s="22" t="s">
        <v>376</v>
      </c>
      <c r="B31" s="23" t="s">
        <v>371</v>
      </c>
      <c r="C31" s="26" t="s">
        <v>377</v>
      </c>
      <c r="D31" s="33" t="s">
        <v>343</v>
      </c>
      <c r="E31" s="24">
        <v>4</v>
      </c>
      <c r="F31" s="25">
        <f t="shared" si="3"/>
        <v>212.2666</v>
      </c>
      <c r="G31" s="25">
        <f t="shared" si="4"/>
        <v>849.0664</v>
      </c>
      <c r="H31" s="27">
        <v>5</v>
      </c>
      <c r="I31" s="27">
        <v>0</v>
      </c>
      <c r="J31" s="27">
        <v>0</v>
      </c>
      <c r="K31" s="44">
        <v>0</v>
      </c>
      <c r="L31" s="27">
        <v>177</v>
      </c>
      <c r="M31" s="27">
        <f t="shared" si="0"/>
        <v>182</v>
      </c>
      <c r="N31" s="27">
        <f t="shared" si="1"/>
        <v>12.74</v>
      </c>
      <c r="O31" s="27">
        <f t="shared" si="2"/>
        <v>17.5266</v>
      </c>
      <c r="P31" s="43" t="s">
        <v>373</v>
      </c>
    </row>
    <row r="32" s="1" customFormat="1" ht="28.8" spans="1:16">
      <c r="A32" s="22" t="s">
        <v>378</v>
      </c>
      <c r="B32" s="23" t="s">
        <v>371</v>
      </c>
      <c r="C32" s="26" t="s">
        <v>379</v>
      </c>
      <c r="D32" s="33" t="s">
        <v>343</v>
      </c>
      <c r="E32" s="24">
        <v>8</v>
      </c>
      <c r="F32" s="25">
        <f t="shared" si="3"/>
        <v>223.69634</v>
      </c>
      <c r="G32" s="25">
        <f t="shared" si="4"/>
        <v>1789.57072</v>
      </c>
      <c r="H32" s="27">
        <v>5</v>
      </c>
      <c r="I32" s="27">
        <v>0</v>
      </c>
      <c r="J32" s="27">
        <v>0</v>
      </c>
      <c r="K32" s="44">
        <v>0</v>
      </c>
      <c r="L32" s="27">
        <v>186.8</v>
      </c>
      <c r="M32" s="27">
        <f t="shared" si="0"/>
        <v>191.8</v>
      </c>
      <c r="N32" s="27">
        <f t="shared" si="1"/>
        <v>13.426</v>
      </c>
      <c r="O32" s="27">
        <f t="shared" si="2"/>
        <v>18.47034</v>
      </c>
      <c r="P32" s="43" t="s">
        <v>373</v>
      </c>
    </row>
    <row r="33" s="1" customFormat="1" ht="28.8" spans="1:16">
      <c r="A33" s="22" t="s">
        <v>380</v>
      </c>
      <c r="B33" s="23" t="s">
        <v>371</v>
      </c>
      <c r="C33" s="26" t="s">
        <v>381</v>
      </c>
      <c r="D33" s="33" t="s">
        <v>343</v>
      </c>
      <c r="E33" s="24">
        <v>26</v>
      </c>
      <c r="F33" s="25">
        <f t="shared" si="3"/>
        <v>212.2666</v>
      </c>
      <c r="G33" s="25">
        <f t="shared" si="4"/>
        <v>5518.9316</v>
      </c>
      <c r="H33" s="27">
        <v>5</v>
      </c>
      <c r="I33" s="27">
        <v>0</v>
      </c>
      <c r="J33" s="27">
        <v>0</v>
      </c>
      <c r="K33" s="44">
        <v>0</v>
      </c>
      <c r="L33" s="27">
        <v>177</v>
      </c>
      <c r="M33" s="27">
        <f t="shared" si="0"/>
        <v>182</v>
      </c>
      <c r="N33" s="27">
        <f t="shared" si="1"/>
        <v>12.74</v>
      </c>
      <c r="O33" s="27">
        <f t="shared" si="2"/>
        <v>17.5266</v>
      </c>
      <c r="P33" s="43" t="s">
        <v>373</v>
      </c>
    </row>
    <row r="34" s="1" customFormat="1" ht="28.8" spans="1:16">
      <c r="A34" s="22" t="s">
        <v>382</v>
      </c>
      <c r="B34" s="23" t="s">
        <v>371</v>
      </c>
      <c r="C34" s="26" t="s">
        <v>383</v>
      </c>
      <c r="D34" s="33" t="s">
        <v>343</v>
      </c>
      <c r="E34" s="24">
        <v>1</v>
      </c>
      <c r="F34" s="25">
        <f t="shared" si="3"/>
        <v>30.3238</v>
      </c>
      <c r="G34" s="25">
        <f t="shared" si="4"/>
        <v>30.3238</v>
      </c>
      <c r="H34" s="27">
        <v>5</v>
      </c>
      <c r="I34" s="27">
        <v>0</v>
      </c>
      <c r="J34" s="27">
        <v>0</v>
      </c>
      <c r="K34" s="44">
        <v>0</v>
      </c>
      <c r="L34" s="27">
        <v>21</v>
      </c>
      <c r="M34" s="27">
        <f t="shared" si="0"/>
        <v>26</v>
      </c>
      <c r="N34" s="27">
        <f t="shared" si="1"/>
        <v>1.82</v>
      </c>
      <c r="O34" s="27">
        <f t="shared" si="2"/>
        <v>2.5038</v>
      </c>
      <c r="P34" s="43" t="s">
        <v>373</v>
      </c>
    </row>
    <row r="35" s="1" customFormat="1" ht="28.8" spans="1:16">
      <c r="A35" s="22" t="s">
        <v>384</v>
      </c>
      <c r="B35" s="23" t="s">
        <v>371</v>
      </c>
      <c r="C35" s="26" t="s">
        <v>385</v>
      </c>
      <c r="D35" s="33" t="s">
        <v>343</v>
      </c>
      <c r="E35" s="24">
        <v>1</v>
      </c>
      <c r="F35" s="25">
        <f t="shared" si="3"/>
        <v>121.2952</v>
      </c>
      <c r="G35" s="25">
        <f t="shared" si="4"/>
        <v>121.2952</v>
      </c>
      <c r="H35" s="27">
        <v>5</v>
      </c>
      <c r="I35" s="27">
        <v>0</v>
      </c>
      <c r="J35" s="27">
        <v>0</v>
      </c>
      <c r="K35" s="44">
        <v>0</v>
      </c>
      <c r="L35" s="27">
        <v>99</v>
      </c>
      <c r="M35" s="27">
        <f t="shared" si="0"/>
        <v>104</v>
      </c>
      <c r="N35" s="27">
        <f t="shared" si="1"/>
        <v>7.28</v>
      </c>
      <c r="O35" s="27">
        <f t="shared" si="2"/>
        <v>10.0152</v>
      </c>
      <c r="P35" s="43" t="s">
        <v>373</v>
      </c>
    </row>
    <row r="36" s="1" customFormat="1" ht="28.8" spans="1:16">
      <c r="A36" s="22" t="s">
        <v>386</v>
      </c>
      <c r="B36" s="23" t="s">
        <v>371</v>
      </c>
      <c r="C36" s="26" t="s">
        <v>387</v>
      </c>
      <c r="D36" s="33" t="s">
        <v>343</v>
      </c>
      <c r="E36" s="24">
        <v>1</v>
      </c>
      <c r="F36" s="25">
        <f t="shared" si="3"/>
        <v>358.0541</v>
      </c>
      <c r="G36" s="25">
        <f t="shared" si="4"/>
        <v>358.0541</v>
      </c>
      <c r="H36" s="27">
        <v>5</v>
      </c>
      <c r="I36" s="27">
        <v>0</v>
      </c>
      <c r="J36" s="27">
        <v>0</v>
      </c>
      <c r="K36" s="44">
        <v>0</v>
      </c>
      <c r="L36" s="27">
        <v>302</v>
      </c>
      <c r="M36" s="27">
        <f t="shared" si="0"/>
        <v>307</v>
      </c>
      <c r="N36" s="27">
        <f t="shared" si="1"/>
        <v>21.49</v>
      </c>
      <c r="O36" s="27">
        <f t="shared" si="2"/>
        <v>29.5641</v>
      </c>
      <c r="P36" s="43" t="s">
        <v>373</v>
      </c>
    </row>
    <row r="37" s="1" customFormat="1" ht="28.8" spans="1:16">
      <c r="A37" s="22" t="s">
        <v>388</v>
      </c>
      <c r="B37" s="26" t="s">
        <v>389</v>
      </c>
      <c r="C37" s="26" t="s">
        <v>390</v>
      </c>
      <c r="D37" s="24" t="s">
        <v>73</v>
      </c>
      <c r="E37" s="24">
        <v>66.26</v>
      </c>
      <c r="F37" s="25">
        <f t="shared" si="3"/>
        <v>44.3194</v>
      </c>
      <c r="G37" s="25">
        <f t="shared" si="4"/>
        <v>2936.603444</v>
      </c>
      <c r="H37" s="27">
        <v>10</v>
      </c>
      <c r="I37" s="27">
        <v>0</v>
      </c>
      <c r="J37" s="27">
        <v>0</v>
      </c>
      <c r="K37" s="44">
        <v>0</v>
      </c>
      <c r="L37" s="27">
        <v>28</v>
      </c>
      <c r="M37" s="27">
        <f t="shared" si="0"/>
        <v>38</v>
      </c>
      <c r="N37" s="27">
        <f t="shared" si="1"/>
        <v>2.66</v>
      </c>
      <c r="O37" s="27">
        <f t="shared" si="2"/>
        <v>3.6594</v>
      </c>
      <c r="P37" s="43" t="s">
        <v>373</v>
      </c>
    </row>
    <row r="38" s="1" customFormat="1" ht="28.8" spans="1:16">
      <c r="A38" s="22" t="s">
        <v>391</v>
      </c>
      <c r="B38" s="26" t="s">
        <v>389</v>
      </c>
      <c r="C38" s="26" t="s">
        <v>392</v>
      </c>
      <c r="D38" s="24" t="s">
        <v>73</v>
      </c>
      <c r="E38" s="24">
        <v>11.72</v>
      </c>
      <c r="F38" s="25">
        <f t="shared" si="3"/>
        <v>44.3194</v>
      </c>
      <c r="G38" s="25">
        <f t="shared" si="4"/>
        <v>519.423368</v>
      </c>
      <c r="H38" s="27">
        <v>10</v>
      </c>
      <c r="I38" s="27">
        <v>0</v>
      </c>
      <c r="J38" s="27">
        <v>0</v>
      </c>
      <c r="K38" s="44">
        <v>0</v>
      </c>
      <c r="L38" s="27">
        <v>28</v>
      </c>
      <c r="M38" s="27">
        <f t="shared" si="0"/>
        <v>38</v>
      </c>
      <c r="N38" s="27">
        <f t="shared" si="1"/>
        <v>2.66</v>
      </c>
      <c r="O38" s="27">
        <f t="shared" si="2"/>
        <v>3.6594</v>
      </c>
      <c r="P38" s="43" t="s">
        <v>373</v>
      </c>
    </row>
    <row r="39" s="1" customFormat="1" ht="19.2" spans="1:16">
      <c r="A39" s="22" t="s">
        <v>393</v>
      </c>
      <c r="B39" s="23" t="s">
        <v>394</v>
      </c>
      <c r="C39" s="37" t="s">
        <v>395</v>
      </c>
      <c r="D39" s="24" t="s">
        <v>343</v>
      </c>
      <c r="E39" s="24">
        <v>1</v>
      </c>
      <c r="F39" s="25">
        <f t="shared" si="3"/>
        <v>233.26</v>
      </c>
      <c r="G39" s="25">
        <f t="shared" si="4"/>
        <v>233.26</v>
      </c>
      <c r="H39" s="27">
        <v>50</v>
      </c>
      <c r="I39" s="27">
        <v>0</v>
      </c>
      <c r="J39" s="27">
        <v>0</v>
      </c>
      <c r="K39" s="44">
        <v>0</v>
      </c>
      <c r="L39" s="27">
        <v>150</v>
      </c>
      <c r="M39" s="27">
        <f t="shared" si="0"/>
        <v>200</v>
      </c>
      <c r="N39" s="27">
        <f t="shared" si="1"/>
        <v>14</v>
      </c>
      <c r="O39" s="27">
        <f t="shared" si="2"/>
        <v>19.26</v>
      </c>
      <c r="P39" s="43" t="s">
        <v>323</v>
      </c>
    </row>
    <row r="40" s="1" customFormat="1" ht="28.8" spans="1:16">
      <c r="A40" s="22" t="s">
        <v>396</v>
      </c>
      <c r="B40" s="26" t="s">
        <v>329</v>
      </c>
      <c r="C40" s="26" t="s">
        <v>332</v>
      </c>
      <c r="D40" s="33" t="s">
        <v>73</v>
      </c>
      <c r="E40" s="25">
        <f>0.3*3+8.25+3.27*2+0.9*2+0.3</f>
        <v>17.79</v>
      </c>
      <c r="F40" s="25">
        <f t="shared" ref="F40:F71" si="5">M40+N40+O40</f>
        <v>20.76014</v>
      </c>
      <c r="G40" s="25">
        <f t="shared" ref="G40:G71" si="6">E40*F40</f>
        <v>369.3228906</v>
      </c>
      <c r="H40" s="27">
        <v>15</v>
      </c>
      <c r="I40" s="27">
        <v>0</v>
      </c>
      <c r="J40" s="27">
        <v>0</v>
      </c>
      <c r="K40" s="44">
        <v>0</v>
      </c>
      <c r="L40" s="27">
        <v>2.8</v>
      </c>
      <c r="M40" s="27">
        <f t="shared" si="0"/>
        <v>17.8</v>
      </c>
      <c r="N40" s="27">
        <f t="shared" si="1"/>
        <v>1.246</v>
      </c>
      <c r="O40" s="27">
        <f t="shared" si="2"/>
        <v>1.71414</v>
      </c>
      <c r="P40" s="43" t="s">
        <v>327</v>
      </c>
    </row>
    <row r="41" s="1" customFormat="1" ht="28.8" spans="1:16">
      <c r="A41" s="22" t="s">
        <v>397</v>
      </c>
      <c r="B41" s="23" t="s">
        <v>334</v>
      </c>
      <c r="C41" s="37" t="s">
        <v>398</v>
      </c>
      <c r="D41" s="33" t="s">
        <v>73</v>
      </c>
      <c r="E41" s="25">
        <f>0.3*2+8.25+3.27+0.9+0.3</f>
        <v>13.32</v>
      </c>
      <c r="F41" s="25">
        <f t="shared" si="5"/>
        <v>5.24835</v>
      </c>
      <c r="G41" s="25">
        <f t="shared" si="6"/>
        <v>69.908022</v>
      </c>
      <c r="H41" s="27">
        <v>2</v>
      </c>
      <c r="I41" s="27">
        <v>0</v>
      </c>
      <c r="J41" s="27">
        <v>0</v>
      </c>
      <c r="K41" s="44">
        <v>0</v>
      </c>
      <c r="L41" s="27">
        <v>2.5</v>
      </c>
      <c r="M41" s="27">
        <f t="shared" si="0"/>
        <v>4.5</v>
      </c>
      <c r="N41" s="27">
        <f t="shared" si="1"/>
        <v>0.315</v>
      </c>
      <c r="O41" s="27">
        <f t="shared" si="2"/>
        <v>0.43335</v>
      </c>
      <c r="P41" s="43" t="s">
        <v>327</v>
      </c>
    </row>
    <row r="42" s="1" customFormat="1" ht="28.8" spans="1:16">
      <c r="A42" s="22" t="s">
        <v>399</v>
      </c>
      <c r="B42" s="23" t="s">
        <v>334</v>
      </c>
      <c r="C42" s="37" t="s">
        <v>400</v>
      </c>
      <c r="D42" s="33" t="s">
        <v>73</v>
      </c>
      <c r="E42" s="24">
        <f>0.3+3.27+0.9</f>
        <v>4.47</v>
      </c>
      <c r="F42" s="25">
        <f t="shared" si="5"/>
        <v>9.3304</v>
      </c>
      <c r="G42" s="25">
        <f t="shared" si="6"/>
        <v>41.706888</v>
      </c>
      <c r="H42" s="27">
        <v>8</v>
      </c>
      <c r="I42" s="27">
        <v>0</v>
      </c>
      <c r="J42" s="27">
        <v>0</v>
      </c>
      <c r="K42" s="44">
        <v>0</v>
      </c>
      <c r="L42" s="27">
        <v>0</v>
      </c>
      <c r="M42" s="27">
        <f t="shared" si="0"/>
        <v>8</v>
      </c>
      <c r="N42" s="27">
        <f t="shared" si="1"/>
        <v>0.56</v>
      </c>
      <c r="O42" s="27">
        <f t="shared" si="2"/>
        <v>0.7704</v>
      </c>
      <c r="P42" s="43" t="s">
        <v>327</v>
      </c>
    </row>
    <row r="43" s="1" customFormat="1" ht="28.8" spans="1:16">
      <c r="A43" s="22" t="s">
        <v>401</v>
      </c>
      <c r="B43" s="23" t="s">
        <v>341</v>
      </c>
      <c r="C43" s="37" t="s">
        <v>402</v>
      </c>
      <c r="D43" s="24" t="s">
        <v>343</v>
      </c>
      <c r="E43" s="24">
        <v>2</v>
      </c>
      <c r="F43" s="25">
        <f t="shared" si="5"/>
        <v>43.03647</v>
      </c>
      <c r="G43" s="25">
        <f t="shared" si="6"/>
        <v>86.07294</v>
      </c>
      <c r="H43" s="27">
        <v>5</v>
      </c>
      <c r="I43" s="27">
        <v>0</v>
      </c>
      <c r="J43" s="27">
        <v>0</v>
      </c>
      <c r="K43" s="44">
        <v>0</v>
      </c>
      <c r="L43" s="27">
        <v>31.9</v>
      </c>
      <c r="M43" s="27">
        <f t="shared" si="0"/>
        <v>36.9</v>
      </c>
      <c r="N43" s="27">
        <f t="shared" si="1"/>
        <v>2.583</v>
      </c>
      <c r="O43" s="27">
        <f t="shared" si="2"/>
        <v>3.55347</v>
      </c>
      <c r="P43" s="43" t="s">
        <v>344</v>
      </c>
    </row>
    <row r="44" s="1" customFormat="1" ht="28.8" spans="1:16">
      <c r="A44" s="22" t="s">
        <v>403</v>
      </c>
      <c r="B44" s="23" t="s">
        <v>341</v>
      </c>
      <c r="C44" s="37" t="s">
        <v>404</v>
      </c>
      <c r="D44" s="24" t="s">
        <v>343</v>
      </c>
      <c r="E44" s="24">
        <v>1</v>
      </c>
      <c r="F44" s="25">
        <f t="shared" si="5"/>
        <v>38.37127</v>
      </c>
      <c r="G44" s="25">
        <f t="shared" si="6"/>
        <v>38.37127</v>
      </c>
      <c r="H44" s="27">
        <v>5</v>
      </c>
      <c r="I44" s="27">
        <v>0</v>
      </c>
      <c r="J44" s="27">
        <v>0</v>
      </c>
      <c r="K44" s="44">
        <v>0</v>
      </c>
      <c r="L44" s="27">
        <v>27.9</v>
      </c>
      <c r="M44" s="27">
        <f t="shared" si="0"/>
        <v>32.9</v>
      </c>
      <c r="N44" s="27">
        <f t="shared" si="1"/>
        <v>2.303</v>
      </c>
      <c r="O44" s="27">
        <f t="shared" si="2"/>
        <v>3.16827</v>
      </c>
      <c r="P44" s="43" t="s">
        <v>344</v>
      </c>
    </row>
    <row r="45" s="1" customFormat="1" ht="28.8" spans="1:16">
      <c r="A45" s="22" t="s">
        <v>405</v>
      </c>
      <c r="B45" s="23" t="s">
        <v>406</v>
      </c>
      <c r="C45" s="37" t="s">
        <v>407</v>
      </c>
      <c r="D45" s="24" t="s">
        <v>408</v>
      </c>
      <c r="E45" s="24">
        <v>1</v>
      </c>
      <c r="F45" s="25">
        <f t="shared" si="5"/>
        <v>2852.7698</v>
      </c>
      <c r="G45" s="25">
        <f t="shared" si="6"/>
        <v>2852.7698</v>
      </c>
      <c r="H45" s="27">
        <v>110</v>
      </c>
      <c r="I45" s="27">
        <v>22</v>
      </c>
      <c r="J45" s="27">
        <v>22</v>
      </c>
      <c r="K45" s="44">
        <v>0</v>
      </c>
      <c r="L45" s="27">
        <f>792+1500</f>
        <v>2292</v>
      </c>
      <c r="M45" s="27">
        <f t="shared" si="0"/>
        <v>2446</v>
      </c>
      <c r="N45" s="27">
        <f t="shared" si="1"/>
        <v>171.22</v>
      </c>
      <c r="O45" s="27">
        <f t="shared" si="2"/>
        <v>235.5498</v>
      </c>
      <c r="P45" s="43" t="s">
        <v>344</v>
      </c>
    </row>
    <row r="46" s="2" customFormat="1" ht="19.2" spans="1:16">
      <c r="A46" s="29" t="s">
        <v>409</v>
      </c>
      <c r="B46" s="35" t="s">
        <v>410</v>
      </c>
      <c r="C46" s="38" t="s">
        <v>411</v>
      </c>
      <c r="D46" s="32" t="s">
        <v>408</v>
      </c>
      <c r="E46" s="32">
        <v>1</v>
      </c>
      <c r="F46" s="25">
        <f t="shared" si="5"/>
        <v>2886.5925</v>
      </c>
      <c r="G46" s="25">
        <f t="shared" si="6"/>
        <v>2886.5925</v>
      </c>
      <c r="H46" s="27">
        <v>550</v>
      </c>
      <c r="I46" s="27">
        <v>220</v>
      </c>
      <c r="J46" s="27">
        <v>55</v>
      </c>
      <c r="K46" s="44">
        <v>0</v>
      </c>
      <c r="L46" s="27">
        <v>1650</v>
      </c>
      <c r="M46" s="27">
        <f t="shared" si="0"/>
        <v>2475</v>
      </c>
      <c r="N46" s="27">
        <f t="shared" si="1"/>
        <v>173.25</v>
      </c>
      <c r="O46" s="27">
        <f t="shared" si="2"/>
        <v>238.3425</v>
      </c>
      <c r="P46" s="43" t="s">
        <v>344</v>
      </c>
    </row>
    <row r="47" s="2" customFormat="1" ht="19.2" spans="1:16">
      <c r="A47" s="29" t="s">
        <v>412</v>
      </c>
      <c r="B47" s="35" t="s">
        <v>413</v>
      </c>
      <c r="C47" s="38" t="s">
        <v>414</v>
      </c>
      <c r="D47" s="32" t="s">
        <v>408</v>
      </c>
      <c r="E47" s="32">
        <v>4</v>
      </c>
      <c r="F47" s="25">
        <f t="shared" si="5"/>
        <v>1629.3211</v>
      </c>
      <c r="G47" s="25">
        <f t="shared" si="6"/>
        <v>6517.2844</v>
      </c>
      <c r="H47" s="27">
        <v>220</v>
      </c>
      <c r="I47" s="27">
        <v>55</v>
      </c>
      <c r="J47" s="27">
        <v>22</v>
      </c>
      <c r="K47" s="44">
        <v>0</v>
      </c>
      <c r="L47" s="27">
        <v>1100</v>
      </c>
      <c r="M47" s="27">
        <f t="shared" si="0"/>
        <v>1397</v>
      </c>
      <c r="N47" s="27">
        <f t="shared" si="1"/>
        <v>97.79</v>
      </c>
      <c r="O47" s="27">
        <f t="shared" si="2"/>
        <v>134.5311</v>
      </c>
      <c r="P47" s="43" t="s">
        <v>344</v>
      </c>
    </row>
    <row r="48" s="1" customFormat="1" spans="1:16">
      <c r="A48" s="22" t="s">
        <v>269</v>
      </c>
      <c r="B48" s="23" t="s">
        <v>415</v>
      </c>
      <c r="C48" s="23"/>
      <c r="D48" s="24"/>
      <c r="E48" s="24"/>
      <c r="F48" s="25">
        <f t="shared" si="5"/>
        <v>0</v>
      </c>
      <c r="G48" s="25">
        <f t="shared" si="6"/>
        <v>0</v>
      </c>
      <c r="H48" s="39"/>
      <c r="I48" s="39"/>
      <c r="J48" s="39"/>
      <c r="K48" s="46"/>
      <c r="L48" s="39"/>
      <c r="M48" s="42"/>
      <c r="N48" s="42"/>
      <c r="O48" s="42"/>
      <c r="P48" s="43"/>
    </row>
    <row r="49" s="1" customFormat="1" ht="38.4" spans="1:16">
      <c r="A49" s="22" t="s">
        <v>56</v>
      </c>
      <c r="B49" s="23" t="s">
        <v>416</v>
      </c>
      <c r="C49" s="23" t="s">
        <v>417</v>
      </c>
      <c r="D49" s="24" t="s">
        <v>73</v>
      </c>
      <c r="E49" s="24">
        <v>29.94</v>
      </c>
      <c r="F49" s="25">
        <f t="shared" si="5"/>
        <v>41.345335</v>
      </c>
      <c r="G49" s="25">
        <f t="shared" si="6"/>
        <v>1237.8793299</v>
      </c>
      <c r="H49" s="27">
        <v>20</v>
      </c>
      <c r="I49" s="27">
        <v>0</v>
      </c>
      <c r="J49" s="27">
        <v>0</v>
      </c>
      <c r="K49" s="44">
        <v>0.03</v>
      </c>
      <c r="L49" s="27">
        <v>15</v>
      </c>
      <c r="M49" s="27">
        <f t="shared" ref="M49:M65" si="7">H49+I49+J49+L49*(1+K49)</f>
        <v>35.45</v>
      </c>
      <c r="N49" s="27">
        <f t="shared" ref="N49:N65" si="8">M49*$N$6</f>
        <v>2.4815</v>
      </c>
      <c r="O49" s="27">
        <f t="shared" ref="O49:O65" si="9">(M49+N49)*$O$6</f>
        <v>3.413835</v>
      </c>
      <c r="P49" s="43" t="s">
        <v>418</v>
      </c>
    </row>
    <row r="50" s="1" customFormat="1" ht="38.4" spans="1:16">
      <c r="A50" s="22" t="s">
        <v>78</v>
      </c>
      <c r="B50" s="23" t="s">
        <v>416</v>
      </c>
      <c r="C50" s="23" t="s">
        <v>419</v>
      </c>
      <c r="D50" s="24" t="s">
        <v>73</v>
      </c>
      <c r="E50" s="24">
        <v>5.09</v>
      </c>
      <c r="F50" s="25">
        <f t="shared" si="5"/>
        <v>37.741468</v>
      </c>
      <c r="G50" s="25">
        <f t="shared" si="6"/>
        <v>192.10407212</v>
      </c>
      <c r="H50" s="27">
        <v>20</v>
      </c>
      <c r="I50" s="27">
        <v>0</v>
      </c>
      <c r="J50" s="27">
        <v>0</v>
      </c>
      <c r="K50" s="44">
        <v>0.03</v>
      </c>
      <c r="L50" s="27">
        <v>12</v>
      </c>
      <c r="M50" s="27">
        <f t="shared" si="7"/>
        <v>32.36</v>
      </c>
      <c r="N50" s="27">
        <f t="shared" si="8"/>
        <v>2.2652</v>
      </c>
      <c r="O50" s="27">
        <f t="shared" si="9"/>
        <v>3.116268</v>
      </c>
      <c r="P50" s="43" t="s">
        <v>418</v>
      </c>
    </row>
    <row r="51" s="1" customFormat="1" ht="38.4" spans="1:16">
      <c r="A51" s="22" t="s">
        <v>86</v>
      </c>
      <c r="B51" s="23" t="s">
        <v>416</v>
      </c>
      <c r="C51" s="23" t="s">
        <v>420</v>
      </c>
      <c r="D51" s="24" t="s">
        <v>73</v>
      </c>
      <c r="E51" s="24">
        <v>15.15</v>
      </c>
      <c r="F51" s="25">
        <f t="shared" si="5"/>
        <v>41.345335</v>
      </c>
      <c r="G51" s="25">
        <f t="shared" si="6"/>
        <v>626.38182525</v>
      </c>
      <c r="H51" s="27">
        <v>20</v>
      </c>
      <c r="I51" s="27">
        <v>0</v>
      </c>
      <c r="J51" s="27">
        <v>0</v>
      </c>
      <c r="K51" s="44">
        <v>0.03</v>
      </c>
      <c r="L51" s="27">
        <v>15</v>
      </c>
      <c r="M51" s="27">
        <f t="shared" si="7"/>
        <v>35.45</v>
      </c>
      <c r="N51" s="27">
        <f t="shared" si="8"/>
        <v>2.4815</v>
      </c>
      <c r="O51" s="27">
        <f t="shared" si="9"/>
        <v>3.413835</v>
      </c>
      <c r="P51" s="43" t="s">
        <v>418</v>
      </c>
    </row>
    <row r="52" s="1" customFormat="1" ht="38.4" spans="1:16">
      <c r="A52" s="22" t="s">
        <v>421</v>
      </c>
      <c r="B52" s="23" t="s">
        <v>416</v>
      </c>
      <c r="C52" s="23" t="s">
        <v>422</v>
      </c>
      <c r="D52" s="24" t="s">
        <v>73</v>
      </c>
      <c r="E52" s="24">
        <v>1.02</v>
      </c>
      <c r="F52" s="25">
        <f t="shared" si="5"/>
        <v>37.741468</v>
      </c>
      <c r="G52" s="25">
        <f t="shared" si="6"/>
        <v>38.49629736</v>
      </c>
      <c r="H52" s="27">
        <v>20</v>
      </c>
      <c r="I52" s="27">
        <v>0</v>
      </c>
      <c r="J52" s="27">
        <v>0</v>
      </c>
      <c r="K52" s="44">
        <v>0.03</v>
      </c>
      <c r="L52" s="27">
        <v>12</v>
      </c>
      <c r="M52" s="27">
        <f t="shared" si="7"/>
        <v>32.36</v>
      </c>
      <c r="N52" s="27">
        <f t="shared" si="8"/>
        <v>2.2652</v>
      </c>
      <c r="O52" s="27">
        <f t="shared" si="9"/>
        <v>3.116268</v>
      </c>
      <c r="P52" s="43" t="s">
        <v>418</v>
      </c>
    </row>
    <row r="53" s="1" customFormat="1" ht="28.8" spans="1:16">
      <c r="A53" s="22" t="s">
        <v>423</v>
      </c>
      <c r="B53" s="23" t="s">
        <v>424</v>
      </c>
      <c r="C53" s="23" t="s">
        <v>425</v>
      </c>
      <c r="D53" s="24" t="s">
        <v>408</v>
      </c>
      <c r="E53" s="24">
        <v>1</v>
      </c>
      <c r="F53" s="25">
        <f t="shared" si="5"/>
        <v>4624.3795</v>
      </c>
      <c r="G53" s="25">
        <f t="shared" si="6"/>
        <v>4624.3795</v>
      </c>
      <c r="H53" s="27">
        <v>0</v>
      </c>
      <c r="I53" s="27">
        <v>0</v>
      </c>
      <c r="J53" s="27">
        <v>0</v>
      </c>
      <c r="K53" s="44">
        <v>0</v>
      </c>
      <c r="L53" s="27">
        <v>3965</v>
      </c>
      <c r="M53" s="27">
        <f t="shared" si="7"/>
        <v>3965</v>
      </c>
      <c r="N53" s="27">
        <f t="shared" si="8"/>
        <v>277.55</v>
      </c>
      <c r="O53" s="27">
        <f t="shared" si="9"/>
        <v>381.8295</v>
      </c>
      <c r="P53" s="43" t="s">
        <v>426</v>
      </c>
    </row>
    <row r="54" s="1" customFormat="1" ht="19.2" spans="1:16">
      <c r="A54" s="22" t="s">
        <v>427</v>
      </c>
      <c r="B54" s="23" t="s">
        <v>428</v>
      </c>
      <c r="C54" s="23" t="s">
        <v>429</v>
      </c>
      <c r="D54" s="24" t="s">
        <v>408</v>
      </c>
      <c r="E54" s="24">
        <v>1</v>
      </c>
      <c r="F54" s="25">
        <f t="shared" si="5"/>
        <v>524.835</v>
      </c>
      <c r="G54" s="25">
        <f t="shared" si="6"/>
        <v>524.835</v>
      </c>
      <c r="H54" s="27">
        <v>0</v>
      </c>
      <c r="I54" s="27">
        <v>0</v>
      </c>
      <c r="J54" s="27">
        <v>0</v>
      </c>
      <c r="K54" s="44">
        <v>0</v>
      </c>
      <c r="L54" s="27">
        <v>450</v>
      </c>
      <c r="M54" s="27">
        <f t="shared" si="7"/>
        <v>450</v>
      </c>
      <c r="N54" s="27">
        <f t="shared" si="8"/>
        <v>31.5</v>
      </c>
      <c r="O54" s="27">
        <f t="shared" si="9"/>
        <v>43.335</v>
      </c>
      <c r="P54" s="43" t="s">
        <v>426</v>
      </c>
    </row>
    <row r="55" s="1" customFormat="1" ht="19.2" spans="1:16">
      <c r="A55" s="22" t="s">
        <v>430</v>
      </c>
      <c r="B55" s="23" t="s">
        <v>428</v>
      </c>
      <c r="C55" s="23" t="s">
        <v>431</v>
      </c>
      <c r="D55" s="24" t="s">
        <v>408</v>
      </c>
      <c r="E55" s="24">
        <v>1</v>
      </c>
      <c r="F55" s="25">
        <f t="shared" si="5"/>
        <v>198.271</v>
      </c>
      <c r="G55" s="25">
        <f t="shared" si="6"/>
        <v>198.271</v>
      </c>
      <c r="H55" s="27">
        <v>0</v>
      </c>
      <c r="I55" s="27">
        <v>0</v>
      </c>
      <c r="J55" s="27">
        <v>0</v>
      </c>
      <c r="K55" s="44">
        <v>0</v>
      </c>
      <c r="L55" s="27">
        <v>170</v>
      </c>
      <c r="M55" s="27">
        <f t="shared" si="7"/>
        <v>170</v>
      </c>
      <c r="N55" s="27">
        <f t="shared" si="8"/>
        <v>11.9</v>
      </c>
      <c r="O55" s="27">
        <f t="shared" si="9"/>
        <v>16.371</v>
      </c>
      <c r="P55" s="43" t="s">
        <v>426</v>
      </c>
    </row>
    <row r="56" s="1" customFormat="1" ht="19.2" spans="1:16">
      <c r="A56" s="22" t="s">
        <v>432</v>
      </c>
      <c r="B56" s="23" t="s">
        <v>428</v>
      </c>
      <c r="C56" s="23" t="s">
        <v>433</v>
      </c>
      <c r="D56" s="24" t="s">
        <v>408</v>
      </c>
      <c r="E56" s="24">
        <v>1</v>
      </c>
      <c r="F56" s="25">
        <f t="shared" si="5"/>
        <v>139.956</v>
      </c>
      <c r="G56" s="25">
        <f t="shared" si="6"/>
        <v>139.956</v>
      </c>
      <c r="H56" s="27">
        <v>0</v>
      </c>
      <c r="I56" s="27">
        <v>0</v>
      </c>
      <c r="J56" s="27">
        <v>0</v>
      </c>
      <c r="K56" s="44">
        <v>0</v>
      </c>
      <c r="L56" s="27">
        <v>120</v>
      </c>
      <c r="M56" s="27">
        <f t="shared" si="7"/>
        <v>120</v>
      </c>
      <c r="N56" s="27">
        <f t="shared" si="8"/>
        <v>8.4</v>
      </c>
      <c r="O56" s="27">
        <f t="shared" si="9"/>
        <v>11.556</v>
      </c>
      <c r="P56" s="43" t="s">
        <v>426</v>
      </c>
    </row>
    <row r="57" s="1" customFormat="1" ht="28.8" spans="1:16">
      <c r="A57" s="22" t="s">
        <v>434</v>
      </c>
      <c r="B57" s="23" t="s">
        <v>435</v>
      </c>
      <c r="C57" s="23" t="s">
        <v>436</v>
      </c>
      <c r="D57" s="24" t="s">
        <v>408</v>
      </c>
      <c r="E57" s="24">
        <v>1</v>
      </c>
      <c r="F57" s="25">
        <f t="shared" si="5"/>
        <v>2915.75</v>
      </c>
      <c r="G57" s="25">
        <f t="shared" si="6"/>
        <v>2915.75</v>
      </c>
      <c r="H57" s="27">
        <v>0</v>
      </c>
      <c r="I57" s="27">
        <v>0</v>
      </c>
      <c r="J57" s="27">
        <v>0</v>
      </c>
      <c r="K57" s="44">
        <v>0</v>
      </c>
      <c r="L57" s="27">
        <v>2500</v>
      </c>
      <c r="M57" s="27">
        <f t="shared" si="7"/>
        <v>2500</v>
      </c>
      <c r="N57" s="27">
        <f t="shared" si="8"/>
        <v>175</v>
      </c>
      <c r="O57" s="27">
        <f t="shared" si="9"/>
        <v>240.75</v>
      </c>
      <c r="P57" s="43" t="s">
        <v>426</v>
      </c>
    </row>
    <row r="58" s="1" customFormat="1" ht="28.8" spans="1:16">
      <c r="A58" s="22" t="s">
        <v>437</v>
      </c>
      <c r="B58" s="23" t="s">
        <v>438</v>
      </c>
      <c r="C58" s="23" t="s">
        <v>439</v>
      </c>
      <c r="D58" s="24" t="s">
        <v>408</v>
      </c>
      <c r="E58" s="24">
        <v>1</v>
      </c>
      <c r="F58" s="25">
        <f t="shared" si="5"/>
        <v>2712.8138</v>
      </c>
      <c r="G58" s="25">
        <f t="shared" si="6"/>
        <v>2712.8138</v>
      </c>
      <c r="H58" s="27">
        <v>0</v>
      </c>
      <c r="I58" s="27">
        <v>0</v>
      </c>
      <c r="J58" s="27">
        <v>0</v>
      </c>
      <c r="K58" s="44">
        <v>0</v>
      </c>
      <c r="L58" s="27">
        <v>2326</v>
      </c>
      <c r="M58" s="27">
        <f t="shared" si="7"/>
        <v>2326</v>
      </c>
      <c r="N58" s="27">
        <f t="shared" si="8"/>
        <v>162.82</v>
      </c>
      <c r="O58" s="27">
        <f t="shared" si="9"/>
        <v>223.9938</v>
      </c>
      <c r="P58" s="43" t="s">
        <v>426</v>
      </c>
    </row>
    <row r="59" s="1" customFormat="1" ht="28.8" spans="1:16">
      <c r="A59" s="22" t="s">
        <v>440</v>
      </c>
      <c r="B59" s="23" t="s">
        <v>441</v>
      </c>
      <c r="C59" s="23" t="s">
        <v>442</v>
      </c>
      <c r="D59" s="24" t="s">
        <v>343</v>
      </c>
      <c r="E59" s="24">
        <v>1</v>
      </c>
      <c r="F59" s="25">
        <f t="shared" si="5"/>
        <v>670.6225</v>
      </c>
      <c r="G59" s="25">
        <f t="shared" si="6"/>
        <v>670.6225</v>
      </c>
      <c r="H59" s="27">
        <v>0</v>
      </c>
      <c r="I59" s="27">
        <v>0</v>
      </c>
      <c r="J59" s="27">
        <v>0</v>
      </c>
      <c r="K59" s="44">
        <v>0</v>
      </c>
      <c r="L59" s="27">
        <v>575</v>
      </c>
      <c r="M59" s="27">
        <f t="shared" si="7"/>
        <v>575</v>
      </c>
      <c r="N59" s="27">
        <f t="shared" si="8"/>
        <v>40.25</v>
      </c>
      <c r="O59" s="27">
        <f t="shared" si="9"/>
        <v>55.3725</v>
      </c>
      <c r="P59" s="43" t="s">
        <v>426</v>
      </c>
    </row>
    <row r="60" s="1" customFormat="1" ht="28.8" spans="1:16">
      <c r="A60" s="22" t="s">
        <v>443</v>
      </c>
      <c r="B60" s="23" t="s">
        <v>444</v>
      </c>
      <c r="C60" s="23" t="s">
        <v>445</v>
      </c>
      <c r="D60" s="24" t="s">
        <v>408</v>
      </c>
      <c r="E60" s="24">
        <v>1</v>
      </c>
      <c r="F60" s="25">
        <f t="shared" si="5"/>
        <v>2803.7852</v>
      </c>
      <c r="G60" s="25">
        <f t="shared" si="6"/>
        <v>2803.7852</v>
      </c>
      <c r="H60" s="27">
        <v>0</v>
      </c>
      <c r="I60" s="27">
        <v>0</v>
      </c>
      <c r="J60" s="27">
        <v>0</v>
      </c>
      <c r="K60" s="44">
        <v>0</v>
      </c>
      <c r="L60" s="27">
        <v>2404</v>
      </c>
      <c r="M60" s="27">
        <f t="shared" si="7"/>
        <v>2404</v>
      </c>
      <c r="N60" s="27">
        <f t="shared" si="8"/>
        <v>168.28</v>
      </c>
      <c r="O60" s="27">
        <f t="shared" si="9"/>
        <v>231.5052</v>
      </c>
      <c r="P60" s="43" t="s">
        <v>426</v>
      </c>
    </row>
    <row r="61" s="1" customFormat="1" ht="19.2" spans="1:16">
      <c r="A61" s="22" t="s">
        <v>446</v>
      </c>
      <c r="B61" s="23" t="s">
        <v>447</v>
      </c>
      <c r="C61" s="37" t="s">
        <v>448</v>
      </c>
      <c r="D61" s="24" t="s">
        <v>408</v>
      </c>
      <c r="E61" s="24">
        <v>1</v>
      </c>
      <c r="F61" s="25">
        <f t="shared" si="5"/>
        <v>851.399</v>
      </c>
      <c r="G61" s="25">
        <f t="shared" si="6"/>
        <v>851.399</v>
      </c>
      <c r="H61" s="27">
        <v>50</v>
      </c>
      <c r="I61" s="27">
        <v>0</v>
      </c>
      <c r="J61" s="27">
        <v>0</v>
      </c>
      <c r="K61" s="44">
        <v>0</v>
      </c>
      <c r="L61" s="27">
        <v>680</v>
      </c>
      <c r="M61" s="27">
        <f t="shared" si="7"/>
        <v>730</v>
      </c>
      <c r="N61" s="27">
        <f t="shared" si="8"/>
        <v>51.1</v>
      </c>
      <c r="O61" s="27">
        <f t="shared" si="9"/>
        <v>70.299</v>
      </c>
      <c r="P61" s="43" t="s">
        <v>426</v>
      </c>
    </row>
    <row r="62" s="1" customFormat="1" ht="19.2" spans="1:16">
      <c r="A62" s="22" t="s">
        <v>449</v>
      </c>
      <c r="B62" s="23" t="s">
        <v>450</v>
      </c>
      <c r="C62" s="37" t="s">
        <v>451</v>
      </c>
      <c r="D62" s="24" t="s">
        <v>408</v>
      </c>
      <c r="E62" s="24">
        <v>1</v>
      </c>
      <c r="F62" s="25">
        <f t="shared" si="5"/>
        <v>874.725</v>
      </c>
      <c r="G62" s="25">
        <f t="shared" si="6"/>
        <v>874.725</v>
      </c>
      <c r="H62" s="27">
        <v>100</v>
      </c>
      <c r="I62" s="27">
        <v>0</v>
      </c>
      <c r="J62" s="27">
        <v>0</v>
      </c>
      <c r="K62" s="44">
        <v>0</v>
      </c>
      <c r="L62" s="27">
        <v>650</v>
      </c>
      <c r="M62" s="27">
        <f t="shared" si="7"/>
        <v>750</v>
      </c>
      <c r="N62" s="27">
        <f t="shared" si="8"/>
        <v>52.5</v>
      </c>
      <c r="O62" s="27">
        <f t="shared" si="9"/>
        <v>72.225</v>
      </c>
      <c r="P62" s="43" t="s">
        <v>452</v>
      </c>
    </row>
    <row r="63" s="1" customFormat="1" ht="19.2" spans="1:16">
      <c r="A63" s="22" t="s">
        <v>453</v>
      </c>
      <c r="B63" s="23" t="s">
        <v>450</v>
      </c>
      <c r="C63" s="37" t="s">
        <v>454</v>
      </c>
      <c r="D63" s="24" t="s">
        <v>408</v>
      </c>
      <c r="E63" s="24">
        <v>1</v>
      </c>
      <c r="F63" s="25">
        <f t="shared" si="5"/>
        <v>1032.1755</v>
      </c>
      <c r="G63" s="25">
        <f t="shared" si="6"/>
        <v>1032.1755</v>
      </c>
      <c r="H63" s="27">
        <v>100</v>
      </c>
      <c r="I63" s="27">
        <v>0</v>
      </c>
      <c r="J63" s="27">
        <v>0</v>
      </c>
      <c r="K63" s="44">
        <v>0</v>
      </c>
      <c r="L63" s="27">
        <v>785</v>
      </c>
      <c r="M63" s="27">
        <f t="shared" si="7"/>
        <v>885</v>
      </c>
      <c r="N63" s="27">
        <f t="shared" si="8"/>
        <v>61.95</v>
      </c>
      <c r="O63" s="27">
        <f t="shared" si="9"/>
        <v>85.2255</v>
      </c>
      <c r="P63" s="43" t="s">
        <v>452</v>
      </c>
    </row>
    <row r="64" s="1" customFormat="1" ht="57.6" spans="1:16">
      <c r="A64" s="22" t="s">
        <v>455</v>
      </c>
      <c r="B64" s="23" t="s">
        <v>456</v>
      </c>
      <c r="C64" s="23" t="s">
        <v>457</v>
      </c>
      <c r="D64" s="24" t="s">
        <v>73</v>
      </c>
      <c r="E64" s="24">
        <v>6.6</v>
      </c>
      <c r="F64" s="25">
        <f t="shared" si="5"/>
        <v>163.282</v>
      </c>
      <c r="G64" s="25">
        <f t="shared" si="6"/>
        <v>1077.6612</v>
      </c>
      <c r="H64" s="27">
        <v>30</v>
      </c>
      <c r="I64" s="27">
        <v>0</v>
      </c>
      <c r="J64" s="27">
        <v>0</v>
      </c>
      <c r="K64" s="44">
        <v>0</v>
      </c>
      <c r="L64" s="27">
        <v>110</v>
      </c>
      <c r="M64" s="27">
        <f t="shared" si="7"/>
        <v>140</v>
      </c>
      <c r="N64" s="27">
        <f t="shared" si="8"/>
        <v>9.8</v>
      </c>
      <c r="O64" s="27">
        <f t="shared" si="9"/>
        <v>13.482</v>
      </c>
      <c r="P64" s="43" t="s">
        <v>452</v>
      </c>
    </row>
    <row r="65" s="1" customFormat="1" ht="57.6" spans="1:16">
      <c r="A65" s="22" t="s">
        <v>458</v>
      </c>
      <c r="B65" s="23" t="s">
        <v>456</v>
      </c>
      <c r="C65" s="23" t="s">
        <v>459</v>
      </c>
      <c r="D65" s="24" t="s">
        <v>73</v>
      </c>
      <c r="E65" s="24">
        <v>2</v>
      </c>
      <c r="F65" s="25">
        <f t="shared" si="5"/>
        <v>122.4615</v>
      </c>
      <c r="G65" s="25">
        <f t="shared" si="6"/>
        <v>244.923</v>
      </c>
      <c r="H65" s="27">
        <v>25</v>
      </c>
      <c r="I65" s="27">
        <v>0</v>
      </c>
      <c r="J65" s="27">
        <v>0</v>
      </c>
      <c r="K65" s="44">
        <v>0</v>
      </c>
      <c r="L65" s="27">
        <v>80</v>
      </c>
      <c r="M65" s="27">
        <f t="shared" si="7"/>
        <v>105</v>
      </c>
      <c r="N65" s="27">
        <f t="shared" si="8"/>
        <v>7.35</v>
      </c>
      <c r="O65" s="27">
        <f t="shared" si="9"/>
        <v>10.1115</v>
      </c>
      <c r="P65" s="43" t="s">
        <v>452</v>
      </c>
    </row>
    <row r="66" s="1" customFormat="1" spans="1:16">
      <c r="A66" s="22" t="s">
        <v>308</v>
      </c>
      <c r="B66" s="23" t="s">
        <v>460</v>
      </c>
      <c r="C66" s="23"/>
      <c r="D66" s="24"/>
      <c r="E66" s="24"/>
      <c r="F66" s="25">
        <f t="shared" si="5"/>
        <v>0</v>
      </c>
      <c r="G66" s="25">
        <f t="shared" si="6"/>
        <v>0</v>
      </c>
      <c r="H66" s="39"/>
      <c r="I66" s="27">
        <v>0</v>
      </c>
      <c r="J66" s="27">
        <v>0</v>
      </c>
      <c r="K66" s="44">
        <v>0</v>
      </c>
      <c r="L66" s="39"/>
      <c r="M66" s="42"/>
      <c r="N66" s="42"/>
      <c r="O66" s="42"/>
      <c r="P66" s="43"/>
    </row>
    <row r="67" s="1" customFormat="1" ht="38.4" spans="1:16">
      <c r="A67" s="22" t="s">
        <v>125</v>
      </c>
      <c r="B67" s="26" t="s">
        <v>461</v>
      </c>
      <c r="C67" s="26" t="s">
        <v>462</v>
      </c>
      <c r="D67" s="28" t="s">
        <v>322</v>
      </c>
      <c r="E67" s="24">
        <v>1</v>
      </c>
      <c r="F67" s="25">
        <f t="shared" si="5"/>
        <v>17844.39</v>
      </c>
      <c r="G67" s="25">
        <f t="shared" si="6"/>
        <v>17844.39</v>
      </c>
      <c r="H67" s="27">
        <v>300</v>
      </c>
      <c r="I67" s="27">
        <v>0</v>
      </c>
      <c r="J67" s="27">
        <v>0</v>
      </c>
      <c r="K67" s="44">
        <v>0</v>
      </c>
      <c r="L67" s="27">
        <v>15000</v>
      </c>
      <c r="M67" s="27">
        <f t="shared" ref="M67:M84" si="10">H67+I67+J67+L67*(1+K67)</f>
        <v>15300</v>
      </c>
      <c r="N67" s="27">
        <f t="shared" ref="N67:N84" si="11">M67*$N$6</f>
        <v>1071</v>
      </c>
      <c r="O67" s="27">
        <f t="shared" ref="O67:O84" si="12">(M67+N67)*$O$6</f>
        <v>1473.39</v>
      </c>
      <c r="P67" s="43" t="s">
        <v>463</v>
      </c>
    </row>
    <row r="68" s="1" customFormat="1" ht="38.4" spans="1:16">
      <c r="A68" s="22" t="s">
        <v>132</v>
      </c>
      <c r="B68" s="26" t="s">
        <v>464</v>
      </c>
      <c r="C68" s="26" t="s">
        <v>465</v>
      </c>
      <c r="D68" s="28" t="s">
        <v>322</v>
      </c>
      <c r="E68" s="24">
        <v>1</v>
      </c>
      <c r="F68" s="25">
        <f t="shared" si="5"/>
        <v>2274.285</v>
      </c>
      <c r="G68" s="25">
        <f t="shared" si="6"/>
        <v>2274.285</v>
      </c>
      <c r="H68" s="27">
        <v>600</v>
      </c>
      <c r="I68" s="27">
        <v>0</v>
      </c>
      <c r="J68" s="27">
        <v>0</v>
      </c>
      <c r="K68" s="44">
        <v>0</v>
      </c>
      <c r="L68" s="27">
        <v>1350</v>
      </c>
      <c r="M68" s="27">
        <f t="shared" si="10"/>
        <v>1950</v>
      </c>
      <c r="N68" s="27">
        <f t="shared" si="11"/>
        <v>136.5</v>
      </c>
      <c r="O68" s="27">
        <f t="shared" si="12"/>
        <v>187.785</v>
      </c>
      <c r="P68" s="43" t="s">
        <v>463</v>
      </c>
    </row>
    <row r="69" s="1" customFormat="1" ht="38.4" spans="1:16">
      <c r="A69" s="22" t="s">
        <v>139</v>
      </c>
      <c r="B69" s="26" t="s">
        <v>464</v>
      </c>
      <c r="C69" s="26" t="s">
        <v>466</v>
      </c>
      <c r="D69" s="28" t="s">
        <v>322</v>
      </c>
      <c r="E69" s="24">
        <v>2</v>
      </c>
      <c r="F69" s="25">
        <f t="shared" si="5"/>
        <v>2775.794</v>
      </c>
      <c r="G69" s="25">
        <f t="shared" si="6"/>
        <v>5551.588</v>
      </c>
      <c r="H69" s="27">
        <v>600</v>
      </c>
      <c r="I69" s="27">
        <v>0</v>
      </c>
      <c r="J69" s="27">
        <v>0</v>
      </c>
      <c r="K69" s="44">
        <v>0</v>
      </c>
      <c r="L69" s="27">
        <v>1780</v>
      </c>
      <c r="M69" s="27">
        <f t="shared" si="10"/>
        <v>2380</v>
      </c>
      <c r="N69" s="27">
        <f t="shared" si="11"/>
        <v>166.6</v>
      </c>
      <c r="O69" s="27">
        <f t="shared" si="12"/>
        <v>229.194</v>
      </c>
      <c r="P69" s="43" t="s">
        <v>463</v>
      </c>
    </row>
    <row r="70" s="1" customFormat="1" ht="48" spans="1:16">
      <c r="A70" s="22" t="s">
        <v>289</v>
      </c>
      <c r="B70" s="26" t="s">
        <v>461</v>
      </c>
      <c r="C70" s="26" t="s">
        <v>467</v>
      </c>
      <c r="D70" s="28" t="s">
        <v>322</v>
      </c>
      <c r="E70" s="24">
        <v>1</v>
      </c>
      <c r="F70" s="25">
        <f t="shared" si="5"/>
        <v>4175.354</v>
      </c>
      <c r="G70" s="25">
        <f t="shared" si="6"/>
        <v>4175.354</v>
      </c>
      <c r="H70" s="27">
        <v>600</v>
      </c>
      <c r="I70" s="27">
        <v>0</v>
      </c>
      <c r="J70" s="27">
        <v>0</v>
      </c>
      <c r="K70" s="44">
        <v>0</v>
      </c>
      <c r="L70" s="27">
        <v>2980</v>
      </c>
      <c r="M70" s="27">
        <f t="shared" si="10"/>
        <v>3580</v>
      </c>
      <c r="N70" s="27">
        <f t="shared" si="11"/>
        <v>250.6</v>
      </c>
      <c r="O70" s="27">
        <f t="shared" si="12"/>
        <v>344.754</v>
      </c>
      <c r="P70" s="43" t="s">
        <v>463</v>
      </c>
    </row>
    <row r="71" s="1" customFormat="1" ht="57.6" spans="1:16">
      <c r="A71" s="22" t="s">
        <v>291</v>
      </c>
      <c r="B71" s="26" t="s">
        <v>468</v>
      </c>
      <c r="C71" s="26" t="s">
        <v>469</v>
      </c>
      <c r="D71" s="28" t="s">
        <v>42</v>
      </c>
      <c r="E71" s="25">
        <f>(0.7+0.2)*2*0.94</f>
        <v>1.692</v>
      </c>
      <c r="F71" s="25">
        <f t="shared" si="5"/>
        <v>352.68912</v>
      </c>
      <c r="G71" s="25">
        <f t="shared" si="6"/>
        <v>596.74999104</v>
      </c>
      <c r="H71" s="27">
        <v>0</v>
      </c>
      <c r="I71" s="27">
        <v>0</v>
      </c>
      <c r="J71" s="27">
        <v>0</v>
      </c>
      <c r="K71" s="44">
        <v>0</v>
      </c>
      <c r="L71" s="27">
        <v>302.4</v>
      </c>
      <c r="M71" s="27">
        <f t="shared" si="10"/>
        <v>302.4</v>
      </c>
      <c r="N71" s="27">
        <f t="shared" si="11"/>
        <v>21.168</v>
      </c>
      <c r="O71" s="27">
        <f t="shared" si="12"/>
        <v>29.12112</v>
      </c>
      <c r="P71" s="43" t="s">
        <v>463</v>
      </c>
    </row>
    <row r="72" s="1" customFormat="1" ht="38.4" spans="1:16">
      <c r="A72" s="22" t="s">
        <v>294</v>
      </c>
      <c r="B72" s="26" t="s">
        <v>470</v>
      </c>
      <c r="C72" s="26" t="s">
        <v>471</v>
      </c>
      <c r="D72" s="28" t="s">
        <v>343</v>
      </c>
      <c r="E72" s="24">
        <v>1</v>
      </c>
      <c r="F72" s="25">
        <f t="shared" ref="F72:F100" si="13">M72+N72+O72</f>
        <v>116.338425</v>
      </c>
      <c r="G72" s="25">
        <f t="shared" ref="G72:G100" si="14">E72*F72</f>
        <v>116.338425</v>
      </c>
      <c r="H72" s="27">
        <v>0</v>
      </c>
      <c r="I72" s="27">
        <v>0</v>
      </c>
      <c r="J72" s="27">
        <v>0</v>
      </c>
      <c r="K72" s="44">
        <v>0</v>
      </c>
      <c r="L72" s="27">
        <v>99.75</v>
      </c>
      <c r="M72" s="27">
        <f t="shared" si="10"/>
        <v>99.75</v>
      </c>
      <c r="N72" s="27">
        <f t="shared" si="11"/>
        <v>6.9825</v>
      </c>
      <c r="O72" s="27">
        <f t="shared" si="12"/>
        <v>9.605925</v>
      </c>
      <c r="P72" s="43" t="s">
        <v>463</v>
      </c>
    </row>
    <row r="73" s="1" customFormat="1" ht="38.4" spans="1:16">
      <c r="A73" s="22" t="s">
        <v>297</v>
      </c>
      <c r="B73" s="26" t="s">
        <v>470</v>
      </c>
      <c r="C73" s="26" t="s">
        <v>472</v>
      </c>
      <c r="D73" s="28" t="s">
        <v>343</v>
      </c>
      <c r="E73" s="24">
        <v>1</v>
      </c>
      <c r="F73" s="25">
        <f t="shared" si="13"/>
        <v>116.338425</v>
      </c>
      <c r="G73" s="25">
        <f t="shared" si="14"/>
        <v>116.338425</v>
      </c>
      <c r="H73" s="27">
        <v>0</v>
      </c>
      <c r="I73" s="27">
        <v>0</v>
      </c>
      <c r="J73" s="27">
        <v>0</v>
      </c>
      <c r="K73" s="44">
        <v>0</v>
      </c>
      <c r="L73" s="27">
        <v>99.75</v>
      </c>
      <c r="M73" s="27">
        <f t="shared" si="10"/>
        <v>99.75</v>
      </c>
      <c r="N73" s="27">
        <f t="shared" si="11"/>
        <v>6.9825</v>
      </c>
      <c r="O73" s="27">
        <f t="shared" si="12"/>
        <v>9.605925</v>
      </c>
      <c r="P73" s="43" t="s">
        <v>463</v>
      </c>
    </row>
    <row r="74" s="1" customFormat="1" ht="38.4" spans="1:16">
      <c r="A74" s="22" t="s">
        <v>300</v>
      </c>
      <c r="B74" s="26" t="s">
        <v>470</v>
      </c>
      <c r="C74" s="26" t="s">
        <v>473</v>
      </c>
      <c r="D74" s="28" t="s">
        <v>343</v>
      </c>
      <c r="E74" s="24">
        <v>1</v>
      </c>
      <c r="F74" s="25">
        <f t="shared" si="13"/>
        <v>183.69225</v>
      </c>
      <c r="G74" s="25">
        <f t="shared" si="14"/>
        <v>183.69225</v>
      </c>
      <c r="H74" s="27">
        <v>0</v>
      </c>
      <c r="I74" s="27">
        <v>0</v>
      </c>
      <c r="J74" s="27">
        <v>0</v>
      </c>
      <c r="K74" s="44">
        <v>0</v>
      </c>
      <c r="L74" s="27">
        <v>157.5</v>
      </c>
      <c r="M74" s="27">
        <f t="shared" si="10"/>
        <v>157.5</v>
      </c>
      <c r="N74" s="27">
        <f t="shared" si="11"/>
        <v>11.025</v>
      </c>
      <c r="O74" s="27">
        <f t="shared" si="12"/>
        <v>15.16725</v>
      </c>
      <c r="P74" s="43" t="s">
        <v>463</v>
      </c>
    </row>
    <row r="75" s="1" customFormat="1" ht="38.4" spans="1:16">
      <c r="A75" s="22" t="s">
        <v>303</v>
      </c>
      <c r="B75" s="26" t="s">
        <v>470</v>
      </c>
      <c r="C75" s="26" t="s">
        <v>474</v>
      </c>
      <c r="D75" s="28" t="s">
        <v>343</v>
      </c>
      <c r="E75" s="24">
        <v>1</v>
      </c>
      <c r="F75" s="25">
        <f t="shared" si="13"/>
        <v>183.69225</v>
      </c>
      <c r="G75" s="25">
        <f t="shared" si="14"/>
        <v>183.69225</v>
      </c>
      <c r="H75" s="27">
        <v>0</v>
      </c>
      <c r="I75" s="27">
        <v>0</v>
      </c>
      <c r="J75" s="27">
        <v>0</v>
      </c>
      <c r="K75" s="44">
        <v>0</v>
      </c>
      <c r="L75" s="27">
        <v>157.5</v>
      </c>
      <c r="M75" s="27">
        <f t="shared" si="10"/>
        <v>157.5</v>
      </c>
      <c r="N75" s="27">
        <f t="shared" si="11"/>
        <v>11.025</v>
      </c>
      <c r="O75" s="27">
        <f t="shared" si="12"/>
        <v>15.16725</v>
      </c>
      <c r="P75" s="43" t="s">
        <v>463</v>
      </c>
    </row>
    <row r="76" s="1" customFormat="1" ht="67.2" spans="1:16">
      <c r="A76" s="22" t="s">
        <v>306</v>
      </c>
      <c r="B76" s="26" t="s">
        <v>475</v>
      </c>
      <c r="C76" s="26" t="s">
        <v>476</v>
      </c>
      <c r="D76" s="28" t="s">
        <v>73</v>
      </c>
      <c r="E76" s="24">
        <v>6.09</v>
      </c>
      <c r="F76" s="25">
        <f t="shared" si="13"/>
        <v>146.9538</v>
      </c>
      <c r="G76" s="25">
        <f t="shared" si="14"/>
        <v>894.948642</v>
      </c>
      <c r="H76" s="27">
        <v>0</v>
      </c>
      <c r="I76" s="27">
        <v>0</v>
      </c>
      <c r="J76" s="27">
        <v>0</v>
      </c>
      <c r="K76" s="44">
        <v>0</v>
      </c>
      <c r="L76" s="27">
        <v>126</v>
      </c>
      <c r="M76" s="27">
        <f t="shared" si="10"/>
        <v>126</v>
      </c>
      <c r="N76" s="27">
        <f t="shared" si="11"/>
        <v>8.82</v>
      </c>
      <c r="O76" s="27">
        <f t="shared" si="12"/>
        <v>12.1338</v>
      </c>
      <c r="P76" s="43" t="s">
        <v>463</v>
      </c>
    </row>
    <row r="77" s="1" customFormat="1" ht="67.2" spans="1:16">
      <c r="A77" s="22" t="s">
        <v>477</v>
      </c>
      <c r="B77" s="26" t="s">
        <v>475</v>
      </c>
      <c r="C77" s="26" t="s">
        <v>478</v>
      </c>
      <c r="D77" s="28" t="s">
        <v>73</v>
      </c>
      <c r="E77" s="24">
        <v>4.87</v>
      </c>
      <c r="F77" s="25">
        <f t="shared" si="13"/>
        <v>146.9538</v>
      </c>
      <c r="G77" s="25">
        <f t="shared" si="14"/>
        <v>715.665006</v>
      </c>
      <c r="H77" s="27">
        <v>0</v>
      </c>
      <c r="I77" s="27">
        <v>0</v>
      </c>
      <c r="J77" s="27">
        <v>0</v>
      </c>
      <c r="K77" s="44">
        <v>0</v>
      </c>
      <c r="L77" s="27">
        <v>126</v>
      </c>
      <c r="M77" s="27">
        <f t="shared" si="10"/>
        <v>126</v>
      </c>
      <c r="N77" s="27">
        <f t="shared" si="11"/>
        <v>8.82</v>
      </c>
      <c r="O77" s="27">
        <f t="shared" si="12"/>
        <v>12.1338</v>
      </c>
      <c r="P77" s="43" t="s">
        <v>463</v>
      </c>
    </row>
    <row r="78" s="1" customFormat="1" ht="67.2" spans="1:16">
      <c r="A78" s="22" t="s">
        <v>479</v>
      </c>
      <c r="B78" s="26" t="s">
        <v>475</v>
      </c>
      <c r="C78" s="26" t="s">
        <v>480</v>
      </c>
      <c r="D78" s="28" t="s">
        <v>73</v>
      </c>
      <c r="E78" s="24">
        <v>1.04</v>
      </c>
      <c r="F78" s="25">
        <f t="shared" si="13"/>
        <v>146.9538</v>
      </c>
      <c r="G78" s="25">
        <f t="shared" si="14"/>
        <v>152.831952</v>
      </c>
      <c r="H78" s="27">
        <v>0</v>
      </c>
      <c r="I78" s="27">
        <v>0</v>
      </c>
      <c r="J78" s="27">
        <v>0</v>
      </c>
      <c r="K78" s="44">
        <v>0</v>
      </c>
      <c r="L78" s="27">
        <v>126</v>
      </c>
      <c r="M78" s="27">
        <f t="shared" si="10"/>
        <v>126</v>
      </c>
      <c r="N78" s="27">
        <f t="shared" si="11"/>
        <v>8.82</v>
      </c>
      <c r="O78" s="27">
        <f t="shared" si="12"/>
        <v>12.1338</v>
      </c>
      <c r="P78" s="43" t="s">
        <v>463</v>
      </c>
    </row>
    <row r="79" s="1" customFormat="1" ht="67.2" spans="1:16">
      <c r="A79" s="22" t="s">
        <v>481</v>
      </c>
      <c r="B79" s="26" t="s">
        <v>475</v>
      </c>
      <c r="C79" s="26" t="s">
        <v>482</v>
      </c>
      <c r="D79" s="28" t="s">
        <v>73</v>
      </c>
      <c r="E79" s="24">
        <v>10.96</v>
      </c>
      <c r="F79" s="25">
        <f t="shared" si="13"/>
        <v>146.9538</v>
      </c>
      <c r="G79" s="25">
        <f t="shared" si="14"/>
        <v>1610.613648</v>
      </c>
      <c r="H79" s="27">
        <v>0</v>
      </c>
      <c r="I79" s="27">
        <v>0</v>
      </c>
      <c r="J79" s="27">
        <v>0</v>
      </c>
      <c r="K79" s="44">
        <v>0</v>
      </c>
      <c r="L79" s="27">
        <v>126</v>
      </c>
      <c r="M79" s="27">
        <f t="shared" si="10"/>
        <v>126</v>
      </c>
      <c r="N79" s="27">
        <f t="shared" si="11"/>
        <v>8.82</v>
      </c>
      <c r="O79" s="27">
        <f t="shared" si="12"/>
        <v>12.1338</v>
      </c>
      <c r="P79" s="43" t="s">
        <v>463</v>
      </c>
    </row>
    <row r="80" s="1" customFormat="1" ht="67.2" spans="1:16">
      <c r="A80" s="22" t="s">
        <v>483</v>
      </c>
      <c r="B80" s="26" t="s">
        <v>475</v>
      </c>
      <c r="C80" s="26" t="s">
        <v>484</v>
      </c>
      <c r="D80" s="28" t="s">
        <v>73</v>
      </c>
      <c r="E80" s="24">
        <v>1.04</v>
      </c>
      <c r="F80" s="25">
        <f t="shared" si="13"/>
        <v>146.9538</v>
      </c>
      <c r="G80" s="25">
        <f t="shared" si="14"/>
        <v>152.831952</v>
      </c>
      <c r="H80" s="27">
        <v>0</v>
      </c>
      <c r="I80" s="27">
        <v>0</v>
      </c>
      <c r="J80" s="27">
        <v>0</v>
      </c>
      <c r="K80" s="44">
        <v>0</v>
      </c>
      <c r="L80" s="27">
        <v>126</v>
      </c>
      <c r="M80" s="27">
        <f t="shared" si="10"/>
        <v>126</v>
      </c>
      <c r="N80" s="27">
        <f t="shared" si="11"/>
        <v>8.82</v>
      </c>
      <c r="O80" s="27">
        <f t="shared" si="12"/>
        <v>12.1338</v>
      </c>
      <c r="P80" s="43" t="s">
        <v>463</v>
      </c>
    </row>
    <row r="81" s="1" customFormat="1" ht="19.2" spans="1:16">
      <c r="A81" s="22" t="s">
        <v>485</v>
      </c>
      <c r="B81" s="26" t="s">
        <v>486</v>
      </c>
      <c r="C81" s="26" t="s">
        <v>487</v>
      </c>
      <c r="D81" s="28" t="s">
        <v>343</v>
      </c>
      <c r="E81" s="24">
        <v>3</v>
      </c>
      <c r="F81" s="25">
        <f t="shared" si="13"/>
        <v>379.63065</v>
      </c>
      <c r="G81" s="25">
        <f t="shared" si="14"/>
        <v>1138.89195</v>
      </c>
      <c r="H81" s="27">
        <v>0</v>
      </c>
      <c r="I81" s="27">
        <v>0</v>
      </c>
      <c r="J81" s="27">
        <v>0</v>
      </c>
      <c r="K81" s="44">
        <v>0</v>
      </c>
      <c r="L81" s="27">
        <v>325.5</v>
      </c>
      <c r="M81" s="27">
        <f t="shared" si="10"/>
        <v>325.5</v>
      </c>
      <c r="N81" s="27">
        <f t="shared" si="11"/>
        <v>22.785</v>
      </c>
      <c r="O81" s="27">
        <f t="shared" si="12"/>
        <v>31.34565</v>
      </c>
      <c r="P81" s="43" t="s">
        <v>463</v>
      </c>
    </row>
    <row r="82" s="1" customFormat="1" ht="48" spans="1:16">
      <c r="A82" s="22" t="s">
        <v>488</v>
      </c>
      <c r="B82" s="26" t="s">
        <v>489</v>
      </c>
      <c r="C82" s="26" t="s">
        <v>490</v>
      </c>
      <c r="D82" s="28" t="s">
        <v>73</v>
      </c>
      <c r="E82" s="24">
        <v>12.63</v>
      </c>
      <c r="F82" s="25">
        <f t="shared" si="13"/>
        <v>30.615375</v>
      </c>
      <c r="G82" s="25">
        <f t="shared" si="14"/>
        <v>386.67218625</v>
      </c>
      <c r="H82" s="27">
        <v>0</v>
      </c>
      <c r="I82" s="27">
        <v>0</v>
      </c>
      <c r="J82" s="27">
        <v>0</v>
      </c>
      <c r="K82" s="44">
        <v>0</v>
      </c>
      <c r="L82" s="27">
        <v>26.25</v>
      </c>
      <c r="M82" s="27">
        <f t="shared" si="10"/>
        <v>26.25</v>
      </c>
      <c r="N82" s="27">
        <f t="shared" si="11"/>
        <v>1.8375</v>
      </c>
      <c r="O82" s="27">
        <f t="shared" si="12"/>
        <v>2.527875</v>
      </c>
      <c r="P82" s="43" t="s">
        <v>463</v>
      </c>
    </row>
    <row r="83" s="1" customFormat="1" ht="48" spans="1:16">
      <c r="A83" s="22" t="s">
        <v>491</v>
      </c>
      <c r="B83" s="26" t="s">
        <v>489</v>
      </c>
      <c r="C83" s="26" t="s">
        <v>492</v>
      </c>
      <c r="D83" s="28" t="s">
        <v>73</v>
      </c>
      <c r="E83" s="24">
        <f>3+0.74</f>
        <v>3.74</v>
      </c>
      <c r="F83" s="25">
        <f t="shared" si="13"/>
        <v>36.73845</v>
      </c>
      <c r="G83" s="25">
        <f t="shared" si="14"/>
        <v>137.401803</v>
      </c>
      <c r="H83" s="27">
        <v>0</v>
      </c>
      <c r="I83" s="27">
        <v>0</v>
      </c>
      <c r="J83" s="27">
        <v>0</v>
      </c>
      <c r="K83" s="44">
        <v>0</v>
      </c>
      <c r="L83" s="27">
        <v>31.5</v>
      </c>
      <c r="M83" s="27">
        <f t="shared" si="10"/>
        <v>31.5</v>
      </c>
      <c r="N83" s="27">
        <f t="shared" si="11"/>
        <v>2.205</v>
      </c>
      <c r="O83" s="27">
        <f t="shared" si="12"/>
        <v>3.03345</v>
      </c>
      <c r="P83" s="43" t="s">
        <v>463</v>
      </c>
    </row>
    <row r="84" s="1" customFormat="1" spans="1:16">
      <c r="A84" s="22" t="s">
        <v>493</v>
      </c>
      <c r="B84" s="26" t="s">
        <v>494</v>
      </c>
      <c r="C84" s="26" t="s">
        <v>495</v>
      </c>
      <c r="D84" s="28" t="s">
        <v>343</v>
      </c>
      <c r="E84" s="24">
        <v>9</v>
      </c>
      <c r="F84" s="25">
        <f t="shared" si="13"/>
        <v>67.353825</v>
      </c>
      <c r="G84" s="25">
        <f t="shared" si="14"/>
        <v>606.184425</v>
      </c>
      <c r="H84" s="27">
        <f>60.5/1.1*1.05</f>
        <v>57.75</v>
      </c>
      <c r="I84" s="27">
        <v>0</v>
      </c>
      <c r="J84" s="27">
        <v>0</v>
      </c>
      <c r="K84" s="44">
        <v>0</v>
      </c>
      <c r="L84" s="27">
        <v>0</v>
      </c>
      <c r="M84" s="27">
        <f t="shared" si="10"/>
        <v>57.75</v>
      </c>
      <c r="N84" s="27">
        <f t="shared" si="11"/>
        <v>4.0425</v>
      </c>
      <c r="O84" s="27">
        <f t="shared" si="12"/>
        <v>5.561325</v>
      </c>
      <c r="P84" s="43"/>
    </row>
    <row r="85" s="1" customFormat="1" spans="1:16">
      <c r="A85" s="22" t="s">
        <v>312</v>
      </c>
      <c r="B85" s="23" t="s">
        <v>496</v>
      </c>
      <c r="C85" s="23"/>
      <c r="D85" s="24"/>
      <c r="E85" s="24"/>
      <c r="F85" s="25">
        <f t="shared" si="13"/>
        <v>0</v>
      </c>
      <c r="G85" s="25">
        <f t="shared" si="14"/>
        <v>0</v>
      </c>
      <c r="H85" s="39"/>
      <c r="I85" s="39"/>
      <c r="J85" s="39"/>
      <c r="K85" s="46"/>
      <c r="L85" s="39"/>
      <c r="M85" s="57"/>
      <c r="N85" s="57"/>
      <c r="O85" s="57"/>
      <c r="P85" s="43"/>
    </row>
    <row r="86" s="1" customFormat="1" ht="28.8" spans="1:16">
      <c r="A86" s="22" t="s">
        <v>161</v>
      </c>
      <c r="B86" s="26" t="s">
        <v>329</v>
      </c>
      <c r="C86" s="26" t="s">
        <v>497</v>
      </c>
      <c r="D86" s="33" t="s">
        <v>73</v>
      </c>
      <c r="E86" s="24">
        <f>1.5+5.12+13.55+0.6*2+11.07+3</f>
        <v>35.44</v>
      </c>
      <c r="F86" s="25">
        <f t="shared" si="13"/>
        <v>22.299656</v>
      </c>
      <c r="G86" s="25">
        <f t="shared" si="14"/>
        <v>790.29980864</v>
      </c>
      <c r="H86" s="27">
        <v>15</v>
      </c>
      <c r="I86" s="27">
        <v>0</v>
      </c>
      <c r="J86" s="27">
        <v>0</v>
      </c>
      <c r="K86" s="44">
        <v>0.03</v>
      </c>
      <c r="L86" s="27">
        <v>4</v>
      </c>
      <c r="M86" s="27">
        <f t="shared" ref="M86:M100" si="15">H86+I86+J86+L86*(1+K86)</f>
        <v>19.12</v>
      </c>
      <c r="N86" s="27">
        <f t="shared" ref="N86:N100" si="16">M86*$N$6</f>
        <v>1.3384</v>
      </c>
      <c r="O86" s="27">
        <f t="shared" ref="O86:O100" si="17">(M86+N86)*$O$6</f>
        <v>1.841256</v>
      </c>
      <c r="P86" s="43" t="s">
        <v>327</v>
      </c>
    </row>
    <row r="87" s="1" customFormat="1" ht="28.8" spans="1:16">
      <c r="A87" s="22" t="s">
        <v>166</v>
      </c>
      <c r="B87" s="26" t="s">
        <v>329</v>
      </c>
      <c r="C87" s="26" t="s">
        <v>330</v>
      </c>
      <c r="D87" s="33" t="s">
        <v>73</v>
      </c>
      <c r="E87" s="47">
        <f>1.17+1.7</f>
        <v>2.87</v>
      </c>
      <c r="F87" s="25">
        <f t="shared" si="13"/>
        <v>20.2574647</v>
      </c>
      <c r="G87" s="25">
        <f t="shared" si="14"/>
        <v>58.138923689</v>
      </c>
      <c r="H87" s="27">
        <v>15</v>
      </c>
      <c r="I87" s="27">
        <v>0</v>
      </c>
      <c r="J87" s="27">
        <v>0</v>
      </c>
      <c r="K87" s="44">
        <v>0.03</v>
      </c>
      <c r="L87" s="27">
        <v>2.3</v>
      </c>
      <c r="M87" s="27">
        <f t="shared" si="15"/>
        <v>17.369</v>
      </c>
      <c r="N87" s="27">
        <f t="shared" si="16"/>
        <v>1.21583</v>
      </c>
      <c r="O87" s="27">
        <f t="shared" si="17"/>
        <v>1.6726347</v>
      </c>
      <c r="P87" s="43" t="s">
        <v>327</v>
      </c>
    </row>
    <row r="88" s="1" customFormat="1" ht="28.8" spans="1:16">
      <c r="A88" s="22" t="s">
        <v>168</v>
      </c>
      <c r="B88" s="26" t="s">
        <v>329</v>
      </c>
      <c r="C88" s="26" t="s">
        <v>332</v>
      </c>
      <c r="D88" s="33" t="s">
        <v>73</v>
      </c>
      <c r="E88" s="24">
        <f>1.5*2+9.8+9.92+3.32+3.91+1.5+6.17+1.3</f>
        <v>38.92</v>
      </c>
      <c r="F88" s="25">
        <f t="shared" si="13"/>
        <v>20.8581092</v>
      </c>
      <c r="G88" s="25">
        <f t="shared" si="14"/>
        <v>811.797610064</v>
      </c>
      <c r="H88" s="27">
        <v>15</v>
      </c>
      <c r="I88" s="27">
        <v>0</v>
      </c>
      <c r="J88" s="27">
        <v>0</v>
      </c>
      <c r="K88" s="44">
        <v>0.03</v>
      </c>
      <c r="L88" s="27">
        <v>2.8</v>
      </c>
      <c r="M88" s="27">
        <f t="shared" si="15"/>
        <v>17.884</v>
      </c>
      <c r="N88" s="27">
        <f t="shared" si="16"/>
        <v>1.25188</v>
      </c>
      <c r="O88" s="27">
        <f t="shared" si="17"/>
        <v>1.7222292</v>
      </c>
      <c r="P88" s="43" t="s">
        <v>327</v>
      </c>
    </row>
    <row r="89" s="1" customFormat="1" ht="28.8" spans="1:16">
      <c r="A89" s="22" t="s">
        <v>498</v>
      </c>
      <c r="B89" s="23" t="s">
        <v>334</v>
      </c>
      <c r="C89" s="37" t="s">
        <v>499</v>
      </c>
      <c r="D89" s="33" t="s">
        <v>73</v>
      </c>
      <c r="E89" s="24">
        <f>35.44*2</f>
        <v>70.88</v>
      </c>
      <c r="F89" s="25">
        <f t="shared" si="13"/>
        <v>13.2946537</v>
      </c>
      <c r="G89" s="25">
        <f t="shared" si="14"/>
        <v>942.325054256</v>
      </c>
      <c r="H89" s="27">
        <v>8</v>
      </c>
      <c r="I89" s="27">
        <v>0</v>
      </c>
      <c r="J89" s="27">
        <v>0</v>
      </c>
      <c r="K89" s="44">
        <v>0.03</v>
      </c>
      <c r="L89" s="27">
        <v>3.3</v>
      </c>
      <c r="M89" s="27">
        <f t="shared" si="15"/>
        <v>11.399</v>
      </c>
      <c r="N89" s="27">
        <f t="shared" si="16"/>
        <v>0.79793</v>
      </c>
      <c r="O89" s="27">
        <f t="shared" si="17"/>
        <v>1.0977237</v>
      </c>
      <c r="P89" s="43" t="s">
        <v>327</v>
      </c>
    </row>
    <row r="90" s="1" customFormat="1" ht="28.8" spans="1:16">
      <c r="A90" s="22" t="s">
        <v>500</v>
      </c>
      <c r="B90" s="23" t="s">
        <v>334</v>
      </c>
      <c r="C90" s="37" t="s">
        <v>501</v>
      </c>
      <c r="D90" s="33" t="s">
        <v>73</v>
      </c>
      <c r="E90" s="47">
        <f>2.87*2+29.95*3</f>
        <v>95.59</v>
      </c>
      <c r="F90" s="25">
        <f t="shared" si="13"/>
        <v>12.77809943</v>
      </c>
      <c r="G90" s="25">
        <f t="shared" si="14"/>
        <v>1221.4585245137</v>
      </c>
      <c r="H90" s="27">
        <v>8</v>
      </c>
      <c r="I90" s="27">
        <v>0</v>
      </c>
      <c r="J90" s="27">
        <v>0</v>
      </c>
      <c r="K90" s="44">
        <v>0.03</v>
      </c>
      <c r="L90" s="27">
        <v>2.87</v>
      </c>
      <c r="M90" s="27">
        <f t="shared" si="15"/>
        <v>10.9561</v>
      </c>
      <c r="N90" s="27">
        <f t="shared" si="16"/>
        <v>0.766927</v>
      </c>
      <c r="O90" s="27">
        <f t="shared" si="17"/>
        <v>1.05507243</v>
      </c>
      <c r="P90" s="43" t="s">
        <v>327</v>
      </c>
    </row>
    <row r="91" s="1" customFormat="1" ht="28.8" spans="1:16">
      <c r="A91" s="22" t="s">
        <v>502</v>
      </c>
      <c r="B91" s="23" t="s">
        <v>334</v>
      </c>
      <c r="C91" s="37" t="s">
        <v>503</v>
      </c>
      <c r="D91" s="33" t="s">
        <v>73</v>
      </c>
      <c r="E91" s="47">
        <f>(1.5+6.17+1.3)*3</f>
        <v>26.91</v>
      </c>
      <c r="F91" s="25">
        <f t="shared" si="13"/>
        <v>15.5771028</v>
      </c>
      <c r="G91" s="25">
        <f t="shared" si="14"/>
        <v>419.179836348</v>
      </c>
      <c r="H91" s="27">
        <v>8</v>
      </c>
      <c r="I91" s="27">
        <v>0</v>
      </c>
      <c r="J91" s="27">
        <v>0</v>
      </c>
      <c r="K91" s="44">
        <v>0.03</v>
      </c>
      <c r="L91" s="27">
        <v>5.2</v>
      </c>
      <c r="M91" s="27">
        <f t="shared" si="15"/>
        <v>13.356</v>
      </c>
      <c r="N91" s="27">
        <f t="shared" si="16"/>
        <v>0.93492</v>
      </c>
      <c r="O91" s="27">
        <f t="shared" si="17"/>
        <v>1.2861828</v>
      </c>
      <c r="P91" s="43" t="s">
        <v>327</v>
      </c>
    </row>
    <row r="92" s="1" customFormat="1" ht="38.4" spans="1:16">
      <c r="A92" s="22" t="s">
        <v>504</v>
      </c>
      <c r="B92" s="23" t="s">
        <v>341</v>
      </c>
      <c r="C92" s="37" t="s">
        <v>342</v>
      </c>
      <c r="D92" s="24" t="s">
        <v>343</v>
      </c>
      <c r="E92" s="24">
        <v>1</v>
      </c>
      <c r="F92" s="25">
        <f t="shared" si="13"/>
        <v>19.71047</v>
      </c>
      <c r="G92" s="25">
        <f t="shared" si="14"/>
        <v>19.71047</v>
      </c>
      <c r="H92" s="27">
        <v>5</v>
      </c>
      <c r="I92" s="27">
        <v>0</v>
      </c>
      <c r="J92" s="27">
        <v>0</v>
      </c>
      <c r="K92" s="44">
        <v>0</v>
      </c>
      <c r="L92" s="27">
        <v>11.9</v>
      </c>
      <c r="M92" s="27">
        <f t="shared" si="15"/>
        <v>16.9</v>
      </c>
      <c r="N92" s="27">
        <f t="shared" si="16"/>
        <v>1.183</v>
      </c>
      <c r="O92" s="27">
        <f t="shared" si="17"/>
        <v>1.62747</v>
      </c>
      <c r="P92" s="43" t="s">
        <v>323</v>
      </c>
    </row>
    <row r="93" s="1" customFormat="1" ht="38.4" spans="1:16">
      <c r="A93" s="22" t="s">
        <v>505</v>
      </c>
      <c r="B93" s="23" t="s">
        <v>371</v>
      </c>
      <c r="C93" s="26" t="s">
        <v>506</v>
      </c>
      <c r="D93" s="33" t="s">
        <v>343</v>
      </c>
      <c r="E93" s="24">
        <v>2</v>
      </c>
      <c r="F93" s="25">
        <f t="shared" si="13"/>
        <v>107.18297</v>
      </c>
      <c r="G93" s="25">
        <f t="shared" si="14"/>
        <v>214.36594</v>
      </c>
      <c r="H93" s="27">
        <v>5</v>
      </c>
      <c r="I93" s="27">
        <v>0</v>
      </c>
      <c r="J93" s="27">
        <v>0</v>
      </c>
      <c r="K93" s="44">
        <v>0</v>
      </c>
      <c r="L93" s="27">
        <v>86.9</v>
      </c>
      <c r="M93" s="27">
        <f t="shared" si="15"/>
        <v>91.9</v>
      </c>
      <c r="N93" s="27">
        <f t="shared" si="16"/>
        <v>6.433</v>
      </c>
      <c r="O93" s="27">
        <f t="shared" si="17"/>
        <v>8.84997</v>
      </c>
      <c r="P93" s="43" t="s">
        <v>373</v>
      </c>
    </row>
    <row r="94" s="1" customFormat="1" ht="38.4" spans="1:16">
      <c r="A94" s="22" t="s">
        <v>507</v>
      </c>
      <c r="B94" s="23" t="s">
        <v>371</v>
      </c>
      <c r="C94" s="26" t="s">
        <v>508</v>
      </c>
      <c r="D94" s="33" t="s">
        <v>343</v>
      </c>
      <c r="E94" s="24">
        <v>4</v>
      </c>
      <c r="F94" s="25">
        <f t="shared" si="13"/>
        <v>85.37316</v>
      </c>
      <c r="G94" s="25">
        <f t="shared" si="14"/>
        <v>341.49264</v>
      </c>
      <c r="H94" s="27">
        <v>5</v>
      </c>
      <c r="I94" s="27">
        <v>0</v>
      </c>
      <c r="J94" s="27">
        <v>0</v>
      </c>
      <c r="K94" s="44">
        <v>0</v>
      </c>
      <c r="L94" s="27">
        <v>68.2</v>
      </c>
      <c r="M94" s="27">
        <f t="shared" si="15"/>
        <v>73.2</v>
      </c>
      <c r="N94" s="27">
        <f t="shared" si="16"/>
        <v>5.124</v>
      </c>
      <c r="O94" s="27">
        <f t="shared" si="17"/>
        <v>7.04916</v>
      </c>
      <c r="P94" s="43" t="s">
        <v>373</v>
      </c>
    </row>
    <row r="95" s="1" customFormat="1" ht="38.4" spans="1:16">
      <c r="A95" s="22" t="s">
        <v>509</v>
      </c>
      <c r="B95" s="23" t="s">
        <v>371</v>
      </c>
      <c r="C95" s="26" t="s">
        <v>510</v>
      </c>
      <c r="D95" s="33" t="s">
        <v>343</v>
      </c>
      <c r="E95" s="24">
        <v>1</v>
      </c>
      <c r="F95" s="25">
        <f t="shared" si="13"/>
        <v>120.01227</v>
      </c>
      <c r="G95" s="25">
        <f t="shared" si="14"/>
        <v>120.01227</v>
      </c>
      <c r="H95" s="27">
        <v>5</v>
      </c>
      <c r="I95" s="27">
        <v>0</v>
      </c>
      <c r="J95" s="27">
        <v>0</v>
      </c>
      <c r="K95" s="44">
        <v>0</v>
      </c>
      <c r="L95" s="27">
        <v>97.9</v>
      </c>
      <c r="M95" s="27">
        <f t="shared" si="15"/>
        <v>102.9</v>
      </c>
      <c r="N95" s="27">
        <f t="shared" si="16"/>
        <v>7.203</v>
      </c>
      <c r="O95" s="27">
        <f t="shared" si="17"/>
        <v>9.90927</v>
      </c>
      <c r="P95" s="43" t="s">
        <v>373</v>
      </c>
    </row>
    <row r="96" s="1" customFormat="1" ht="38.4" spans="1:16">
      <c r="A96" s="22" t="s">
        <v>511</v>
      </c>
      <c r="B96" s="23" t="s">
        <v>371</v>
      </c>
      <c r="C96" s="26" t="s">
        <v>512</v>
      </c>
      <c r="D96" s="33" t="s">
        <v>343</v>
      </c>
      <c r="E96" s="24">
        <v>5</v>
      </c>
      <c r="F96" s="25">
        <f t="shared" si="13"/>
        <v>104.967</v>
      </c>
      <c r="G96" s="25">
        <f t="shared" si="14"/>
        <v>524.835</v>
      </c>
      <c r="H96" s="27">
        <v>5</v>
      </c>
      <c r="I96" s="27">
        <v>0</v>
      </c>
      <c r="J96" s="27">
        <v>0</v>
      </c>
      <c r="K96" s="44">
        <v>0</v>
      </c>
      <c r="L96" s="27">
        <v>85</v>
      </c>
      <c r="M96" s="27">
        <f t="shared" si="15"/>
        <v>90</v>
      </c>
      <c r="N96" s="27">
        <f t="shared" si="16"/>
        <v>6.3</v>
      </c>
      <c r="O96" s="27">
        <f t="shared" si="17"/>
        <v>8.667</v>
      </c>
      <c r="P96" s="43" t="s">
        <v>373</v>
      </c>
    </row>
    <row r="97" s="1" customFormat="1" ht="19.2" spans="1:16">
      <c r="A97" s="22" t="s">
        <v>513</v>
      </c>
      <c r="B97" s="23" t="s">
        <v>514</v>
      </c>
      <c r="C97" s="26" t="s">
        <v>515</v>
      </c>
      <c r="D97" s="33" t="s">
        <v>343</v>
      </c>
      <c r="E97" s="24">
        <v>1</v>
      </c>
      <c r="F97" s="25">
        <f t="shared" si="13"/>
        <v>40.8205</v>
      </c>
      <c r="G97" s="25">
        <f t="shared" si="14"/>
        <v>40.8205</v>
      </c>
      <c r="H97" s="27">
        <v>5</v>
      </c>
      <c r="I97" s="27">
        <v>0</v>
      </c>
      <c r="J97" s="27">
        <v>0</v>
      </c>
      <c r="K97" s="44">
        <v>0</v>
      </c>
      <c r="L97" s="27">
        <v>30</v>
      </c>
      <c r="M97" s="27">
        <f t="shared" si="15"/>
        <v>35</v>
      </c>
      <c r="N97" s="27">
        <f t="shared" si="16"/>
        <v>2.45</v>
      </c>
      <c r="O97" s="27">
        <f t="shared" si="17"/>
        <v>3.3705</v>
      </c>
      <c r="P97" s="43"/>
    </row>
    <row r="98" s="1" customFormat="1" ht="19.2" spans="1:16">
      <c r="A98" s="22" t="s">
        <v>516</v>
      </c>
      <c r="B98" s="23" t="s">
        <v>514</v>
      </c>
      <c r="C98" s="26" t="s">
        <v>517</v>
      </c>
      <c r="D98" s="33" t="s">
        <v>343</v>
      </c>
      <c r="E98" s="24">
        <v>1</v>
      </c>
      <c r="F98" s="25">
        <f t="shared" si="13"/>
        <v>40.8205</v>
      </c>
      <c r="G98" s="25">
        <f t="shared" si="14"/>
        <v>40.8205</v>
      </c>
      <c r="H98" s="27">
        <v>5</v>
      </c>
      <c r="I98" s="27">
        <v>0</v>
      </c>
      <c r="J98" s="27">
        <v>0</v>
      </c>
      <c r="K98" s="44">
        <v>0</v>
      </c>
      <c r="L98" s="27">
        <v>30</v>
      </c>
      <c r="M98" s="27">
        <f t="shared" si="15"/>
        <v>35</v>
      </c>
      <c r="N98" s="27">
        <f t="shared" si="16"/>
        <v>2.45</v>
      </c>
      <c r="O98" s="27">
        <f t="shared" si="17"/>
        <v>3.3705</v>
      </c>
      <c r="P98" s="43"/>
    </row>
    <row r="99" s="1" customFormat="1" ht="28.8" spans="1:16">
      <c r="A99" s="22" t="s">
        <v>518</v>
      </c>
      <c r="B99" s="26" t="s">
        <v>389</v>
      </c>
      <c r="C99" s="26" t="s">
        <v>519</v>
      </c>
      <c r="D99" s="24" t="s">
        <v>73</v>
      </c>
      <c r="E99" s="24">
        <f>11.02+9.64</f>
        <v>20.66</v>
      </c>
      <c r="F99" s="25">
        <f t="shared" si="13"/>
        <v>29.1575</v>
      </c>
      <c r="G99" s="25">
        <f t="shared" si="14"/>
        <v>602.39395</v>
      </c>
      <c r="H99" s="27">
        <v>10</v>
      </c>
      <c r="I99" s="27">
        <v>0</v>
      </c>
      <c r="J99" s="27">
        <v>0</v>
      </c>
      <c r="K99" s="44">
        <v>0</v>
      </c>
      <c r="L99" s="27">
        <v>15</v>
      </c>
      <c r="M99" s="27">
        <f t="shared" si="15"/>
        <v>25</v>
      </c>
      <c r="N99" s="27">
        <f t="shared" si="16"/>
        <v>1.75</v>
      </c>
      <c r="O99" s="27">
        <f t="shared" si="17"/>
        <v>2.4075</v>
      </c>
      <c r="P99" s="43" t="s">
        <v>373</v>
      </c>
    </row>
    <row r="100" s="1" customFormat="1" ht="28.8" spans="1:16">
      <c r="A100" s="22" t="s">
        <v>520</v>
      </c>
      <c r="B100" s="23" t="s">
        <v>521</v>
      </c>
      <c r="C100" s="26" t="s">
        <v>522</v>
      </c>
      <c r="D100" s="33" t="s">
        <v>343</v>
      </c>
      <c r="E100" s="24">
        <v>8</v>
      </c>
      <c r="F100" s="25">
        <f t="shared" si="13"/>
        <v>326.564</v>
      </c>
      <c r="G100" s="25">
        <f t="shared" si="14"/>
        <v>2612.512</v>
      </c>
      <c r="H100" s="27">
        <v>0</v>
      </c>
      <c r="I100" s="27">
        <v>0</v>
      </c>
      <c r="J100" s="27">
        <v>0</v>
      </c>
      <c r="K100" s="44">
        <v>0</v>
      </c>
      <c r="L100" s="27">
        <v>280</v>
      </c>
      <c r="M100" s="27">
        <f t="shared" si="15"/>
        <v>280</v>
      </c>
      <c r="N100" s="27">
        <f t="shared" si="16"/>
        <v>19.6</v>
      </c>
      <c r="O100" s="27">
        <f t="shared" si="17"/>
        <v>26.964</v>
      </c>
      <c r="P100" s="43" t="s">
        <v>373</v>
      </c>
    </row>
    <row r="101" s="1" customFormat="1" spans="1:16">
      <c r="A101" s="18" t="s">
        <v>523</v>
      </c>
      <c r="B101" s="48" t="s">
        <v>524</v>
      </c>
      <c r="C101" s="48"/>
      <c r="D101" s="49"/>
      <c r="E101" s="49"/>
      <c r="F101" s="50"/>
      <c r="G101" s="51">
        <f>SUM(G7:G100)</f>
        <v>131973.080633447</v>
      </c>
      <c r="H101" s="20"/>
      <c r="I101" s="20"/>
      <c r="J101" s="20"/>
      <c r="K101" s="58"/>
      <c r="L101" s="20"/>
      <c r="M101" s="20"/>
      <c r="N101" s="20"/>
      <c r="O101" s="20"/>
      <c r="P101" s="43"/>
    </row>
    <row r="102" s="1" customFormat="1" ht="48" customHeight="1" spans="1:16">
      <c r="A102" s="52" t="s">
        <v>8</v>
      </c>
      <c r="B102" s="53" t="s">
        <v>315</v>
      </c>
      <c r="C102" s="53"/>
      <c r="D102" s="53"/>
      <c r="E102" s="53"/>
      <c r="F102" s="54"/>
      <c r="G102" s="54"/>
      <c r="H102" s="55"/>
      <c r="I102" s="55"/>
      <c r="J102" s="55"/>
      <c r="K102" s="55"/>
      <c r="L102" s="55"/>
      <c r="M102" s="55"/>
      <c r="N102" s="55"/>
      <c r="O102" s="55"/>
      <c r="P102" s="59"/>
    </row>
    <row r="103" s="1" customFormat="1" ht="12" spans="1:16">
      <c r="A103" s="3"/>
      <c r="B103" s="4"/>
      <c r="C103" s="5"/>
      <c r="D103" s="6"/>
      <c r="E103" s="6"/>
      <c r="F103" s="7"/>
      <c r="G103" s="56"/>
      <c r="H103" s="5"/>
      <c r="I103" s="5"/>
      <c r="J103" s="5"/>
      <c r="K103" s="5"/>
      <c r="L103" s="5"/>
      <c r="M103" s="5"/>
      <c r="N103" s="5"/>
      <c r="O103" s="5"/>
      <c r="P103" s="6"/>
    </row>
    <row r="104" s="1" customFormat="1" spans="1:16">
      <c r="A104" s="3"/>
      <c r="B104" s="4"/>
      <c r="C104" s="5"/>
      <c r="D104" s="6"/>
      <c r="E104" s="6"/>
      <c r="F104" s="7"/>
      <c r="G104" s="8"/>
      <c r="H104" s="5"/>
      <c r="I104" s="5"/>
      <c r="J104" s="5"/>
      <c r="K104" s="5"/>
      <c r="L104" s="5"/>
      <c r="M104" s="5"/>
      <c r="N104" s="5"/>
      <c r="O104" s="5"/>
      <c r="P104" s="6"/>
    </row>
    <row r="105" s="1" customFormat="1" spans="1:16">
      <c r="A105" s="3"/>
      <c r="B105" s="4"/>
      <c r="C105" s="5"/>
      <c r="D105" s="6"/>
      <c r="E105" s="6"/>
      <c r="F105" s="7"/>
      <c r="G105" s="8"/>
      <c r="H105" s="5"/>
      <c r="I105" s="5"/>
      <c r="J105" s="5"/>
      <c r="K105" s="5"/>
      <c r="L105" s="5"/>
      <c r="M105" s="5"/>
      <c r="N105" s="5"/>
      <c r="O105" s="5"/>
      <c r="P105" s="6"/>
    </row>
    <row r="106" s="1" customFormat="1" spans="1:16">
      <c r="A106" s="3"/>
      <c r="B106" s="4"/>
      <c r="C106" s="5"/>
      <c r="D106" s="6"/>
      <c r="E106" s="6"/>
      <c r="F106" s="7"/>
      <c r="G106" s="8"/>
      <c r="H106" s="5"/>
      <c r="I106" s="5"/>
      <c r="J106" s="5"/>
      <c r="K106" s="5"/>
      <c r="L106" s="5"/>
      <c r="M106" s="5"/>
      <c r="N106" s="5"/>
      <c r="O106" s="5"/>
      <c r="P106" s="6"/>
    </row>
    <row r="107" s="1" customFormat="1" spans="1:16">
      <c r="A107" s="3"/>
      <c r="B107" s="4"/>
      <c r="C107" s="5"/>
      <c r="D107" s="6"/>
      <c r="E107" s="6"/>
      <c r="F107" s="7"/>
      <c r="G107" s="8"/>
      <c r="H107" s="5"/>
      <c r="I107" s="5"/>
      <c r="J107" s="5"/>
      <c r="K107" s="5"/>
      <c r="L107" s="5"/>
      <c r="M107" s="5"/>
      <c r="N107" s="5"/>
      <c r="O107" s="5"/>
      <c r="P107" s="6"/>
    </row>
    <row r="108" s="1" customFormat="1" spans="1:16">
      <c r="A108" s="3"/>
      <c r="B108" s="4"/>
      <c r="C108" s="5"/>
      <c r="D108" s="6"/>
      <c r="E108" s="6"/>
      <c r="F108" s="7"/>
      <c r="G108" s="8"/>
      <c r="H108" s="5"/>
      <c r="I108" s="5"/>
      <c r="J108" s="5"/>
      <c r="K108" s="5"/>
      <c r="L108" s="5"/>
      <c r="M108" s="5"/>
      <c r="N108" s="5"/>
      <c r="O108" s="5"/>
      <c r="P108" s="6"/>
    </row>
    <row r="109" s="1" customFormat="1" spans="1:16">
      <c r="A109" s="3"/>
      <c r="B109" s="4"/>
      <c r="C109" s="5"/>
      <c r="D109" s="6"/>
      <c r="E109" s="6"/>
      <c r="F109" s="7"/>
      <c r="G109" s="8"/>
      <c r="H109" s="5"/>
      <c r="I109" s="5"/>
      <c r="J109" s="5"/>
      <c r="K109" s="5"/>
      <c r="L109" s="5"/>
      <c r="M109" s="5"/>
      <c r="N109" s="5"/>
      <c r="O109" s="5"/>
      <c r="P109" s="6"/>
    </row>
    <row r="110" s="1" customFormat="1" spans="1:16">
      <c r="A110" s="3"/>
      <c r="B110" s="4"/>
      <c r="C110" s="5"/>
      <c r="D110" s="6"/>
      <c r="E110" s="6"/>
      <c r="F110" s="7"/>
      <c r="G110" s="8"/>
      <c r="H110" s="5"/>
      <c r="I110" s="5"/>
      <c r="J110" s="5"/>
      <c r="K110" s="5"/>
      <c r="L110" s="5"/>
      <c r="M110" s="5"/>
      <c r="N110" s="5"/>
      <c r="O110" s="5"/>
      <c r="P110" s="6"/>
    </row>
    <row r="111" s="1" customFormat="1" spans="1:16">
      <c r="A111" s="3"/>
      <c r="B111" s="4"/>
      <c r="C111" s="5"/>
      <c r="D111" s="6"/>
      <c r="E111" s="6"/>
      <c r="F111" s="7"/>
      <c r="G111" s="8"/>
      <c r="H111" s="5"/>
      <c r="I111" s="5"/>
      <c r="J111" s="5"/>
      <c r="K111" s="5"/>
      <c r="L111" s="5"/>
      <c r="M111" s="5"/>
      <c r="N111" s="5"/>
      <c r="O111" s="5"/>
      <c r="P111" s="6"/>
    </row>
    <row r="112" s="1" customFormat="1" spans="1:16">
      <c r="A112" s="3"/>
      <c r="B112" s="4"/>
      <c r="C112" s="5"/>
      <c r="D112" s="6"/>
      <c r="E112" s="6"/>
      <c r="F112" s="7"/>
      <c r="G112" s="8"/>
      <c r="H112" s="5"/>
      <c r="I112" s="5"/>
      <c r="J112" s="5"/>
      <c r="K112" s="5"/>
      <c r="L112" s="5"/>
      <c r="M112" s="5"/>
      <c r="N112" s="5"/>
      <c r="O112" s="5"/>
      <c r="P112" s="6"/>
    </row>
    <row r="113" s="1" customFormat="1" spans="1:16">
      <c r="A113" s="3"/>
      <c r="B113" s="4"/>
      <c r="C113" s="5"/>
      <c r="D113" s="6"/>
      <c r="E113" s="6"/>
      <c r="F113" s="7"/>
      <c r="G113" s="8"/>
      <c r="H113" s="5"/>
      <c r="I113" s="5"/>
      <c r="J113" s="5"/>
      <c r="K113" s="5"/>
      <c r="L113" s="5"/>
      <c r="M113" s="5"/>
      <c r="N113" s="5"/>
      <c r="O113" s="5"/>
      <c r="P113" s="6"/>
    </row>
    <row r="114" s="1" customFormat="1" spans="1:16">
      <c r="A114" s="3"/>
      <c r="B114" s="4"/>
      <c r="C114" s="5"/>
      <c r="D114" s="6"/>
      <c r="E114" s="6"/>
      <c r="F114" s="7"/>
      <c r="G114" s="8"/>
      <c r="H114" s="5"/>
      <c r="I114" s="5"/>
      <c r="J114" s="5"/>
      <c r="K114" s="5"/>
      <c r="L114" s="5"/>
      <c r="M114" s="5"/>
      <c r="N114" s="5"/>
      <c r="O114" s="5"/>
      <c r="P114" s="6"/>
    </row>
    <row r="115" s="1" customFormat="1" spans="1:16">
      <c r="A115" s="3"/>
      <c r="B115" s="4"/>
      <c r="C115" s="5"/>
      <c r="D115" s="6"/>
      <c r="E115" s="6"/>
      <c r="F115" s="7"/>
      <c r="G115" s="8"/>
      <c r="H115" s="5"/>
      <c r="I115" s="5"/>
      <c r="J115" s="5"/>
      <c r="K115" s="5"/>
      <c r="L115" s="5"/>
      <c r="M115" s="5"/>
      <c r="N115" s="5"/>
      <c r="O115" s="5"/>
      <c r="P115" s="6"/>
    </row>
    <row r="116" s="1" customFormat="1" spans="1:16">
      <c r="A116" s="3"/>
      <c r="B116" s="4"/>
      <c r="C116" s="5"/>
      <c r="D116" s="6"/>
      <c r="E116" s="6"/>
      <c r="F116" s="7"/>
      <c r="G116" s="8"/>
      <c r="H116" s="5"/>
      <c r="I116" s="5"/>
      <c r="J116" s="5"/>
      <c r="K116" s="5"/>
      <c r="L116" s="5"/>
      <c r="M116" s="5"/>
      <c r="N116" s="5"/>
      <c r="O116" s="5"/>
      <c r="P116" s="6"/>
    </row>
    <row r="117" s="1" customFormat="1" spans="1:16">
      <c r="A117" s="3"/>
      <c r="B117" s="4"/>
      <c r="C117" s="5"/>
      <c r="D117" s="6"/>
      <c r="E117" s="6"/>
      <c r="F117" s="7"/>
      <c r="G117" s="8"/>
      <c r="H117" s="5"/>
      <c r="I117" s="5"/>
      <c r="J117" s="5"/>
      <c r="K117" s="5"/>
      <c r="L117" s="5"/>
      <c r="M117" s="5"/>
      <c r="N117" s="5"/>
      <c r="O117" s="5"/>
      <c r="P117" s="6"/>
    </row>
    <row r="118" s="1" customFormat="1" spans="1:16">
      <c r="A118" s="3"/>
      <c r="B118" s="4"/>
      <c r="C118" s="5"/>
      <c r="D118" s="6"/>
      <c r="E118" s="6"/>
      <c r="F118" s="7"/>
      <c r="G118" s="8"/>
      <c r="H118" s="5"/>
      <c r="I118" s="5"/>
      <c r="J118" s="5"/>
      <c r="K118" s="5"/>
      <c r="L118" s="5"/>
      <c r="M118" s="5"/>
      <c r="N118" s="5"/>
      <c r="O118" s="5"/>
      <c r="P118" s="6"/>
    </row>
    <row r="119" s="1" customFormat="1" spans="1:16">
      <c r="A119" s="3"/>
      <c r="B119" s="4"/>
      <c r="C119" s="5"/>
      <c r="D119" s="6"/>
      <c r="E119" s="6"/>
      <c r="F119" s="7"/>
      <c r="G119" s="8"/>
      <c r="H119" s="5"/>
      <c r="I119" s="5"/>
      <c r="J119" s="5"/>
      <c r="K119" s="5"/>
      <c r="L119" s="5"/>
      <c r="M119" s="5"/>
      <c r="N119" s="5"/>
      <c r="O119" s="5"/>
      <c r="P119" s="6"/>
    </row>
    <row r="120" s="1" customFormat="1" spans="1:16">
      <c r="A120" s="3"/>
      <c r="B120" s="4"/>
      <c r="C120" s="5"/>
      <c r="D120" s="6"/>
      <c r="E120" s="6"/>
      <c r="F120" s="7"/>
      <c r="G120" s="8"/>
      <c r="H120" s="5"/>
      <c r="I120" s="5"/>
      <c r="J120" s="5"/>
      <c r="K120" s="5"/>
      <c r="L120" s="5"/>
      <c r="M120" s="5"/>
      <c r="N120" s="5"/>
      <c r="O120" s="5"/>
      <c r="P120" s="6"/>
    </row>
    <row r="121" s="1" customFormat="1" spans="1:16">
      <c r="A121" s="3"/>
      <c r="B121" s="4"/>
      <c r="C121" s="5"/>
      <c r="D121" s="6"/>
      <c r="E121" s="6"/>
      <c r="F121" s="7"/>
      <c r="G121" s="8"/>
      <c r="H121" s="5"/>
      <c r="I121" s="5"/>
      <c r="J121" s="5"/>
      <c r="K121" s="5"/>
      <c r="L121" s="5"/>
      <c r="M121" s="5"/>
      <c r="N121" s="5"/>
      <c r="O121" s="5"/>
      <c r="P121" s="6"/>
    </row>
    <row r="122" s="1" customFormat="1" spans="1:16">
      <c r="A122" s="3"/>
      <c r="B122" s="4"/>
      <c r="C122" s="5"/>
      <c r="D122" s="6"/>
      <c r="E122" s="6"/>
      <c r="F122" s="7"/>
      <c r="G122" s="8"/>
      <c r="H122" s="5"/>
      <c r="I122" s="5"/>
      <c r="J122" s="5"/>
      <c r="K122" s="5"/>
      <c r="L122" s="5"/>
      <c r="M122" s="5"/>
      <c r="N122" s="5"/>
      <c r="O122" s="5"/>
      <c r="P122" s="6"/>
    </row>
    <row r="123" s="1" customFormat="1" spans="1:16">
      <c r="A123" s="3"/>
      <c r="B123" s="4"/>
      <c r="C123" s="5"/>
      <c r="D123" s="6"/>
      <c r="E123" s="6"/>
      <c r="F123" s="7"/>
      <c r="G123" s="8"/>
      <c r="H123" s="5"/>
      <c r="I123" s="5"/>
      <c r="J123" s="5"/>
      <c r="K123" s="5"/>
      <c r="L123" s="5"/>
      <c r="M123" s="5"/>
      <c r="N123" s="5"/>
      <c r="O123" s="5"/>
      <c r="P123" s="6"/>
    </row>
    <row r="124" s="1" customFormat="1" spans="1:16">
      <c r="A124" s="3"/>
      <c r="B124" s="4"/>
      <c r="C124" s="5"/>
      <c r="D124" s="6"/>
      <c r="E124" s="6"/>
      <c r="F124" s="7"/>
      <c r="G124" s="8"/>
      <c r="H124" s="5"/>
      <c r="I124" s="5"/>
      <c r="J124" s="5"/>
      <c r="K124" s="5"/>
      <c r="L124" s="5"/>
      <c r="M124" s="5"/>
      <c r="N124" s="5"/>
      <c r="O124" s="5"/>
      <c r="P124" s="6"/>
    </row>
    <row r="125" s="1" customFormat="1" spans="1:16">
      <c r="A125" s="3"/>
      <c r="B125" s="4"/>
      <c r="C125" s="5"/>
      <c r="D125" s="6"/>
      <c r="E125" s="6"/>
      <c r="F125" s="7"/>
      <c r="G125" s="8"/>
      <c r="H125" s="5"/>
      <c r="I125" s="5"/>
      <c r="J125" s="5"/>
      <c r="K125" s="5"/>
      <c r="L125" s="5"/>
      <c r="M125" s="5"/>
      <c r="N125" s="5"/>
      <c r="O125" s="5"/>
      <c r="P125" s="6"/>
    </row>
    <row r="126" s="1" customFormat="1" spans="1:16">
      <c r="A126" s="3"/>
      <c r="B126" s="4"/>
      <c r="C126" s="5"/>
      <c r="D126" s="6"/>
      <c r="E126" s="6"/>
      <c r="F126" s="7"/>
      <c r="G126" s="8"/>
      <c r="H126" s="5"/>
      <c r="I126" s="5"/>
      <c r="J126" s="5"/>
      <c r="K126" s="5"/>
      <c r="L126" s="5"/>
      <c r="M126" s="5"/>
      <c r="N126" s="5"/>
      <c r="O126" s="5"/>
      <c r="P126" s="6"/>
    </row>
    <row r="127" s="1" customFormat="1" spans="1:16">
      <c r="A127" s="3"/>
      <c r="B127" s="4"/>
      <c r="C127" s="5"/>
      <c r="D127" s="6"/>
      <c r="E127" s="6"/>
      <c r="F127" s="7"/>
      <c r="G127" s="8"/>
      <c r="H127" s="5"/>
      <c r="I127" s="5"/>
      <c r="J127" s="5"/>
      <c r="K127" s="5"/>
      <c r="L127" s="5"/>
      <c r="M127" s="5"/>
      <c r="N127" s="5"/>
      <c r="O127" s="5"/>
      <c r="P127" s="6"/>
    </row>
    <row r="128" s="1" customFormat="1" spans="1:16">
      <c r="A128" s="3"/>
      <c r="B128" s="4"/>
      <c r="C128" s="5"/>
      <c r="D128" s="6"/>
      <c r="E128" s="6"/>
      <c r="F128" s="7"/>
      <c r="G128" s="8"/>
      <c r="H128" s="5"/>
      <c r="I128" s="5"/>
      <c r="J128" s="5"/>
      <c r="K128" s="5"/>
      <c r="L128" s="5"/>
      <c r="M128" s="5"/>
      <c r="N128" s="5"/>
      <c r="O128" s="5"/>
      <c r="P128" s="6"/>
    </row>
    <row r="129" s="1" customFormat="1" spans="1:16">
      <c r="A129" s="3"/>
      <c r="B129" s="4"/>
      <c r="C129" s="5"/>
      <c r="D129" s="6"/>
      <c r="E129" s="6"/>
      <c r="F129" s="7"/>
      <c r="G129" s="8"/>
      <c r="H129" s="5"/>
      <c r="I129" s="5"/>
      <c r="J129" s="5"/>
      <c r="K129" s="5"/>
      <c r="L129" s="5"/>
      <c r="M129" s="5"/>
      <c r="N129" s="5"/>
      <c r="O129" s="5"/>
      <c r="P129" s="6"/>
    </row>
    <row r="130" s="1" customFormat="1" spans="1:16">
      <c r="A130" s="3"/>
      <c r="B130" s="4"/>
      <c r="C130" s="5"/>
      <c r="D130" s="6"/>
      <c r="E130" s="6"/>
      <c r="F130" s="7"/>
      <c r="G130" s="8"/>
      <c r="H130" s="5"/>
      <c r="I130" s="5"/>
      <c r="J130" s="5"/>
      <c r="K130" s="5"/>
      <c r="L130" s="5"/>
      <c r="M130" s="5"/>
      <c r="N130" s="5"/>
      <c r="O130" s="5"/>
      <c r="P130" s="6"/>
    </row>
    <row r="131" s="1" customFormat="1" spans="1:16">
      <c r="A131" s="3"/>
      <c r="B131" s="4"/>
      <c r="C131" s="5"/>
      <c r="D131" s="6"/>
      <c r="E131" s="6"/>
      <c r="F131" s="7"/>
      <c r="G131" s="8"/>
      <c r="H131" s="5"/>
      <c r="I131" s="5"/>
      <c r="J131" s="5"/>
      <c r="K131" s="5"/>
      <c r="L131" s="5"/>
      <c r="M131" s="5"/>
      <c r="N131" s="5"/>
      <c r="O131" s="5"/>
      <c r="P131" s="6"/>
    </row>
    <row r="132" s="1" customFormat="1" spans="1:16">
      <c r="A132" s="3"/>
      <c r="B132" s="4"/>
      <c r="C132" s="5"/>
      <c r="D132" s="6"/>
      <c r="E132" s="6"/>
      <c r="F132" s="7"/>
      <c r="G132" s="8"/>
      <c r="H132" s="5"/>
      <c r="I132" s="5"/>
      <c r="J132" s="5"/>
      <c r="K132" s="5"/>
      <c r="L132" s="5"/>
      <c r="M132" s="5"/>
      <c r="N132" s="5"/>
      <c r="O132" s="5"/>
      <c r="P132" s="6"/>
    </row>
    <row r="133" s="1" customFormat="1" spans="1:16">
      <c r="A133" s="3"/>
      <c r="B133" s="4"/>
      <c r="C133" s="5"/>
      <c r="D133" s="6"/>
      <c r="E133" s="6"/>
      <c r="F133" s="7"/>
      <c r="G133" s="8"/>
      <c r="H133" s="5"/>
      <c r="I133" s="5"/>
      <c r="J133" s="5"/>
      <c r="K133" s="5"/>
      <c r="L133" s="5"/>
      <c r="M133" s="5"/>
      <c r="N133" s="5"/>
      <c r="O133" s="5"/>
      <c r="P133" s="6"/>
    </row>
    <row r="134" s="1" customFormat="1" spans="1:16">
      <c r="A134" s="3"/>
      <c r="B134" s="4"/>
      <c r="C134" s="5"/>
      <c r="D134" s="6"/>
      <c r="E134" s="6"/>
      <c r="F134" s="7"/>
      <c r="G134" s="8"/>
      <c r="H134" s="5"/>
      <c r="I134" s="5"/>
      <c r="J134" s="5"/>
      <c r="K134" s="5"/>
      <c r="L134" s="5"/>
      <c r="M134" s="5"/>
      <c r="N134" s="5"/>
      <c r="O134" s="5"/>
      <c r="P134" s="6"/>
    </row>
    <row r="135" s="1" customFormat="1" spans="1:16">
      <c r="A135" s="3"/>
      <c r="B135" s="4"/>
      <c r="C135" s="5"/>
      <c r="D135" s="6"/>
      <c r="E135" s="6"/>
      <c r="F135" s="7"/>
      <c r="G135" s="8"/>
      <c r="H135" s="5"/>
      <c r="I135" s="5"/>
      <c r="J135" s="5"/>
      <c r="K135" s="5"/>
      <c r="L135" s="5"/>
      <c r="M135" s="5"/>
      <c r="N135" s="5"/>
      <c r="O135" s="5"/>
      <c r="P135" s="6"/>
    </row>
    <row r="136" s="1" customFormat="1" spans="1:16">
      <c r="A136" s="3"/>
      <c r="B136" s="4"/>
      <c r="C136" s="5"/>
      <c r="D136" s="6"/>
      <c r="E136" s="6"/>
      <c r="F136" s="7"/>
      <c r="G136" s="8"/>
      <c r="H136" s="5"/>
      <c r="I136" s="5"/>
      <c r="J136" s="5"/>
      <c r="K136" s="5"/>
      <c r="L136" s="5"/>
      <c r="M136" s="5"/>
      <c r="N136" s="5"/>
      <c r="O136" s="5"/>
      <c r="P136" s="6"/>
    </row>
    <row r="137" s="1" customFormat="1" spans="1:16">
      <c r="A137" s="3"/>
      <c r="B137" s="4"/>
      <c r="C137" s="5"/>
      <c r="D137" s="6"/>
      <c r="E137" s="6"/>
      <c r="F137" s="7"/>
      <c r="G137" s="8"/>
      <c r="H137" s="5"/>
      <c r="I137" s="5"/>
      <c r="J137" s="5"/>
      <c r="K137" s="5"/>
      <c r="L137" s="5"/>
      <c r="M137" s="5"/>
      <c r="N137" s="5"/>
      <c r="O137" s="5"/>
      <c r="P137" s="6"/>
    </row>
    <row r="138" s="1" customFormat="1" spans="1:16">
      <c r="A138" s="3"/>
      <c r="B138" s="4"/>
      <c r="C138" s="5"/>
      <c r="D138" s="6"/>
      <c r="E138" s="6"/>
      <c r="F138" s="7"/>
      <c r="G138" s="8"/>
      <c r="H138" s="5"/>
      <c r="I138" s="5"/>
      <c r="J138" s="5"/>
      <c r="K138" s="5"/>
      <c r="L138" s="5"/>
      <c r="M138" s="5"/>
      <c r="N138" s="5"/>
      <c r="O138" s="5"/>
      <c r="P138" s="6"/>
    </row>
    <row r="139" s="1" customFormat="1" spans="1:16">
      <c r="A139" s="3"/>
      <c r="B139" s="4"/>
      <c r="C139" s="5"/>
      <c r="D139" s="6"/>
      <c r="E139" s="6"/>
      <c r="F139" s="7"/>
      <c r="G139" s="8"/>
      <c r="H139" s="5"/>
      <c r="I139" s="5"/>
      <c r="J139" s="5"/>
      <c r="K139" s="5"/>
      <c r="L139" s="5"/>
      <c r="M139" s="5"/>
      <c r="N139" s="5"/>
      <c r="O139" s="5"/>
      <c r="P139" s="6"/>
    </row>
    <row r="140" s="1" customFormat="1" spans="1:16">
      <c r="A140" s="3"/>
      <c r="B140" s="4"/>
      <c r="C140" s="5"/>
      <c r="D140" s="6"/>
      <c r="E140" s="6"/>
      <c r="F140" s="7"/>
      <c r="G140" s="8"/>
      <c r="H140" s="5"/>
      <c r="I140" s="5"/>
      <c r="J140" s="5"/>
      <c r="K140" s="5"/>
      <c r="L140" s="5"/>
      <c r="M140" s="5"/>
      <c r="N140" s="5"/>
      <c r="O140" s="5"/>
      <c r="P140" s="6"/>
    </row>
    <row r="141" s="1" customFormat="1" spans="1:16">
      <c r="A141" s="3"/>
      <c r="B141" s="4"/>
      <c r="C141" s="5"/>
      <c r="D141" s="6"/>
      <c r="E141" s="6"/>
      <c r="F141" s="7"/>
      <c r="G141" s="8"/>
      <c r="H141" s="5"/>
      <c r="I141" s="5"/>
      <c r="J141" s="5"/>
      <c r="K141" s="5"/>
      <c r="L141" s="5"/>
      <c r="M141" s="5"/>
      <c r="N141" s="5"/>
      <c r="O141" s="5"/>
      <c r="P141" s="6"/>
    </row>
    <row r="142" s="1" customFormat="1" spans="1:16">
      <c r="A142" s="3"/>
      <c r="B142" s="4"/>
      <c r="C142" s="5"/>
      <c r="D142" s="6"/>
      <c r="E142" s="6"/>
      <c r="F142" s="7"/>
      <c r="G142" s="8"/>
      <c r="H142" s="5"/>
      <c r="I142" s="5"/>
      <c r="J142" s="5"/>
      <c r="K142" s="5"/>
      <c r="L142" s="5"/>
      <c r="M142" s="5"/>
      <c r="N142" s="5"/>
      <c r="O142" s="5"/>
      <c r="P142" s="6"/>
    </row>
    <row r="143" s="1" customFormat="1" spans="1:16">
      <c r="A143" s="3"/>
      <c r="B143" s="4"/>
      <c r="C143" s="5"/>
      <c r="D143" s="6"/>
      <c r="E143" s="6"/>
      <c r="F143" s="7"/>
      <c r="G143" s="8"/>
      <c r="H143" s="5"/>
      <c r="I143" s="5"/>
      <c r="J143" s="5"/>
      <c r="K143" s="5"/>
      <c r="L143" s="5"/>
      <c r="M143" s="5"/>
      <c r="N143" s="5"/>
      <c r="O143" s="5"/>
      <c r="P143" s="6"/>
    </row>
    <row r="144" s="1" customFormat="1" spans="1:16">
      <c r="A144" s="3"/>
      <c r="B144" s="4"/>
      <c r="C144" s="5"/>
      <c r="D144" s="6"/>
      <c r="E144" s="6"/>
      <c r="F144" s="7"/>
      <c r="G144" s="8"/>
      <c r="H144" s="5"/>
      <c r="I144" s="5"/>
      <c r="J144" s="5"/>
      <c r="K144" s="5"/>
      <c r="L144" s="5"/>
      <c r="M144" s="5"/>
      <c r="N144" s="5"/>
      <c r="O144" s="5"/>
      <c r="P144" s="6"/>
    </row>
    <row r="145" s="1" customFormat="1" spans="1:16">
      <c r="A145" s="3"/>
      <c r="B145" s="4"/>
      <c r="C145" s="5"/>
      <c r="D145" s="6"/>
      <c r="E145" s="6"/>
      <c r="F145" s="7"/>
      <c r="G145" s="8"/>
      <c r="H145" s="5"/>
      <c r="I145" s="5"/>
      <c r="J145" s="5"/>
      <c r="K145" s="5"/>
      <c r="L145" s="5"/>
      <c r="M145" s="5"/>
      <c r="N145" s="5"/>
      <c r="O145" s="5"/>
      <c r="P145" s="6"/>
    </row>
    <row r="146" s="1" customFormat="1" spans="1:16">
      <c r="A146" s="3"/>
      <c r="B146" s="4"/>
      <c r="C146" s="5"/>
      <c r="D146" s="6"/>
      <c r="E146" s="6"/>
      <c r="F146" s="7"/>
      <c r="G146" s="8"/>
      <c r="H146" s="5"/>
      <c r="I146" s="5"/>
      <c r="J146" s="5"/>
      <c r="K146" s="5"/>
      <c r="L146" s="5"/>
      <c r="M146" s="5"/>
      <c r="N146" s="5"/>
      <c r="O146" s="5"/>
      <c r="P146" s="6"/>
    </row>
    <row r="147" s="1" customFormat="1" spans="1:16">
      <c r="A147" s="3"/>
      <c r="B147" s="4"/>
      <c r="C147" s="5"/>
      <c r="D147" s="6"/>
      <c r="E147" s="6"/>
      <c r="F147" s="7"/>
      <c r="G147" s="8"/>
      <c r="H147" s="5"/>
      <c r="I147" s="5"/>
      <c r="J147" s="5"/>
      <c r="K147" s="5"/>
      <c r="L147" s="5"/>
      <c r="M147" s="5"/>
      <c r="N147" s="5"/>
      <c r="O147" s="5"/>
      <c r="P147" s="6"/>
    </row>
    <row r="148" s="1" customFormat="1" spans="1:16">
      <c r="A148" s="3"/>
      <c r="B148" s="4"/>
      <c r="C148" s="5"/>
      <c r="D148" s="6"/>
      <c r="E148" s="6"/>
      <c r="F148" s="7"/>
      <c r="G148" s="8"/>
      <c r="H148" s="5"/>
      <c r="I148" s="5"/>
      <c r="J148" s="5"/>
      <c r="K148" s="5"/>
      <c r="L148" s="5"/>
      <c r="M148" s="5"/>
      <c r="N148" s="5"/>
      <c r="O148" s="5"/>
      <c r="P148" s="6"/>
    </row>
    <row r="149" s="1" customFormat="1" spans="1:16">
      <c r="A149" s="3"/>
      <c r="B149" s="4"/>
      <c r="C149" s="5"/>
      <c r="D149" s="6"/>
      <c r="E149" s="6"/>
      <c r="F149" s="7"/>
      <c r="G149" s="8"/>
      <c r="H149" s="5"/>
      <c r="I149" s="5"/>
      <c r="J149" s="5"/>
      <c r="K149" s="5"/>
      <c r="L149" s="5"/>
      <c r="M149" s="5"/>
      <c r="N149" s="5"/>
      <c r="O149" s="5"/>
      <c r="P149" s="6"/>
    </row>
    <row r="150" s="1" customFormat="1" spans="1:16">
      <c r="A150" s="3"/>
      <c r="B150" s="4"/>
      <c r="C150" s="5"/>
      <c r="D150" s="6"/>
      <c r="E150" s="6"/>
      <c r="F150" s="7"/>
      <c r="G150" s="8"/>
      <c r="H150" s="5"/>
      <c r="I150" s="5"/>
      <c r="J150" s="5"/>
      <c r="K150" s="5"/>
      <c r="L150" s="5"/>
      <c r="M150" s="5"/>
      <c r="N150" s="5"/>
      <c r="O150" s="5"/>
      <c r="P150" s="6"/>
    </row>
    <row r="151" s="1" customFormat="1" spans="1:16">
      <c r="A151" s="3"/>
      <c r="B151" s="4"/>
      <c r="C151" s="5"/>
      <c r="D151" s="6"/>
      <c r="E151" s="6"/>
      <c r="F151" s="7"/>
      <c r="G151" s="8"/>
      <c r="H151" s="5"/>
      <c r="I151" s="5"/>
      <c r="J151" s="5"/>
      <c r="K151" s="5"/>
      <c r="L151" s="5"/>
      <c r="M151" s="5"/>
      <c r="N151" s="5"/>
      <c r="O151" s="5"/>
      <c r="P151" s="6"/>
    </row>
    <row r="152" s="1" customFormat="1" spans="1:16">
      <c r="A152" s="3"/>
      <c r="B152" s="4"/>
      <c r="C152" s="5"/>
      <c r="D152" s="6"/>
      <c r="E152" s="6"/>
      <c r="F152" s="7"/>
      <c r="G152" s="8"/>
      <c r="H152" s="5"/>
      <c r="I152" s="5"/>
      <c r="J152" s="5"/>
      <c r="K152" s="5"/>
      <c r="L152" s="5"/>
      <c r="M152" s="5"/>
      <c r="N152" s="5"/>
      <c r="O152" s="5"/>
      <c r="P152" s="6"/>
    </row>
    <row r="153" s="1" customFormat="1" spans="1:16">
      <c r="A153" s="3"/>
      <c r="B153" s="4"/>
      <c r="C153" s="5"/>
      <c r="D153" s="6"/>
      <c r="E153" s="6"/>
      <c r="F153" s="7"/>
      <c r="G153" s="8"/>
      <c r="H153" s="5"/>
      <c r="I153" s="5"/>
      <c r="J153" s="5"/>
      <c r="K153" s="5"/>
      <c r="L153" s="5"/>
      <c r="M153" s="5"/>
      <c r="N153" s="5"/>
      <c r="O153" s="5"/>
      <c r="P153" s="6"/>
    </row>
    <row r="154" s="1" customFormat="1" spans="1:16">
      <c r="A154" s="3"/>
      <c r="B154" s="4"/>
      <c r="C154" s="5"/>
      <c r="D154" s="6"/>
      <c r="E154" s="6"/>
      <c r="F154" s="7"/>
      <c r="G154" s="8"/>
      <c r="H154" s="5"/>
      <c r="I154" s="5"/>
      <c r="J154" s="5"/>
      <c r="K154" s="5"/>
      <c r="L154" s="5"/>
      <c r="M154" s="5"/>
      <c r="N154" s="5"/>
      <c r="O154" s="5"/>
      <c r="P154" s="6"/>
    </row>
    <row r="155" s="1" customFormat="1" spans="1:16">
      <c r="A155" s="3"/>
      <c r="B155" s="4"/>
      <c r="C155" s="5"/>
      <c r="D155" s="6"/>
      <c r="E155" s="6"/>
      <c r="F155" s="7"/>
      <c r="G155" s="8"/>
      <c r="H155" s="5"/>
      <c r="I155" s="5"/>
      <c r="J155" s="5"/>
      <c r="K155" s="5"/>
      <c r="L155" s="5"/>
      <c r="M155" s="5"/>
      <c r="N155" s="5"/>
      <c r="O155" s="5"/>
      <c r="P155" s="6"/>
    </row>
    <row r="156" s="1" customFormat="1" spans="1:16">
      <c r="A156" s="3"/>
      <c r="B156" s="4"/>
      <c r="C156" s="5"/>
      <c r="D156" s="6"/>
      <c r="E156" s="6"/>
      <c r="F156" s="7"/>
      <c r="G156" s="8"/>
      <c r="H156" s="5"/>
      <c r="I156" s="5"/>
      <c r="J156" s="5"/>
      <c r="K156" s="5"/>
      <c r="L156" s="5"/>
      <c r="M156" s="5"/>
      <c r="N156" s="5"/>
      <c r="O156" s="5"/>
      <c r="P156" s="6"/>
    </row>
    <row r="157" s="1" customFormat="1" spans="1:16">
      <c r="A157" s="3"/>
      <c r="B157" s="4"/>
      <c r="C157" s="5"/>
      <c r="D157" s="6"/>
      <c r="E157" s="6"/>
      <c r="F157" s="7"/>
      <c r="G157" s="8"/>
      <c r="H157" s="5"/>
      <c r="I157" s="5"/>
      <c r="J157" s="5"/>
      <c r="K157" s="5"/>
      <c r="L157" s="5"/>
      <c r="M157" s="5"/>
      <c r="N157" s="5"/>
      <c r="O157" s="5"/>
      <c r="P157" s="6"/>
    </row>
    <row r="158" s="1" customFormat="1" spans="1:16">
      <c r="A158" s="3"/>
      <c r="B158" s="4"/>
      <c r="C158" s="5"/>
      <c r="D158" s="6"/>
      <c r="E158" s="6"/>
      <c r="F158" s="7"/>
      <c r="G158" s="8"/>
      <c r="H158" s="5"/>
      <c r="I158" s="5"/>
      <c r="J158" s="5"/>
      <c r="K158" s="5"/>
      <c r="L158" s="5"/>
      <c r="M158" s="5"/>
      <c r="N158" s="5"/>
      <c r="O158" s="5"/>
      <c r="P158" s="6"/>
    </row>
    <row r="159" s="1" customFormat="1" spans="1:16">
      <c r="A159" s="3"/>
      <c r="B159" s="4"/>
      <c r="C159" s="5"/>
      <c r="D159" s="6"/>
      <c r="E159" s="6"/>
      <c r="F159" s="7"/>
      <c r="G159" s="8"/>
      <c r="H159" s="5"/>
      <c r="I159" s="5"/>
      <c r="J159" s="5"/>
      <c r="K159" s="5"/>
      <c r="L159" s="5"/>
      <c r="M159" s="5"/>
      <c r="N159" s="5"/>
      <c r="O159" s="5"/>
      <c r="P159" s="6"/>
    </row>
    <row r="160" s="1" customFormat="1" spans="1:16">
      <c r="A160" s="3"/>
      <c r="B160" s="4"/>
      <c r="C160" s="5"/>
      <c r="D160" s="6"/>
      <c r="E160" s="6"/>
      <c r="F160" s="7"/>
      <c r="G160" s="8"/>
      <c r="H160" s="5"/>
      <c r="I160" s="5"/>
      <c r="J160" s="5"/>
      <c r="K160" s="5"/>
      <c r="L160" s="5"/>
      <c r="M160" s="5"/>
      <c r="N160" s="5"/>
      <c r="O160" s="5"/>
      <c r="P160" s="6"/>
    </row>
    <row r="161" s="1" customFormat="1" spans="1:16">
      <c r="A161" s="3"/>
      <c r="B161" s="4"/>
      <c r="C161" s="5"/>
      <c r="D161" s="6"/>
      <c r="E161" s="6"/>
      <c r="F161" s="7"/>
      <c r="G161" s="8"/>
      <c r="H161" s="5"/>
      <c r="I161" s="5"/>
      <c r="J161" s="5"/>
      <c r="K161" s="5"/>
      <c r="L161" s="5"/>
      <c r="M161" s="5"/>
      <c r="N161" s="5"/>
      <c r="O161" s="5"/>
      <c r="P161" s="6"/>
    </row>
    <row r="162" s="1" customFormat="1" spans="1:16">
      <c r="A162" s="3"/>
      <c r="B162" s="4"/>
      <c r="C162" s="5"/>
      <c r="D162" s="6"/>
      <c r="E162" s="6"/>
      <c r="F162" s="7"/>
      <c r="G162" s="8"/>
      <c r="H162" s="5"/>
      <c r="I162" s="5"/>
      <c r="J162" s="5"/>
      <c r="K162" s="5"/>
      <c r="L162" s="5"/>
      <c r="M162" s="5"/>
      <c r="N162" s="5"/>
      <c r="O162" s="5"/>
      <c r="P162" s="6"/>
    </row>
    <row r="163" s="1" customFormat="1" spans="1:16">
      <c r="A163" s="3"/>
      <c r="B163" s="4"/>
      <c r="C163" s="5"/>
      <c r="D163" s="6"/>
      <c r="E163" s="6"/>
      <c r="F163" s="7"/>
      <c r="G163" s="8"/>
      <c r="H163" s="5"/>
      <c r="I163" s="5"/>
      <c r="J163" s="5"/>
      <c r="K163" s="5"/>
      <c r="L163" s="5"/>
      <c r="M163" s="5"/>
      <c r="N163" s="5"/>
      <c r="O163" s="5"/>
      <c r="P163" s="6"/>
    </row>
    <row r="164" s="1" customFormat="1" spans="1:16">
      <c r="A164" s="3"/>
      <c r="B164" s="4"/>
      <c r="C164" s="5"/>
      <c r="D164" s="6"/>
      <c r="E164" s="6"/>
      <c r="F164" s="7"/>
      <c r="G164" s="8"/>
      <c r="H164" s="5"/>
      <c r="I164" s="5"/>
      <c r="J164" s="5"/>
      <c r="K164" s="5"/>
      <c r="L164" s="5"/>
      <c r="M164" s="5"/>
      <c r="N164" s="5"/>
      <c r="O164" s="5"/>
      <c r="P164" s="6"/>
    </row>
    <row r="165" s="1" customFormat="1" spans="1:16">
      <c r="A165" s="3"/>
      <c r="B165" s="4"/>
      <c r="C165" s="5"/>
      <c r="D165" s="6"/>
      <c r="E165" s="6"/>
      <c r="F165" s="7"/>
      <c r="G165" s="8"/>
      <c r="H165" s="5"/>
      <c r="I165" s="5"/>
      <c r="J165" s="5"/>
      <c r="K165" s="5"/>
      <c r="L165" s="5"/>
      <c r="M165" s="5"/>
      <c r="N165" s="5"/>
      <c r="O165" s="5"/>
      <c r="P165" s="6"/>
    </row>
    <row r="166" s="1" customFormat="1" spans="1:16">
      <c r="A166" s="3"/>
      <c r="B166" s="4"/>
      <c r="C166" s="5"/>
      <c r="D166" s="6"/>
      <c r="E166" s="6"/>
      <c r="F166" s="7"/>
      <c r="G166" s="8"/>
      <c r="H166" s="5"/>
      <c r="I166" s="5"/>
      <c r="J166" s="5"/>
      <c r="K166" s="5"/>
      <c r="L166" s="5"/>
      <c r="M166" s="5"/>
      <c r="N166" s="5"/>
      <c r="O166" s="5"/>
      <c r="P166" s="6"/>
    </row>
    <row r="167" s="1" customFormat="1" spans="1:16">
      <c r="A167" s="3"/>
      <c r="B167" s="4"/>
      <c r="C167" s="5"/>
      <c r="D167" s="6"/>
      <c r="E167" s="6"/>
      <c r="F167" s="7"/>
      <c r="G167" s="8"/>
      <c r="H167" s="5"/>
      <c r="I167" s="5"/>
      <c r="J167" s="5"/>
      <c r="K167" s="5"/>
      <c r="L167" s="5"/>
      <c r="M167" s="5"/>
      <c r="N167" s="5"/>
      <c r="O167" s="5"/>
      <c r="P167" s="6"/>
    </row>
    <row r="168" s="1" customFormat="1" spans="1:16">
      <c r="A168" s="3"/>
      <c r="B168" s="4"/>
      <c r="C168" s="5"/>
      <c r="D168" s="6"/>
      <c r="E168" s="6"/>
      <c r="F168" s="7"/>
      <c r="G168" s="8"/>
      <c r="H168" s="5"/>
      <c r="I168" s="5"/>
      <c r="J168" s="5"/>
      <c r="K168" s="5"/>
      <c r="L168" s="5"/>
      <c r="M168" s="5"/>
      <c r="N168" s="5"/>
      <c r="O168" s="5"/>
      <c r="P168" s="6"/>
    </row>
    <row r="169" s="1" customFormat="1" spans="1:16">
      <c r="A169" s="3"/>
      <c r="B169" s="4"/>
      <c r="C169" s="5"/>
      <c r="D169" s="6"/>
      <c r="E169" s="6"/>
      <c r="F169" s="7"/>
      <c r="G169" s="8"/>
      <c r="H169" s="5"/>
      <c r="I169" s="5"/>
      <c r="J169" s="5"/>
      <c r="K169" s="5"/>
      <c r="L169" s="5"/>
      <c r="M169" s="5"/>
      <c r="N169" s="5"/>
      <c r="O169" s="5"/>
      <c r="P169" s="6"/>
    </row>
    <row r="170" s="1" customFormat="1" spans="1:16">
      <c r="A170" s="3"/>
      <c r="B170" s="4"/>
      <c r="C170" s="5"/>
      <c r="D170" s="6"/>
      <c r="E170" s="6"/>
      <c r="F170" s="7"/>
      <c r="G170" s="8"/>
      <c r="H170" s="5"/>
      <c r="I170" s="5"/>
      <c r="J170" s="5"/>
      <c r="K170" s="5"/>
      <c r="L170" s="5"/>
      <c r="M170" s="5"/>
      <c r="N170" s="5"/>
      <c r="O170" s="5"/>
      <c r="P170" s="6"/>
    </row>
    <row r="171" s="1" customFormat="1" spans="1:16">
      <c r="A171" s="3"/>
      <c r="B171" s="4"/>
      <c r="C171" s="5"/>
      <c r="D171" s="6"/>
      <c r="E171" s="6"/>
      <c r="F171" s="7"/>
      <c r="G171" s="8"/>
      <c r="H171" s="5"/>
      <c r="I171" s="5"/>
      <c r="J171" s="5"/>
      <c r="K171" s="5"/>
      <c r="L171" s="5"/>
      <c r="M171" s="5"/>
      <c r="N171" s="5"/>
      <c r="O171" s="5"/>
      <c r="P171" s="6"/>
    </row>
    <row r="172" s="1" customFormat="1" spans="1:16">
      <c r="A172" s="3"/>
      <c r="B172" s="4"/>
      <c r="C172" s="5"/>
      <c r="D172" s="6"/>
      <c r="E172" s="6"/>
      <c r="F172" s="7"/>
      <c r="G172" s="8"/>
      <c r="H172" s="5"/>
      <c r="I172" s="5"/>
      <c r="J172" s="5"/>
      <c r="K172" s="5"/>
      <c r="L172" s="5"/>
      <c r="M172" s="5"/>
      <c r="N172" s="5"/>
      <c r="O172" s="5"/>
      <c r="P172" s="6"/>
    </row>
    <row r="173" s="1" customFormat="1" spans="1:16">
      <c r="A173" s="3"/>
      <c r="B173" s="4"/>
      <c r="C173" s="5"/>
      <c r="D173" s="6"/>
      <c r="E173" s="6"/>
      <c r="F173" s="7"/>
      <c r="G173" s="8"/>
      <c r="H173" s="5"/>
      <c r="I173" s="5"/>
      <c r="J173" s="5"/>
      <c r="K173" s="5"/>
      <c r="L173" s="5"/>
      <c r="M173" s="5"/>
      <c r="N173" s="5"/>
      <c r="O173" s="5"/>
      <c r="P173" s="6"/>
    </row>
    <row r="174" s="1" customFormat="1" spans="1:16">
      <c r="A174" s="3"/>
      <c r="B174" s="4"/>
      <c r="C174" s="5"/>
      <c r="D174" s="6"/>
      <c r="E174" s="6"/>
      <c r="F174" s="7"/>
      <c r="G174" s="8"/>
      <c r="H174" s="5"/>
      <c r="I174" s="5"/>
      <c r="J174" s="5"/>
      <c r="K174" s="5"/>
      <c r="L174" s="5"/>
      <c r="M174" s="5"/>
      <c r="N174" s="5"/>
      <c r="O174" s="5"/>
      <c r="P174" s="6"/>
    </row>
    <row r="175" s="1" customFormat="1" spans="1:16">
      <c r="A175" s="3"/>
      <c r="B175" s="4"/>
      <c r="C175" s="5"/>
      <c r="D175" s="6"/>
      <c r="E175" s="6"/>
      <c r="F175" s="7"/>
      <c r="G175" s="8"/>
      <c r="H175" s="5"/>
      <c r="I175" s="5"/>
      <c r="J175" s="5"/>
      <c r="K175" s="5"/>
      <c r="L175" s="5"/>
      <c r="M175" s="5"/>
      <c r="N175" s="5"/>
      <c r="O175" s="5"/>
      <c r="P175" s="6"/>
    </row>
    <row r="176" s="1" customFormat="1" spans="1:16">
      <c r="A176" s="3"/>
      <c r="B176" s="4"/>
      <c r="C176" s="5"/>
      <c r="D176" s="6"/>
      <c r="E176" s="6"/>
      <c r="F176" s="7"/>
      <c r="G176" s="8"/>
      <c r="H176" s="5"/>
      <c r="I176" s="5"/>
      <c r="J176" s="5"/>
      <c r="K176" s="5"/>
      <c r="L176" s="5"/>
      <c r="M176" s="5"/>
      <c r="N176" s="5"/>
      <c r="O176" s="5"/>
      <c r="P176" s="6"/>
    </row>
    <row r="177" s="1" customFormat="1" spans="1:16">
      <c r="A177" s="3"/>
      <c r="B177" s="4"/>
      <c r="C177" s="5"/>
      <c r="D177" s="6"/>
      <c r="E177" s="6"/>
      <c r="F177" s="7"/>
      <c r="G177" s="8"/>
      <c r="H177" s="5"/>
      <c r="I177" s="5"/>
      <c r="J177" s="5"/>
      <c r="K177" s="5"/>
      <c r="L177" s="5"/>
      <c r="M177" s="5"/>
      <c r="N177" s="5"/>
      <c r="O177" s="5"/>
      <c r="P177" s="6"/>
    </row>
    <row r="178" s="1" customFormat="1" spans="1:16">
      <c r="A178" s="3"/>
      <c r="B178" s="4"/>
      <c r="C178" s="5"/>
      <c r="D178" s="6"/>
      <c r="E178" s="6"/>
      <c r="F178" s="7"/>
      <c r="G178" s="8"/>
      <c r="H178" s="5"/>
      <c r="I178" s="5"/>
      <c r="J178" s="5"/>
      <c r="K178" s="5"/>
      <c r="L178" s="5"/>
      <c r="M178" s="5"/>
      <c r="N178" s="5"/>
      <c r="O178" s="5"/>
      <c r="P178" s="6"/>
    </row>
    <row r="179" s="1" customFormat="1" spans="1:16">
      <c r="A179" s="3"/>
      <c r="B179" s="4"/>
      <c r="C179" s="5"/>
      <c r="D179" s="6"/>
      <c r="E179" s="6"/>
      <c r="F179" s="7"/>
      <c r="G179" s="8"/>
      <c r="H179" s="5"/>
      <c r="I179" s="5"/>
      <c r="J179" s="5"/>
      <c r="K179" s="5"/>
      <c r="L179" s="5"/>
      <c r="M179" s="5"/>
      <c r="N179" s="5"/>
      <c r="O179" s="5"/>
      <c r="P179" s="6"/>
    </row>
    <row r="180" s="1" customFormat="1" spans="1:16">
      <c r="A180" s="3"/>
      <c r="B180" s="4"/>
      <c r="C180" s="5"/>
      <c r="D180" s="6"/>
      <c r="E180" s="6"/>
      <c r="F180" s="7"/>
      <c r="G180" s="8"/>
      <c r="H180" s="5"/>
      <c r="I180" s="5"/>
      <c r="J180" s="5"/>
      <c r="K180" s="5"/>
      <c r="L180" s="5"/>
      <c r="M180" s="5"/>
      <c r="N180" s="5"/>
      <c r="O180" s="5"/>
      <c r="P180" s="6"/>
    </row>
    <row r="181" s="1" customFormat="1" spans="1:16">
      <c r="A181" s="3"/>
      <c r="B181" s="4"/>
      <c r="C181" s="5"/>
      <c r="D181" s="6"/>
      <c r="E181" s="6"/>
      <c r="F181" s="7"/>
      <c r="G181" s="8"/>
      <c r="H181" s="5"/>
      <c r="I181" s="5"/>
      <c r="J181" s="5"/>
      <c r="K181" s="5"/>
      <c r="L181" s="5"/>
      <c r="M181" s="5"/>
      <c r="N181" s="5"/>
      <c r="O181" s="5"/>
      <c r="P181" s="6"/>
    </row>
    <row r="182" s="1" customFormat="1" spans="1:16">
      <c r="A182" s="3"/>
      <c r="B182" s="4"/>
      <c r="C182" s="5"/>
      <c r="D182" s="6"/>
      <c r="E182" s="6"/>
      <c r="F182" s="7"/>
      <c r="G182" s="8"/>
      <c r="H182" s="5"/>
      <c r="I182" s="5"/>
      <c r="J182" s="5"/>
      <c r="K182" s="5"/>
      <c r="L182" s="5"/>
      <c r="M182" s="5"/>
      <c r="N182" s="5"/>
      <c r="O182" s="5"/>
      <c r="P182" s="6"/>
    </row>
    <row r="183" s="1" customFormat="1" spans="1:16">
      <c r="A183" s="3"/>
      <c r="B183" s="4"/>
      <c r="C183" s="5"/>
      <c r="D183" s="6"/>
      <c r="E183" s="6"/>
      <c r="F183" s="7"/>
      <c r="G183" s="8"/>
      <c r="H183" s="5"/>
      <c r="I183" s="5"/>
      <c r="J183" s="5"/>
      <c r="K183" s="5"/>
      <c r="L183" s="5"/>
      <c r="M183" s="5"/>
      <c r="N183" s="5"/>
      <c r="O183" s="5"/>
      <c r="P183" s="6"/>
    </row>
    <row r="184" s="1" customFormat="1" spans="1:16">
      <c r="A184" s="3"/>
      <c r="B184" s="4"/>
      <c r="C184" s="5"/>
      <c r="D184" s="6"/>
      <c r="E184" s="6"/>
      <c r="F184" s="7"/>
      <c r="G184" s="8"/>
      <c r="H184" s="5"/>
      <c r="I184" s="5"/>
      <c r="J184" s="5"/>
      <c r="K184" s="5"/>
      <c r="L184" s="5"/>
      <c r="M184" s="5"/>
      <c r="N184" s="5"/>
      <c r="O184" s="5"/>
      <c r="P184" s="6"/>
    </row>
    <row r="185" s="1" customFormat="1" spans="1:16">
      <c r="A185" s="3"/>
      <c r="B185" s="4"/>
      <c r="C185" s="5"/>
      <c r="D185" s="6"/>
      <c r="E185" s="6"/>
      <c r="F185" s="7"/>
      <c r="G185" s="8"/>
      <c r="H185" s="5"/>
      <c r="I185" s="5"/>
      <c r="J185" s="5"/>
      <c r="K185" s="5"/>
      <c r="L185" s="5"/>
      <c r="M185" s="5"/>
      <c r="N185" s="5"/>
      <c r="O185" s="5"/>
      <c r="P185" s="6"/>
    </row>
    <row r="186" s="1" customFormat="1" spans="1:16">
      <c r="A186" s="3"/>
      <c r="B186" s="4"/>
      <c r="C186" s="5"/>
      <c r="D186" s="6"/>
      <c r="E186" s="6"/>
      <c r="F186" s="7"/>
      <c r="G186" s="8"/>
      <c r="H186" s="5"/>
      <c r="I186" s="5"/>
      <c r="J186" s="5"/>
      <c r="K186" s="5"/>
      <c r="L186" s="5"/>
      <c r="M186" s="5"/>
      <c r="N186" s="5"/>
      <c r="O186" s="5"/>
      <c r="P186" s="6"/>
    </row>
    <row r="187" s="1" customFormat="1" spans="1:16">
      <c r="A187" s="3"/>
      <c r="B187" s="4"/>
      <c r="C187" s="5"/>
      <c r="D187" s="6"/>
      <c r="E187" s="6"/>
      <c r="F187" s="7"/>
      <c r="G187" s="8"/>
      <c r="H187" s="5"/>
      <c r="I187" s="5"/>
      <c r="J187" s="5"/>
      <c r="K187" s="5"/>
      <c r="L187" s="5"/>
      <c r="M187" s="5"/>
      <c r="N187" s="5"/>
      <c r="O187" s="5"/>
      <c r="P187" s="6"/>
    </row>
    <row r="188" s="1" customFormat="1" spans="1:16">
      <c r="A188" s="3"/>
      <c r="B188" s="4"/>
      <c r="C188" s="5"/>
      <c r="D188" s="6"/>
      <c r="E188" s="6"/>
      <c r="F188" s="7"/>
      <c r="G188" s="8"/>
      <c r="H188" s="5"/>
      <c r="I188" s="5"/>
      <c r="J188" s="5"/>
      <c r="K188" s="5"/>
      <c r="L188" s="5"/>
      <c r="M188" s="5"/>
      <c r="N188" s="5"/>
      <c r="O188" s="5"/>
      <c r="P188" s="6"/>
    </row>
    <row r="189" s="1" customFormat="1" spans="1:16">
      <c r="A189" s="3"/>
      <c r="B189" s="4"/>
      <c r="C189" s="5"/>
      <c r="D189" s="6"/>
      <c r="E189" s="6"/>
      <c r="F189" s="7"/>
      <c r="G189" s="8"/>
      <c r="H189" s="5"/>
      <c r="I189" s="5"/>
      <c r="J189" s="5"/>
      <c r="K189" s="5"/>
      <c r="L189" s="5"/>
      <c r="M189" s="5"/>
      <c r="N189" s="5"/>
      <c r="O189" s="5"/>
      <c r="P189" s="6"/>
    </row>
    <row r="190" s="1" customFormat="1" spans="1:16">
      <c r="A190" s="3"/>
      <c r="B190" s="4"/>
      <c r="C190" s="5"/>
      <c r="D190" s="6"/>
      <c r="E190" s="6"/>
      <c r="F190" s="7"/>
      <c r="G190" s="8"/>
      <c r="H190" s="5"/>
      <c r="I190" s="5"/>
      <c r="J190" s="5"/>
      <c r="K190" s="5"/>
      <c r="L190" s="5"/>
      <c r="M190" s="5"/>
      <c r="N190" s="5"/>
      <c r="O190" s="5"/>
      <c r="P190" s="6"/>
    </row>
    <row r="191" s="1" customFormat="1" spans="1:16">
      <c r="A191" s="3"/>
      <c r="B191" s="4"/>
      <c r="C191" s="5"/>
      <c r="D191" s="6"/>
      <c r="E191" s="6"/>
      <c r="F191" s="7"/>
      <c r="G191" s="8"/>
      <c r="H191" s="5"/>
      <c r="I191" s="5"/>
      <c r="J191" s="5"/>
      <c r="K191" s="5"/>
      <c r="L191" s="5"/>
      <c r="M191" s="5"/>
      <c r="N191" s="5"/>
      <c r="O191" s="5"/>
      <c r="P191" s="6"/>
    </row>
    <row r="192" s="1" customFormat="1" spans="1:16">
      <c r="A192" s="3"/>
      <c r="B192" s="4"/>
      <c r="C192" s="5"/>
      <c r="D192" s="6"/>
      <c r="E192" s="6"/>
      <c r="F192" s="7"/>
      <c r="G192" s="8"/>
      <c r="H192" s="5"/>
      <c r="I192" s="5"/>
      <c r="J192" s="5"/>
      <c r="K192" s="5"/>
      <c r="L192" s="5"/>
      <c r="M192" s="5"/>
      <c r="N192" s="5"/>
      <c r="O192" s="5"/>
      <c r="P192" s="6"/>
    </row>
    <row r="193" s="1" customFormat="1" spans="1:16">
      <c r="A193" s="3"/>
      <c r="B193" s="4"/>
      <c r="C193" s="5"/>
      <c r="D193" s="6"/>
      <c r="E193" s="6"/>
      <c r="F193" s="7"/>
      <c r="G193" s="8"/>
      <c r="H193" s="5"/>
      <c r="I193" s="5"/>
      <c r="J193" s="5"/>
      <c r="K193" s="5"/>
      <c r="L193" s="5"/>
      <c r="M193" s="5"/>
      <c r="N193" s="5"/>
      <c r="O193" s="5"/>
      <c r="P193" s="6"/>
    </row>
    <row r="194" s="1" customFormat="1" spans="1:16">
      <c r="A194" s="3"/>
      <c r="B194" s="4"/>
      <c r="C194" s="5"/>
      <c r="D194" s="6"/>
      <c r="E194" s="6"/>
      <c r="F194" s="7"/>
      <c r="G194" s="8"/>
      <c r="H194" s="5"/>
      <c r="I194" s="5"/>
      <c r="J194" s="5"/>
      <c r="K194" s="5"/>
      <c r="L194" s="5"/>
      <c r="M194" s="5"/>
      <c r="N194" s="5"/>
      <c r="O194" s="5"/>
      <c r="P194" s="6"/>
    </row>
    <row r="195" s="1" customFormat="1" spans="1:16">
      <c r="A195" s="3"/>
      <c r="B195" s="4"/>
      <c r="C195" s="5"/>
      <c r="D195" s="6"/>
      <c r="E195" s="6"/>
      <c r="F195" s="7"/>
      <c r="G195" s="8"/>
      <c r="H195" s="5"/>
      <c r="I195" s="5"/>
      <c r="J195" s="5"/>
      <c r="K195" s="5"/>
      <c r="L195" s="5"/>
      <c r="M195" s="5"/>
      <c r="N195" s="5"/>
      <c r="O195" s="5"/>
      <c r="P195" s="6"/>
    </row>
    <row r="196" s="1" customFormat="1" spans="1:16">
      <c r="A196" s="3"/>
      <c r="B196" s="4"/>
      <c r="C196" s="5"/>
      <c r="D196" s="6"/>
      <c r="E196" s="6"/>
      <c r="F196" s="7"/>
      <c r="G196" s="8"/>
      <c r="H196" s="5"/>
      <c r="I196" s="5"/>
      <c r="J196" s="5"/>
      <c r="K196" s="5"/>
      <c r="L196" s="5"/>
      <c r="M196" s="5"/>
      <c r="N196" s="5"/>
      <c r="O196" s="5"/>
      <c r="P196" s="6"/>
    </row>
    <row r="197" s="1" customFormat="1" spans="1:16">
      <c r="A197" s="3"/>
      <c r="B197" s="4"/>
      <c r="C197" s="5"/>
      <c r="D197" s="6"/>
      <c r="E197" s="6"/>
      <c r="F197" s="7"/>
      <c r="G197" s="8"/>
      <c r="H197" s="5"/>
      <c r="I197" s="5"/>
      <c r="J197" s="5"/>
      <c r="K197" s="5"/>
      <c r="L197" s="5"/>
      <c r="M197" s="5"/>
      <c r="N197" s="5"/>
      <c r="O197" s="5"/>
      <c r="P197" s="6"/>
    </row>
    <row r="198" s="1" customFormat="1" spans="1:16">
      <c r="A198" s="3"/>
      <c r="B198" s="4"/>
      <c r="C198" s="5"/>
      <c r="D198" s="6"/>
      <c r="E198" s="6"/>
      <c r="F198" s="7"/>
      <c r="G198" s="8"/>
      <c r="H198" s="5"/>
      <c r="I198" s="5"/>
      <c r="J198" s="5"/>
      <c r="K198" s="5"/>
      <c r="L198" s="5"/>
      <c r="M198" s="5"/>
      <c r="N198" s="5"/>
      <c r="O198" s="5"/>
      <c r="P198" s="6"/>
    </row>
    <row r="199" s="1" customFormat="1" spans="1:16">
      <c r="A199" s="3"/>
      <c r="B199" s="4"/>
      <c r="C199" s="5"/>
      <c r="D199" s="6"/>
      <c r="E199" s="6"/>
      <c r="F199" s="7"/>
      <c r="G199" s="8"/>
      <c r="H199" s="5"/>
      <c r="I199" s="5"/>
      <c r="J199" s="5"/>
      <c r="K199" s="5"/>
      <c r="L199" s="5"/>
      <c r="M199" s="5"/>
      <c r="N199" s="5"/>
      <c r="O199" s="5"/>
      <c r="P199" s="6"/>
    </row>
    <row r="200" s="1" customFormat="1" spans="1:16">
      <c r="A200" s="3"/>
      <c r="B200" s="4"/>
      <c r="C200" s="5"/>
      <c r="D200" s="6"/>
      <c r="E200" s="6"/>
      <c r="F200" s="7"/>
      <c r="G200" s="8"/>
      <c r="H200" s="5"/>
      <c r="I200" s="5"/>
      <c r="J200" s="5"/>
      <c r="K200" s="5"/>
      <c r="L200" s="5"/>
      <c r="M200" s="5"/>
      <c r="N200" s="5"/>
      <c r="O200" s="5"/>
      <c r="P200" s="6"/>
    </row>
    <row r="201" s="1" customFormat="1" spans="1:16">
      <c r="A201" s="3"/>
      <c r="B201" s="4"/>
      <c r="C201" s="5"/>
      <c r="D201" s="6"/>
      <c r="E201" s="6"/>
      <c r="F201" s="7"/>
      <c r="G201" s="8"/>
      <c r="H201" s="5"/>
      <c r="I201" s="5"/>
      <c r="J201" s="5"/>
      <c r="K201" s="5"/>
      <c r="L201" s="5"/>
      <c r="M201" s="5"/>
      <c r="N201" s="5"/>
      <c r="O201" s="5"/>
      <c r="P201" s="6"/>
    </row>
    <row r="202" s="1" customFormat="1" spans="1:16">
      <c r="A202" s="3"/>
      <c r="B202" s="4"/>
      <c r="C202" s="5"/>
      <c r="D202" s="6"/>
      <c r="E202" s="6"/>
      <c r="F202" s="7"/>
      <c r="G202" s="8"/>
      <c r="H202" s="5"/>
      <c r="I202" s="5"/>
      <c r="J202" s="5"/>
      <c r="K202" s="5"/>
      <c r="L202" s="5"/>
      <c r="M202" s="5"/>
      <c r="N202" s="5"/>
      <c r="O202" s="5"/>
      <c r="P202" s="6"/>
    </row>
    <row r="203" s="1" customFormat="1" spans="1:16">
      <c r="A203" s="3"/>
      <c r="B203" s="4"/>
      <c r="C203" s="5"/>
      <c r="D203" s="6"/>
      <c r="E203" s="6"/>
      <c r="F203" s="7"/>
      <c r="G203" s="8"/>
      <c r="H203" s="5"/>
      <c r="I203" s="5"/>
      <c r="J203" s="5"/>
      <c r="K203" s="5"/>
      <c r="L203" s="5"/>
      <c r="M203" s="5"/>
      <c r="N203" s="5"/>
      <c r="O203" s="5"/>
      <c r="P203" s="6"/>
    </row>
    <row r="204" s="1" customFormat="1" spans="1:16">
      <c r="A204" s="3"/>
      <c r="B204" s="4"/>
      <c r="C204" s="5"/>
      <c r="D204" s="6"/>
      <c r="E204" s="6"/>
      <c r="F204" s="7"/>
      <c r="G204" s="8"/>
      <c r="H204" s="5"/>
      <c r="I204" s="5"/>
      <c r="J204" s="5"/>
      <c r="K204" s="5"/>
      <c r="L204" s="5"/>
      <c r="M204" s="5"/>
      <c r="N204" s="5"/>
      <c r="O204" s="5"/>
      <c r="P204" s="6"/>
    </row>
    <row r="205" s="1" customFormat="1" spans="1:16">
      <c r="A205" s="3"/>
      <c r="B205" s="4"/>
      <c r="C205" s="5"/>
      <c r="D205" s="6"/>
      <c r="E205" s="6"/>
      <c r="F205" s="7"/>
      <c r="G205" s="8"/>
      <c r="H205" s="5"/>
      <c r="I205" s="5"/>
      <c r="J205" s="5"/>
      <c r="K205" s="5"/>
      <c r="L205" s="5"/>
      <c r="M205" s="5"/>
      <c r="N205" s="5"/>
      <c r="O205" s="5"/>
      <c r="P205" s="6"/>
    </row>
    <row r="206" s="1" customFormat="1" spans="1:16">
      <c r="A206" s="3"/>
      <c r="B206" s="4"/>
      <c r="C206" s="5"/>
      <c r="D206" s="6"/>
      <c r="E206" s="6"/>
      <c r="F206" s="7"/>
      <c r="G206" s="8"/>
      <c r="H206" s="5"/>
      <c r="I206" s="5"/>
      <c r="J206" s="5"/>
      <c r="K206" s="5"/>
      <c r="L206" s="5"/>
      <c r="M206" s="5"/>
      <c r="N206" s="5"/>
      <c r="O206" s="5"/>
      <c r="P206" s="6"/>
    </row>
    <row r="207" s="1" customFormat="1" spans="1:16">
      <c r="A207" s="3"/>
      <c r="B207" s="4"/>
      <c r="C207" s="5"/>
      <c r="D207" s="6"/>
      <c r="E207" s="6"/>
      <c r="F207" s="7"/>
      <c r="G207" s="8"/>
      <c r="H207" s="5"/>
      <c r="I207" s="5"/>
      <c r="J207" s="5"/>
      <c r="K207" s="5"/>
      <c r="L207" s="5"/>
      <c r="M207" s="5"/>
      <c r="N207" s="5"/>
      <c r="O207" s="5"/>
      <c r="P207" s="6"/>
    </row>
    <row r="208" s="1" customFormat="1" spans="1:16">
      <c r="A208" s="3"/>
      <c r="B208" s="4"/>
      <c r="C208" s="5"/>
      <c r="D208" s="6"/>
      <c r="E208" s="6"/>
      <c r="F208" s="7"/>
      <c r="G208" s="8"/>
      <c r="H208" s="5"/>
      <c r="I208" s="5"/>
      <c r="J208" s="5"/>
      <c r="K208" s="5"/>
      <c r="L208" s="5"/>
      <c r="M208" s="5"/>
      <c r="N208" s="5"/>
      <c r="O208" s="5"/>
      <c r="P208" s="6"/>
    </row>
    <row r="209" s="1" customFormat="1" spans="1:16">
      <c r="A209" s="3"/>
      <c r="B209" s="4"/>
      <c r="C209" s="5"/>
      <c r="D209" s="6"/>
      <c r="E209" s="6"/>
      <c r="F209" s="7"/>
      <c r="G209" s="8"/>
      <c r="H209" s="5"/>
      <c r="I209" s="5"/>
      <c r="J209" s="5"/>
      <c r="K209" s="5"/>
      <c r="L209" s="5"/>
      <c r="M209" s="5"/>
      <c r="N209" s="5"/>
      <c r="O209" s="5"/>
      <c r="P209" s="6"/>
    </row>
  </sheetData>
  <autoFilter ref="A5:T103">
    <extLst/>
  </autoFilter>
  <mergeCells count="19">
    <mergeCell ref="A1:O1"/>
    <mergeCell ref="H2:O2"/>
    <mergeCell ref="H3:J3"/>
    <mergeCell ref="K3:L3"/>
    <mergeCell ref="B6:C6"/>
    <mergeCell ref="B48:C48"/>
    <mergeCell ref="B66:C66"/>
    <mergeCell ref="B85:C85"/>
    <mergeCell ref="B101:C101"/>
    <mergeCell ref="B102:P102"/>
    <mergeCell ref="A2:A5"/>
    <mergeCell ref="B2:B5"/>
    <mergeCell ref="C2:C5"/>
    <mergeCell ref="D2:D5"/>
    <mergeCell ref="E2:E5"/>
    <mergeCell ref="F2:F4"/>
    <mergeCell ref="G2:G5"/>
    <mergeCell ref="M3:M4"/>
    <mergeCell ref="P2:P5"/>
  </mergeCells>
  <printOptions horizontalCentered="1"/>
  <pageMargins left="0.357638888888889" right="0.357638888888889" top="0.60625" bottom="0.60625" header="0.5" footer="0.5"/>
  <pageSetup paperSize="1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土建清单</vt:lpstr>
      <vt:lpstr>安装清单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DD</cp:lastModifiedBy>
  <dcterms:created xsi:type="dcterms:W3CDTF">2020-04-24T03:06:00Z</dcterms:created>
  <dcterms:modified xsi:type="dcterms:W3CDTF">2022-10-29T06:27:35Z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705B25B2F83D46B58C758A7C01889C7F</vt:lpwstr>
  </property>
  <property fmtid="{D5CDD505-2E9C-101B-9397-08002B2CF9AE}" pid="4" name="KSOReadingLayout">
    <vt:bool>true</vt:bool>
  </property>
</Properties>
</file>