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17" firstSheet="1" activeTab="1"/>
  </bookViews>
  <sheets>
    <sheet name="清单报价说明" sheetId="7" r:id="rId1"/>
    <sheet name="进度款" sheetId="14" r:id="rId2"/>
    <sheet name="汇总表" sheetId="9" r:id="rId3"/>
    <sheet name="东大门区域硬质铺装" sheetId="1" r:id="rId4"/>
    <sheet name="东大门区域安装" sheetId="10" r:id="rId5"/>
    <sheet name="5#楼大堂硬质装修" sheetId="12" r:id="rId6"/>
    <sheet name="5#楼大堂安装工程" sheetId="11" r:id="rId7"/>
    <sheet name="门头钢结构工程量计算" sheetId="13" r:id="rId8"/>
  </sheets>
  <definedNames>
    <definedName name="_xlnm._FilterDatabase" localSheetId="3" hidden="1">东大门区域硬质铺装!$A$5:$N$97</definedName>
    <definedName name="_xlnm._FilterDatabase" localSheetId="5" hidden="1">'5#楼大堂硬质装修'!$A$4:$S$46</definedName>
    <definedName name="_xlnm._FilterDatabase" localSheetId="7" hidden="1">门头钢结构工程量计算!$A$2:$G$22</definedName>
    <definedName name="_xlnm.Print_Area" localSheetId="3">东大门区域硬质铺装!$A$1:$N$97</definedName>
  </definedNames>
  <calcPr calcId="144525"/>
</workbook>
</file>

<file path=xl/sharedStrings.xml><?xml version="1.0" encoding="utf-8"?>
<sst xmlns="http://schemas.openxmlformats.org/spreadsheetml/2006/main" count="854" uniqueCount="472">
  <si>
    <t>工程量清单说明</t>
  </si>
  <si>
    <t>1、工程量清单及其计价格式中必须有符合规定的单位和人员签字、盖章。</t>
  </si>
  <si>
    <t>2、工程量清单计价格式中工程量由投标单位自行复核，列明的所有需要填报的单价和合价，投标单位均应填报，未填报的单价和合价，视为此项费用已包含在工程量清单的其他的单价和合价之中。</t>
  </si>
  <si>
    <t>3、投标人应根据招标人提供的招标文件、图纸和现场情况，在满足招标图纸和相应规范要求的前提下自行复核工程量。不管投标工程量是否表明，投标人没有填入单价或合价的项目，招标人将不予认可，均视为投标人已将该项目的单价或合价包括在工程量清单其它项目的单价或合价中。</t>
  </si>
  <si>
    <t>4、报价汇总表及其工程量清单相关表格中的数据必须保证前后一致,报价合理,否则招标人有权按有利于招标人的意思进行修正或作废标处理。</t>
  </si>
  <si>
    <t>5、工程量清单按照后附分类的格式分别进行填报，投标人应根据招标文件要求将全部费用包括在综合单价内，投标人未列项内容视为已将费用综合考虑在其它项目内；中标单位不能以工程量清单中不包括某项为由要求调整价格或不承担招标文件中要求投标单位考虑的费用，也不能以承揽范围变动要求调整综合单价。</t>
  </si>
  <si>
    <t>6、综合单价中包含：人工费、材料费、机械费、措施费、安全文明施工费、扬尘治理增加费、疫情增加费、规费、管理费、利润、税金(增值税专用发票)、风险、调试、材料检测检验费等一切与之相关全部费用。此综合单价一次性包干，是固定不变的,不因任何市场因素及政策性调整而变动。</t>
  </si>
  <si>
    <t>7、总价中应包括此次招标范围内的所有工程内容，一次性包干，不随任何市场因素及政策性调整而变动，如报价汇总表及工程量清单中有缺项漏项的，均视为乙方已综合考虑在合计报价内，结算时均不做调整。</t>
  </si>
  <si>
    <t>8、所有外露铁艺热镀锌处理，面刷深咖色氟碳漆，两道底漆，两道面漆。</t>
  </si>
  <si>
    <t>9、若投标人对清单工程量存在疑问，请在招标文件约定的期限内提出，经招标人确认后补发或修改此项清单。若无异议，本次工程量清单无论是否存在缺项、漏项、工程量偏差，均视为乙方已综合考虑在固定合同总价内。</t>
  </si>
  <si>
    <t>工程进度款费用计算明细表</t>
  </si>
  <si>
    <t>序号</t>
  </si>
  <si>
    <t>分项名称</t>
  </si>
  <si>
    <t>暂定/固定合同价
(元)</t>
  </si>
  <si>
    <t>合同总工程量</t>
  </si>
  <si>
    <t>合同单价</t>
  </si>
  <si>
    <t>累计已审批进度款（元）</t>
  </si>
  <si>
    <t>本次申请应付款（元）</t>
  </si>
  <si>
    <t>累计应付款（含本次申请，元)</t>
  </si>
  <si>
    <t>累计实付款
(元)</t>
  </si>
  <si>
    <t>累计已批未付 (不含本次申请，元)</t>
  </si>
  <si>
    <t>本次付款形象进度简述</t>
  </si>
  <si>
    <t>累计已审批工程量</t>
  </si>
  <si>
    <t>累计已审批款</t>
  </si>
  <si>
    <t>本次应付工程量</t>
  </si>
  <si>
    <t>合同节点比例</t>
  </si>
  <si>
    <t>本次应付款</t>
  </si>
  <si>
    <t>应申请总金额</t>
  </si>
  <si>
    <t>累计申请比例</t>
  </si>
  <si>
    <t>按合同填写</t>
  </si>
  <si>
    <t>按中标清单填写</t>
  </si>
  <si>
    <t>填写累计已审批的量</t>
  </si>
  <si>
    <t>按已审批金额填写</t>
  </si>
  <si>
    <t>根据形象进度填写</t>
  </si>
  <si>
    <t>按合同节点填写比例</t>
  </si>
  <si>
    <t>按合同付款节点计算</t>
  </si>
  <si>
    <t>不能超合同对应清单项总价</t>
  </si>
  <si>
    <t>自动计算</t>
  </si>
  <si>
    <t>截至付款计算时，按财务实际支付金额填写</t>
  </si>
  <si>
    <t>已审批-实付</t>
  </si>
  <si>
    <t>隐藏该行</t>
  </si>
  <si>
    <t>栾川山水文苑s1地块东大门及5#楼大堂施工工程造价</t>
  </si>
  <si>
    <t>东大门及大堂已经交付使用</t>
  </si>
  <si>
    <t>合计</t>
  </si>
  <si>
    <t>据实填总金额</t>
  </si>
  <si>
    <t>本次付款申请金额取整为：</t>
  </si>
  <si>
    <t>取到整数位</t>
  </si>
  <si>
    <t>注：1、分项工程不同时按具体约定进行调整;2、付款线上发起时需上传本电子表格。3、一份合同建立一个付款计算明细表，每次计算付款时在工作表内新建新的工作薄，每次付款时能看到上次付款计算情况，不允许在一个工作薄内修改。4、本表格随开工楼号数量逐步自行添加；</t>
  </si>
  <si>
    <t>5、本付款表为参考样表，格式不同能体现以上要求即可。6、按定额计价总包工程本表填写总金额，对应定额预算单独打包上次做附件供复查。</t>
  </si>
  <si>
    <t xml:space="preserve">                                                                                           现场驻场成本负责人：                 </t>
  </si>
  <si>
    <t xml:space="preserve">                                                                                           日期：</t>
  </si>
  <si>
    <t>栾川山水文苑s1地块东大门及5#楼大堂施工工程造价汇总表（单位：元）</t>
  </si>
  <si>
    <t>序 号</t>
  </si>
  <si>
    <t>项目名称</t>
  </si>
  <si>
    <t>单位</t>
  </si>
  <si>
    <t>工程量</t>
  </si>
  <si>
    <t>金额 
(元)</t>
  </si>
  <si>
    <t>备注</t>
  </si>
  <si>
    <t>一</t>
  </si>
  <si>
    <t>东大门区域</t>
  </si>
  <si>
    <t>硬质装修部分</t>
  </si>
  <si>
    <t>项</t>
  </si>
  <si>
    <t>安装部分</t>
  </si>
  <si>
    <t>二</t>
  </si>
  <si>
    <t>5#楼精装大堂部分</t>
  </si>
  <si>
    <t>两个单元</t>
  </si>
  <si>
    <t>合计(元)</t>
  </si>
  <si>
    <t>栾川山水文苑项目东大门硬质景观清单及计价表</t>
  </si>
  <si>
    <t>项目特征描述</t>
  </si>
  <si>
    <t>计量
单位</t>
  </si>
  <si>
    <t>其中：各子项构成（元）</t>
  </si>
  <si>
    <t>含税综合单价(元)
f=(a+b+c+d+e)</t>
  </si>
  <si>
    <t>合价(元)=g*f</t>
  </si>
  <si>
    <t>主要材料品牌</t>
  </si>
  <si>
    <t>人工费
a</t>
  </si>
  <si>
    <t>主材费
b</t>
  </si>
  <si>
    <t>机械、辅材及其他c</t>
  </si>
  <si>
    <t>管理费、利润、措施、规费等一切费用
d=(a+b+c)*费率</t>
  </si>
  <si>
    <t>税金
e=(a+b+c+d)*费率</t>
  </si>
  <si>
    <t>C-1.01~1.04/C-2.01~2.04/C-3.01~C-3.02/C-4.01-C4.03 东侧次入口</t>
  </si>
  <si>
    <t>C-1.01~1.04地面铺装</t>
  </si>
  <si>
    <t>素土夯实</t>
  </si>
  <si>
    <t>1.素土夯实，密实度≥0.93
2、土方清理开挖至垫层底标高
3.其它满足规范和设计图纸要求</t>
  </si>
  <si>
    <t>m2</t>
  </si>
  <si>
    <t>碎石垫层</t>
  </si>
  <si>
    <t>1.200厚级配碎石垫层，密实度≥0.93
2.其它说明：其它满足规范和设计图纸要求</t>
  </si>
  <si>
    <t>m3</t>
  </si>
  <si>
    <t>砼垫层</t>
  </si>
  <si>
    <t>1.混凝土强度等级:200厚C25砼垫层
2.混凝土拌合料要求：符合规范要求
3.模板安拆费用计入综合单价，支模方式综合考虑
4.其它满足规范和设计图纸要求</t>
  </si>
  <si>
    <t>浅色透水沥青砼路面</t>
  </si>
  <si>
    <t>1.50厚5-10mm细粒式透水沥青层
2.具体做法详见图纸设计
3.其它满足规范和设计图纸要求</t>
  </si>
  <si>
    <t>仿芝麻灰荔枝面石英砖</t>
  </si>
  <si>
    <t>1.18厚300*300仿芝麻灰荔枝面石英砖
2.30厚1：3干硬性水泥砂浆粘结层
3.其它满足规范和设计图纸要求</t>
  </si>
  <si>
    <t>仿芝麻黑荔枝面石英砖</t>
  </si>
  <si>
    <t>1.18厚200*200仿芝麻黑荔枝面石英砖
2.30厚1：3干硬性水泥砂浆粘结层
3.其它满足规范和设计图纸要求</t>
  </si>
  <si>
    <t>仿福鼎黑荔枝面石英砖</t>
  </si>
  <si>
    <t>1.18厚100*100仿福鼎黑水洗面石英砖
2.30厚1：3干硬性水泥砂浆粘结层
3.其它满足规范和设计图纸要求</t>
  </si>
  <si>
    <t>仿雪浪石水洗面石英砖</t>
  </si>
  <si>
    <t>1.18厚900*900仿雪浪石水洗面石英砖
2.30厚1：3干硬性水泥砂浆粘结层
3.其它满足规范和设计图纸要求</t>
  </si>
  <si>
    <t>地面道牙铺装</t>
  </si>
  <si>
    <t>1.150厚600*170芝麻灰光面路缘石
2.30厚1:3水泥砂浆粘接层,1:3水泥砂浆卧牢
3.其他说明：其它满足规范和设计图纸要求</t>
  </si>
  <si>
    <t>m</t>
  </si>
  <si>
    <t>C-2.01~2.14东侧次入口大门</t>
  </si>
  <si>
    <t>屋顶装饰</t>
  </si>
  <si>
    <t>夹胶玻璃</t>
  </si>
  <si>
    <t>1.8+1.52pvb+8夹胶钢化玻璃
2.具体做法详见图纸设计
3.其他说明：其它满足规范和设计图纸要求</t>
  </si>
  <si>
    <t>洛玻</t>
  </si>
  <si>
    <t>夹胶玻璃的钢架</t>
  </si>
  <si>
    <t>1.5厚50*100镀锌矩管刷深咖色氟碳漆
2.具体做法详见图纸设计
3.其他说明：其它满足规范和设计图纸要求</t>
  </si>
  <si>
    <t>t</t>
  </si>
  <si>
    <t>天棚钢格栅</t>
  </si>
  <si>
    <t>1.3厚50*50镀锌矩管刷深咖色氟碳漆@130
2.具体做法详见图纸设计
3.其他说明：其它满足规范和设计图纸要求</t>
  </si>
  <si>
    <t>装饰铝板</t>
  </si>
  <si>
    <t>1.2.5厚铝板，面饰深咖色氟碳漆
2.具体做法详见图纸设计
3.其他说明：其它满足规范和设计图纸要求</t>
  </si>
  <si>
    <t>排水天沟</t>
  </si>
  <si>
    <t>1.150*150排水天沟：2厚304#不锈钢电镀深咖色
2.具体做法详见图纸设计
3.其他说明：其它满足规范和设计图纸要求</t>
  </si>
  <si>
    <t>不锈钢装饰板</t>
  </si>
  <si>
    <t>1.2厚304#不锈钢拉丝面电镀深咖色
2.具体做法详见图纸设计
3.其他说明：其它满足规范和设计图纸要求</t>
  </si>
  <si>
    <t>屋面钢骨架</t>
  </si>
  <si>
    <t>1.屋面钢骨架：镀锌钢管及角钢
2.具体做法详见图纸设计
3.其他说明：其它满足规范和设计图纸要求</t>
  </si>
  <si>
    <t>屋面回纹装饰</t>
  </si>
  <si>
    <t>1.2厚304#不锈钢拉丝面电镀深咖色，背部趁透光亚克力板，内藏灯带。
2.具体做法详见图纸设计
3.其他说明：其它满足规范和设计图纸要求</t>
  </si>
  <si>
    <t>屋面格栅装饰</t>
  </si>
  <si>
    <t>1.2厚30*30热镀锌矩形管@60，2厚50*50热镀锌矩形管@100，面饰浅咖色氟碳漆
2.具体做法详见图纸设计
3.其他说明：其它满足规范和设计图纸要求</t>
  </si>
  <si>
    <t>屋面檐口装饰件</t>
  </si>
  <si>
    <t>1.2厚304#不锈钢拉丝面电镀深咖色，檐口装饰件，按型折
2.具体做法详见图纸设计
3.其他说明：其它满足规范和设计图纸要求</t>
  </si>
  <si>
    <t>个</t>
  </si>
  <si>
    <t>LOGO字体</t>
  </si>
  <si>
    <t>1.部位：大门正立面：“山水文苑+中浩德”
2.2厚不锈钢拉丝面电镀深咖色，突出墙面30mm，具体做法详见图纸设计，由专业厂家制作安装。
3.其他说明：其它满足规范和设计图纸要求</t>
  </si>
  <si>
    <t>大门墙面装饰</t>
  </si>
  <si>
    <t>墙面干挂石材</t>
  </si>
  <si>
    <t>1.25厚芝麻白花岗岩荔枝面（干挂）
2.具体做法详见图纸设计
3.其他说明：其它满足规范和设计图纸要求</t>
  </si>
  <si>
    <t>窗上侧石材线条</t>
  </si>
  <si>
    <t>1.75厚180*600芝麻白花岗石荔枝面，异形加工
2.具体做法详见图纸设计
3.其他说明：其它满足规范和设计图纸要求</t>
  </si>
  <si>
    <t>窗下侧石材线条</t>
  </si>
  <si>
    <t>1.75厚600*100芝麻白花岗石荔枝面，异形加工
2.具体做法详见图纸设计
3.其他说明：其它满足规范和设计图纸要求</t>
  </si>
  <si>
    <t>窗台石材线条</t>
  </si>
  <si>
    <t>1.600*100*125厚芝麻白花岗石荔枝面，异形加工
2.具体做法详见图纸设计
3.其他说明：其它满足规范和设计图纸要求</t>
  </si>
  <si>
    <t>窗台侧壁石材</t>
  </si>
  <si>
    <t>1.窗户四周侧壁：25厚芝麻白花岗石荔枝面395mm宽、25厚芝麻白花岗石荔枝面370mm宽
2.具体做法详见图纸设计
3.其他说明：其它满足规范和设计图纸要求</t>
  </si>
  <si>
    <t>窗侧石材线条</t>
  </si>
  <si>
    <t>1.50厚300*80芝麻白花岗石荔枝面，异形加工
2.具体做法详见图纸设计
3.其他说明：其它满足规范和设计图纸要求</t>
  </si>
  <si>
    <t>成品窗</t>
  </si>
  <si>
    <t>1.洞口尺寸：1.7*1.8，1.2*1.8
2.具体做法详见图纸设计，专业厂家深化设计并安装
3.其他说明：其它满足规范和设计图纸要求</t>
  </si>
  <si>
    <t>成品门</t>
  </si>
  <si>
    <t>1.洞口尺寸：1.2*2.7
2.具体做法详见图纸设计，专业厂家深化设计并安装
3.其他说明：其它满足规范和设计图纸要求</t>
  </si>
  <si>
    <t>墙面钢骨架</t>
  </si>
  <si>
    <t>1.墙面钢骨架：镀锌钢管、角钢、预埋件
2.具体做法详见图纸设计
3.其他说明：其它满足规范和设计图纸要求</t>
  </si>
  <si>
    <t>成品钢格栅</t>
  </si>
  <si>
    <t>1.成品钢格栅：3厚20*50热镀锌矩形管@40+2厚热镀锌钢板面饰深咖色氟碳漆
2.具体做法详见图纸设计
3.其他说明：其它满足规范和设计图纸要求</t>
  </si>
  <si>
    <t>墙面不锈钢拉丝面装饰</t>
  </si>
  <si>
    <t>墙面石材线条</t>
  </si>
  <si>
    <t>1.300mm宽石材异形线条300宽：45厚600*200芝麻白花岗岩荔枝面+75厚600*100芝麻白花岗岩荔枝面，异形加工。
2.具体做法详见图纸设计
3.其他说明：其它满足规范和设计图纸要求</t>
  </si>
  <si>
    <t>墙面金属线条</t>
  </si>
  <si>
    <t>1.20宽2厚304#不锈钢装饰条，拉丝面电镀深咖色镶嵌于墙上
2.具体做法详见图纸设计
3.其他说明：其它满足规范和设计图纸要求</t>
  </si>
  <si>
    <t>1.尺寸：2600*4400
2.具体做法详见图纸设计，含预埋件。
3.其他说明：其它满足规范和设计图纸要求</t>
  </si>
  <si>
    <t>成品钢格栅大门</t>
  </si>
  <si>
    <t>1.尺寸：1300*4370
2.具体做法详见图纸设计，含预埋件。
3.其他说明：其它满足规范和设计图纸要求</t>
  </si>
  <si>
    <t>成品钢消防门</t>
  </si>
  <si>
    <t>1.尺寸：4300*1000
2.具体做法详见图纸设计，含预埋件。
3.其他说明：其它满足规范和设计图纸要求</t>
  </si>
  <si>
    <t>门卫室室内装修</t>
  </si>
  <si>
    <t>天棚</t>
  </si>
  <si>
    <t>1.白色石膏板吊顶，含吊顶螺杆
2.具体做法详见图纸设计
3.其他说明：其它满足规范和设计图纸要求</t>
  </si>
  <si>
    <t>地面</t>
  </si>
  <si>
    <t>1.地板砖，含30厚1:3水泥砂浆粘结层
2.具体做法详见图纸设计
3.其他说明：其它满足规范和设计图纸要求</t>
  </si>
  <si>
    <t>墙面</t>
  </si>
  <si>
    <t>1.乳胶漆饰面，含20厚1:2.5水泥砂浆找平层
2.具体做法详见图纸设计
3.其他说明：其它满足规范和设计图纸要求</t>
  </si>
  <si>
    <t>20厚1:2.5水泥砂浆找平层取消</t>
  </si>
  <si>
    <t>C-3.01~C-3.02东门景墙一装饰及结构</t>
  </si>
  <si>
    <t>挖土方</t>
  </si>
  <si>
    <t>1.土壤类别：综合
2.挖土深度：详设计
3.开挖方式：人工、机械综合考虑   
4.多余土方运送场内指定位置
5.其它满足规范和设计图纸要求</t>
  </si>
  <si>
    <t>回填土方</t>
  </si>
  <si>
    <t>1.密实度要求：满足设计要求 
2.填方材料品种：满足设计要求的合格土方 
3.填方粒径要求：符合设计要求
4.填方来源、运距：投标人根据现场实际情况自行考虑
5.其它满足规范和设计图纸要求</t>
  </si>
  <si>
    <t>1.素土夯实，密实度≥0.93
2.其它满足规范和设计图纸要求</t>
  </si>
  <si>
    <t>1.150厚级配碎石垫层，密实度≥0.93
2.其它说明：其它满足规范和设计图纸要求</t>
  </si>
  <si>
    <t>1.混凝土强度等级:100厚C20混凝土
2.混凝土拌合料要求：符合规范要求
3.模板安拆费用计入综合单价，支模方式综合考虑
4.其它满足规范和设计图纸要求</t>
  </si>
  <si>
    <t>独立基础</t>
  </si>
  <si>
    <t>1.C25钢筋混凝土
2.混凝土拌合料要求：符合规范要求
3.模板安拆费用计入综合单价，支模方式综合考虑
4.其它满足规范和设计图纸要求</t>
  </si>
  <si>
    <t>砖基础</t>
  </si>
  <si>
    <t>1.砖品种、规格、强度等级：MU10页岩砖
2.基础类型：砖基础
3.砂浆强度等级：M7.5水泥砂浆
4.其它说明：其他满足规范和图纸设计要求</t>
  </si>
  <si>
    <t>砖墙砌体</t>
  </si>
  <si>
    <t>1.砖品种、规格、强度等级：MU10页岩砖
2.砂浆强度等级：M7.5水泥砂浆
3.其它说明：其他满足规范和图纸设计要求</t>
  </si>
  <si>
    <t>构造柱</t>
  </si>
  <si>
    <t>1.混凝土强度等级:C25混凝土
2.混凝土拌合料要求：符合规范要求
3.模板安拆费用计入综合单价，支模方式综合考虑
4.其它满足规范和设计图纸要求</t>
  </si>
  <si>
    <t>圈梁及压顶</t>
  </si>
  <si>
    <t>1.C25钢筋混凝土圈梁:240*240/240*180/240*240
2.混凝土拌合料要求：符合规范要求
3.模板安拆费用计入综合单价，支模方式综合考虑
4.其它满足规范和设计图纸要求</t>
  </si>
  <si>
    <t>现浇构件钢筋</t>
  </si>
  <si>
    <t>1.现浇构件带肋钢筋HPB300  直径≤10mm
2.含钢筋搭接
3.其它说明：其它满足规范和设计图纸要求</t>
  </si>
  <si>
    <t>1.现浇构件带肋钢筋HRB400  直径=12mm、14mm
2.含钢筋搭接
3.其它说明：其它满足规范和设计图纸要求</t>
  </si>
  <si>
    <t>景墙墙面装饰</t>
  </si>
  <si>
    <t>1.景墙侧面：喷涂外墙真石漆（仿芝麻白荔枝面）+20厚1:2.5水泥砂浆找平层
2.具体做法详见图纸设计
3.其它满足规范和设计图纸要求</t>
  </si>
  <si>
    <t>景墙墙顶钢板装饰</t>
  </si>
  <si>
    <t>1.景墙顶面：2厚镀锌钢板按型折弯，面饰深咖色金属氟碳漆喷砂面
2.具体做法详见图纸设计
3.其它满足规范和设计图纸要求</t>
  </si>
  <si>
    <t>景墙墙面干挂石材</t>
  </si>
  <si>
    <t>1.景墙正面：25厚芝麻白花岗岩荔枝面干挂，表面拉5*5槽@100
2.具体做法详见图纸设计
3.其他说明：其它满足规范和设计图纸要求</t>
  </si>
  <si>
    <t>墙面钢挂件</t>
  </si>
  <si>
    <t>1.墙面钢骨架：5厚50*50热镀锌角钢@1200+5厚50*50热镀锌角钢@600
2.具体做法详见图纸设计
3.其他说明：其它满足规范和设计图纸要求</t>
  </si>
  <si>
    <t>C-4.01~C-4.03东门景墙二装饰及结构</t>
  </si>
  <si>
    <t>条形基础</t>
  </si>
  <si>
    <t>钢筋砼墙体</t>
  </si>
  <si>
    <t>1.现浇构件带肋钢筋HRB400  直径=12mm
2.含钢筋搭接
3.其它说明：其它满足规范和设计图纸要求</t>
  </si>
  <si>
    <t>1.景墙侧面：喷涂真石漆（仿芝麻白荔枝面）+20厚1:2.5水泥砂浆找平层
2.其它满足规范和设计图纸要求</t>
  </si>
  <si>
    <t>1.景墙顶面：2厚镀锌钢板按型折弯，面饰深咖色金属氟碳漆喷砂面
2.其它满足规范和设计图纸要求</t>
  </si>
  <si>
    <t>B-6.01~6.04次入口围墙</t>
  </si>
  <si>
    <t>压顶</t>
  </si>
  <si>
    <t>1.C25钢筋混凝土圈梁:240*300
2.混凝土拌合料要求：符合规范要求
3.模板安拆费用计入综合单价，支模方式综合考虑
4.其它满足规范和设计图纸要求</t>
  </si>
  <si>
    <t>围墙墙面装饰</t>
  </si>
  <si>
    <t>1.景墙侧面：喷涂外墙米白色仿石漆，拉5*5槽@100，刮外墙腻子2-3遍，干后砂平。
2.10厚1:2水泥砂浆找平铁模压光，15厚1:3水泥砂浆砂浆打底扫光或划出纹道。
3.具体做法详见图纸设计
4.其它满足规范和设计图纸要求</t>
  </si>
  <si>
    <t>围墙墙顶石材装饰</t>
  </si>
  <si>
    <t>1.围墙顶面：30厚240*540芝麻灰烧面石材
2.具体做法详见图纸设计
3.其它满足规范和设计图纸要求</t>
  </si>
  <si>
    <t>1.围墙顶面：30厚100*300、100*600芝麻灰烧面石材，下端拉10深20宽槽
2.具体做法详见图纸设计
3.其他说明：其它满足规范和设计图纸要求</t>
  </si>
  <si>
    <t>踢脚线</t>
  </si>
  <si>
    <t>1.15厚100*600灰色仿石砖踢脚线+25厚1:2.5水泥砂浆粘结层
2.具体做法详见图纸设计
3.其他说明：其它满足规范和设计图纸要求</t>
  </si>
  <si>
    <t>围墙钢栏杆</t>
  </si>
  <si>
    <t>1.尺寸：1.8m高
2.材质：3厚60*30镀锌矩形管横管+2.5厚30*30镀锌矩形管立管+3厚60*60镀锌矩形管立管，面饰深咖色金属氟碳漆喷砂面，含预埋件。
3.具体做法详见图纸设计，含预埋件。
4.其他说明：其它满足规范和设计图纸要求</t>
  </si>
  <si>
    <t>元</t>
  </si>
  <si>
    <t>备注：1.综合单价包括且不限于人工、材料、机械、措施、检验检测、规费、管理费、利润、税金(增值税专用发票)、赶工措施、安全防护、现场文明施工措施、风险等全部费用。
2.本工程清单，无论是否存在缺项、漏项、工程量偏差，均视为乙方已综合考虑在固定合同总价内。</t>
  </si>
  <si>
    <t>栾川山水文苑S1地块东大门安装清单与计价表</t>
  </si>
  <si>
    <t>工程项目名称</t>
  </si>
  <si>
    <t>工程内容</t>
  </si>
  <si>
    <t>工程量
g</t>
  </si>
  <si>
    <t>管理费及利润
d=(a+b+c)*费率</t>
  </si>
  <si>
    <t>电气</t>
  </si>
  <si>
    <t>配电箱</t>
  </si>
  <si>
    <t xml:space="preserve">1、名称:配电箱AL-1
2、规格:非标
3、含预埋、接地、端子接线等
4、未详尽处满足图纸设计、相关规范要求                    </t>
  </si>
  <si>
    <t>台</t>
  </si>
  <si>
    <t>双管日光灯</t>
  </si>
  <si>
    <t xml:space="preserve">1、名称:双管日光灯
2、规格:2X28W Cos%%C&gt;0.9
3、吸顶安装
4、未详尽处满足图纸设计、相关规范要求                    </t>
  </si>
  <si>
    <t>佛山。雷士、三雄极光</t>
  </si>
  <si>
    <t>暗装单极开关</t>
  </si>
  <si>
    <t xml:space="preserve">1、名称:暗装单极开关
2、规格:(~220V 10A)
3、暗装 距地1.3m
4、未详尽处满足图纸设计、相关规范要求                    </t>
  </si>
  <si>
    <t>雷士、公牛、德力西</t>
  </si>
  <si>
    <t>三孔安全型插座</t>
  </si>
  <si>
    <t xml:space="preserve">1、名称:三孔安全型插座
2、规格:暗装,2.2m
3、暗装 距地2.3m(挂机) 
4、未详尽处满足图纸设计、相关规范要求                    </t>
  </si>
  <si>
    <t>雷士、公牛、德力</t>
  </si>
  <si>
    <t>暗装单相五孔插座(安全型)</t>
  </si>
  <si>
    <t xml:space="preserve">1、名称:暗装单相五孔插座(安全型)
2、规格:(~220V 10A)
3、暗装 距地0.30m 
4、未详尽处满足图纸设计、相关规范要求                    </t>
  </si>
  <si>
    <t>成品壁灯</t>
  </si>
  <si>
    <t xml:space="preserve">1、名称:成品壁灯
2、规格:详见立面图
3、未详尽处满足图纸设计、相关规范要求                    </t>
  </si>
  <si>
    <t>套</t>
  </si>
  <si>
    <t>配线</t>
  </si>
  <si>
    <t>1、名称：配线
2、规格：BV-2.5
3、敷设方式:穿管敷设
4、未详尽处满足图纸设计、相关规范要求</t>
  </si>
  <si>
    <t>郑三、金水、二缆</t>
  </si>
  <si>
    <t>1、名称：配线
2、规格：BV-4
3、敷设方式:穿管敷设
4、未详尽处满足图纸设计、相关规范要求</t>
  </si>
  <si>
    <t>给排水</t>
  </si>
  <si>
    <t>雨水管</t>
  </si>
  <si>
    <t>1、名称：雨水管
2、规格：UPVC De110
3、含管材管件
4、未详尽处满足图纸设计、相关规范要求</t>
  </si>
  <si>
    <t>联塑。伟星、金牛</t>
  </si>
  <si>
    <t>三</t>
  </si>
  <si>
    <t>视频监控系统</t>
  </si>
  <si>
    <t>千兆交换机(汇聚)</t>
  </si>
  <si>
    <t xml:space="preserve">1、名称:千兆交换机(汇聚)
2、规格:24个千兆电口,2个千兆上行光口,带2千兆复用电口,管理型交换容量:256Gbps以上,包转发率:96Mpps以上
3、未详尽处满足图纸设计、相关规范要求                   </t>
  </si>
  <si>
    <t>锐捷</t>
  </si>
  <si>
    <t>百兆POE交换机</t>
  </si>
  <si>
    <t xml:space="preserve">1、名称:百兆POE交换机
2、规格:16个百兆电口,支持POE+,包转发率:5.3Mpps以上;
交换容量:7.2Gbps以上;2个千兆电口
3、未详尽处满足图纸设计、相关规范要求                   </t>
  </si>
  <si>
    <t>海康</t>
  </si>
  <si>
    <t>门卫室设备机柜</t>
  </si>
  <si>
    <t>1、名称:门卫室设备机柜
2、规格：12落地式,含插排
3、未详尽处满足图纸设计、相关规范要求</t>
  </si>
  <si>
    <t>星网</t>
  </si>
  <si>
    <t>红外半球网络摄像机</t>
  </si>
  <si>
    <t>1、名称:红外半球网络摄像机
2、规格：200万像素,支持H.265,支持POE供电
3、未详尽处满足图纸设计、相关规范要求</t>
  </si>
  <si>
    <t>红外枪型网络摄像机</t>
  </si>
  <si>
    <t>1、名称:红外枪型网络摄像机
2、规格：200万像素,支持H.265,支持POE供电,含支架
3、未详尽处满足图纸设计、相关规范要求</t>
  </si>
  <si>
    <t>NVR</t>
  </si>
  <si>
    <t>1、名称:NVR
2、规格：32路8盘位,支持H.265,支持报警接入
3、未详尽处满足图纸设计、相关规范要求</t>
  </si>
  <si>
    <t>硬盘</t>
  </si>
  <si>
    <t>1、名称:硬盘
2、规格：4T
3、未详尽处满足图纸设计、相关规范要求</t>
  </si>
  <si>
    <t>块</t>
  </si>
  <si>
    <t>ST</t>
  </si>
  <si>
    <t>电脑</t>
  </si>
  <si>
    <t>1、名称:电脑
2、规格：I7处理器/8G内存/1T硬盘/21.5英寸显示
3、未详尽处满足图纸设计、相关规范要求</t>
  </si>
  <si>
    <t>兼容机</t>
  </si>
  <si>
    <t>视频监控管理软件</t>
  </si>
  <si>
    <t>1、名称:视频监控管理软件
2、满足与物业平台对接的一切费用</t>
  </si>
  <si>
    <t>电缆</t>
  </si>
  <si>
    <t>1、名称：电缆
2、规格：YJY-3x4
3、敷设方式:穿管敷设
4、含电缆头制作安装
5、未详尽处满足图纸设计、相关规范要求</t>
  </si>
  <si>
    <t>网线</t>
  </si>
  <si>
    <t>1、名称：网线
2、规格：UTP6
3、敷设方式:穿管敷设
4、未详尽处满足图纸设计、相关规范要求</t>
  </si>
  <si>
    <t>1、名称：网线
2、规格：UTP5e
3、敷设方式:穿管敷设
4、未详尽处满足图纸设计、相关规范要求</t>
  </si>
  <si>
    <t>四</t>
  </si>
  <si>
    <t>楼宇对讲系统</t>
  </si>
  <si>
    <t>开门按钮</t>
  </si>
  <si>
    <t>1、名称:开门按钮
2、规格：86型
3、未详尽处满足图纸设计、相关规范要求</t>
  </si>
  <si>
    <t>中型</t>
  </si>
  <si>
    <t>单门磁力锁</t>
  </si>
  <si>
    <t>1、名称:单门磁力锁
2、规格：280kg
3、未详尽处满足图纸设计、相关规范要求</t>
  </si>
  <si>
    <t>中控</t>
  </si>
  <si>
    <t>对讲区口机</t>
  </si>
  <si>
    <t>1、名称:对讲区口机
2、规格：支持刷卡、密码、二维码、人脸识别开锁
3、未详尽处满足图纸设计、相关规范要求</t>
  </si>
  <si>
    <t>对讲主机电源</t>
  </si>
  <si>
    <t>1、名称:对讲主机电源
2、规格：DC12V/3A(与产品选型配套)对讲主机/区口机/门禁一体机一个电源带1个主机
3、未详尽处满足图纸设计、相关规范要求</t>
  </si>
  <si>
    <t>发卡器</t>
  </si>
  <si>
    <t>1、名称:发卡器
2、规格：IC卡发卡
3、未详尽处满足图纸设计、相关规范要求</t>
  </si>
  <si>
    <t>楼宇对讲管理软件</t>
  </si>
  <si>
    <t>1、名称:楼宇对讲管理软件
2、满足与物业平台对接的一切费用</t>
  </si>
  <si>
    <t>电线</t>
  </si>
  <si>
    <t>1、名称：电线
2、规格：RVV2*1.0
3、敷设方式:穿管敷设
4、未详尽处满足图纸设计、相关规范要求</t>
  </si>
  <si>
    <t>五</t>
  </si>
  <si>
    <t>停车场管理系统</t>
  </si>
  <si>
    <t>一体式车牌识别机</t>
  </si>
  <si>
    <t>1、名称:一体式车牌识别机
2、规格：车牌识别+道闸一体机;TCP/IP通讯;车牌识别控制器+无刷道闸控制器;栅栏杆,杆长≤4米; 含液晶显示屏;可独立实现进出通行控制功能。 
3、未详尽处满足图纸设计、相关规范要求</t>
  </si>
  <si>
    <t>车辆探测器</t>
  </si>
  <si>
    <t>1、名称:车辆探测器
2、规格：探测器可区分人与车,又可防砸车,还可防砸人; 
3、未详尽处满足图纸设计、相关规范要求</t>
  </si>
  <si>
    <t>手动控制按钮</t>
  </si>
  <si>
    <t>1、名称:手动控制按钮
2、规格：起/停/落三键
3、未详尽处满足图纸设计、相关规范要求</t>
  </si>
  <si>
    <t>无线遥控器</t>
  </si>
  <si>
    <t>1、名称:无线遥控器
2、规格：起杆、落杆,含接收器
3、未详尽处满足图纸设计、相关规范要求</t>
  </si>
  <si>
    <t>停车场管理软件</t>
  </si>
  <si>
    <t>1、名称:停车场管理软件
2、满足与物业平台对接的一切费用</t>
  </si>
  <si>
    <t>配管</t>
  </si>
  <si>
    <t>1、名称：配管
2、规格：PVC25
3、未详尽处满足图纸设计、相关规范要求</t>
  </si>
  <si>
    <t>1、名称：电缆
2、规格：YJY3*2.5
3、敷设方式:穿管敷设
4、含电缆头制作安装
5、未详尽处满足图纸设计、相关规范要求</t>
  </si>
  <si>
    <t>六</t>
  </si>
  <si>
    <t>景观照明</t>
  </si>
  <si>
    <t>射树灯</t>
  </si>
  <si>
    <t xml:space="preserve">1、名称:射树灯
2、规格:220V/20W LED/3000k IP67
3、未详尽处满足图纸设计、相关规范要求                    </t>
  </si>
  <si>
    <t>1、名称：配管
2、规格：PVC25
3、敷设方式:埋地敷设
4、未详尽处满足图纸设计、相关规范要求</t>
  </si>
  <si>
    <t>1、名称：电缆
2、规格：YJV-3*2.5
3、敷设方式:穿管敷设
4、未详尽处满足图纸设计、相关规范要求</t>
  </si>
  <si>
    <t>手孔井1</t>
  </si>
  <si>
    <t xml:space="preserve">1、名称:手孔井1
2、规格:400*400*500(净尺寸)
3、未详尽处满足图纸设计、相关规范要求                    </t>
  </si>
  <si>
    <t>座</t>
  </si>
  <si>
    <t>七</t>
  </si>
  <si>
    <t>雾森系统</t>
  </si>
  <si>
    <t>1、名称:土方的开挖
2、未详尽处满足图纸设计、相关规范要求</t>
  </si>
  <si>
    <t>回填土</t>
  </si>
  <si>
    <t>1、名称:土方的回填
2、未详尽处满足图纸设计、相关规范要求</t>
  </si>
  <si>
    <t>304不锈钢管</t>
  </si>
  <si>
    <t>1、名称：304不锈钢管（含管件）
2、规格：DN10
3、压力试验及吹、洗设计要求:满足规范及设计要求
6、未详尽处满足图纸设计、相关规范要求</t>
  </si>
  <si>
    <t>1、名称：304不锈钢管（含管件）
2、规格：DN20
3、压力试验及吹、洗设计要求:满足规范及设计要求
6、未详尽处满足图纸设计、相关规范要求</t>
  </si>
  <si>
    <t>2号304不锈钢喷嘴,喷淋角度80°</t>
  </si>
  <si>
    <t>1、名称：2号304不锈钢喷嘴,喷淋角度80°
2、未详尽处满足图纸设计、相关规范要求</t>
  </si>
  <si>
    <t>雾喷机组</t>
  </si>
  <si>
    <t>1、名称：雾喷机组
2、规格、型号：CHM-3/16L-2.2KW
3、未详尽处满足图纸设计、相关规范要求</t>
  </si>
  <si>
    <t>八</t>
  </si>
  <si>
    <t>景观给水</t>
  </si>
  <si>
    <t>给水管</t>
  </si>
  <si>
    <t>1、名称：PE给水管,S4系列
2、规格：De32
3、连接方式：热熔连接
4、压力等级:1.25Mpa
5、压力试验及吹、洗设计要求: 满足规范及设计要求
6、未详尽处满足图纸设计、相关规范要求</t>
  </si>
  <si>
    <t>九</t>
  </si>
  <si>
    <t>景观雨污水</t>
  </si>
  <si>
    <t>高密度聚乙烯HDPE双壁波纹管</t>
  </si>
  <si>
    <t>1.安装部位:室外
2.介质:污水
3.材质、规格高密度聚乙烯HDPE双壁波纹管（环刚度SN4）De400
4.连接形式:双向承插弹性密封橡胶圈连接
5.管道基础：做法详图CECS164:2004
6.未详尽处满足图纸设计、相关规范要求</t>
  </si>
  <si>
    <t>1.安装部位:室外
2.介质:景观排水
3.材质、规格：高密度聚乙烯HDPE双壁波纹管（环刚度SN4）De200
4.连接形式:双向承插弹性密封橡胶圈连接
5.管道基础：做法详图CECS164:2004
6.未详尽处满足图纸设计、相关规范要求</t>
  </si>
  <si>
    <t>PVC-U硬质白管</t>
  </si>
  <si>
    <t>1.安装部位:室外
2.介质:景观排水
3.材质、规格：PVC-U硬质白管De110
4.连接形式:双向承插弹性密封橡胶圈连接
5.管道基础：做法详图CECS164:2004
6.未详尽处满足图纸设计、相关规范要求</t>
  </si>
  <si>
    <t>1.安装部位:室外
2.介质:雨水
3.材质、规格高密度聚乙烯HDPE双壁波纹管（环刚度SN4）DN500
4.连接形式:双向承插弹性密封橡胶圈连接
5.管道基础：做法详图CECS164:2004
6.未详尽处满足图纸设计、相关规范要求</t>
  </si>
  <si>
    <t>1.安装部位:室外
2.介质:雨水
3.材质、规格高密度聚乙烯HDPE双壁波纹管（环刚度SN4）DN300
4.连接形式:双向承插弹性密封橡胶圈连接
5.管道基础：做法详图CECS164:2004
6.未详尽处满足图纸设计、相关规范要求</t>
  </si>
  <si>
    <t>塑料井</t>
  </si>
  <si>
    <t>1.名称：塑料检查井（含井圈及井盖）
2.规格：Φ700
3.未详尽处满足图纸设计、相关规范要求</t>
  </si>
  <si>
    <t>雨篦子</t>
  </si>
  <si>
    <t>1.名称：雨篦子
2.规格：做法详土建B-1.02(5/6)
3.未详尽处满足图纸设计、相关规范要求</t>
  </si>
  <si>
    <t>十</t>
  </si>
  <si>
    <t>临时工程暂定量</t>
  </si>
  <si>
    <t xml:space="preserve">五芯多股软电缆 5*6 </t>
  </si>
  <si>
    <t>1、名称：电缆
2、规格：五芯多股软电缆 5*6
3、含电缆头制作安装
4、未详尽处满足图纸设计、相关规范要求</t>
  </si>
  <si>
    <t>1、名称：配电箱
2、规格：总开关带带漏电保护功能  80A， 分开关均带漏电保护过载功能 2P25A 1个，2P32A 1个   3P32A 2个
3、未详尽处满足图纸设计、相关规范要求</t>
  </si>
  <si>
    <t>合计（元）</t>
  </si>
  <si>
    <t>注：1.综合单价包括且不限于人工、材料、机械、措施、检验检测、规费、管理费、利润、税金(增值税专用发票)、赶工措施、安全防护、现场文明施工措施、风险等全部费用。
 2.本工程清单，无论是否存在缺项、漏项、工程量偏差，均视为乙方已综合考虑在固定合同总价内。</t>
  </si>
  <si>
    <t>5#楼精装大堂装修工程-装饰</t>
  </si>
  <si>
    <t xml:space="preserve">瓷砖地面 </t>
  </si>
  <si>
    <t>1、清理施工表面；
2、素水泥结合层一道                           3、40-60厚1:3干硬性水泥砂浆结合层；
3、砖充分浸水                               
4、ct1瓷砖铺贴、留1mm分封，同色填料剂处理;
6、满足施工规范及设计图纸要求；</t>
  </si>
  <si>
    <t>东鹏、马可波罗、蒙娜丽莎</t>
  </si>
  <si>
    <t>瓷砖过门石</t>
  </si>
  <si>
    <t>1、清理施工表面；
2、素水泥结合层一道                           3、40-60厚1:3干硬性水泥砂浆结合层；
3、砖充分浸水                               
4、ct2瓷砖铺贴、留1mm分封，同色填料剂处理;
6、满足施工规范及设计图纸要求；</t>
  </si>
  <si>
    <t>瓷砖墙面</t>
  </si>
  <si>
    <t>1. 5~7厚面砖,白水泥擦缝或填缝剂填缝
2. 4~5厚1∶1水泥砂浆加水重20%%%建筑胶(或配套专用胶粘剂)粘结层
3. 素水泥浆一道(用专用胶粘剂粘贴时无此道工序)
4. 详见施工图及节点详图TD-03/01图；</t>
  </si>
  <si>
    <t>单元门</t>
  </si>
  <si>
    <t>1、规格：DYM2000*2900、WM1121
2、材质：1.0mm厚不锈钢框、8mm厚钢化玻璃
3、设计详细确定</t>
  </si>
  <si>
    <t>电梯门套</t>
  </si>
  <si>
    <t>1、规格：1040*2350
2、材质：1.2mm厚MT-01金属
3、基层：18mm阻燃胶合板</t>
  </si>
  <si>
    <t>樘</t>
  </si>
  <si>
    <t>墙面金属收口</t>
  </si>
  <si>
    <t>1、MT01金属
2、部位：楼梯口
3、详见施工图及节点详图TD-03/03图；</t>
  </si>
  <si>
    <t>天花</t>
  </si>
  <si>
    <t>大堂吊顶</t>
  </si>
  <si>
    <t xml:space="preserve">
1.9.5厚纸面石膏板,用自攻螺丝固定间距 ≤200
2. U型轻钢龙骨横撑CB50*20中距800-1200
3. U型轻钢龙骨CB50*20中距400
4. 8号热镀锌低碳钢丝吊杆,中距横向800-1200,吊杆上部与预留钢筋连接
5、具体做法18mm阻燃胶合板+PT01无机涂料(9.5mm厚双层石膏板吊顶)
6、具体做法详见节点详图TD-01/01图；
7、部位：大堂</t>
  </si>
  <si>
    <t>M2</t>
  </si>
  <si>
    <t>泰山、杰森、洛菲尔</t>
  </si>
  <si>
    <t>金属M01</t>
  </si>
  <si>
    <t>1、金属M01吊顶金属条收口 厚度1.2mm
2、具体做法详见节点详图TD-01/01图及施工图。
3、部位：大堂</t>
  </si>
  <si>
    <t>大堂吊顶涂料</t>
  </si>
  <si>
    <t>1.无机涂料两遍
2.封底漆一道(干燥后再做面涂
3.满刮2厚面层耐水腻子找平
4、部位：大堂</t>
  </si>
  <si>
    <t>平吊天花</t>
  </si>
  <si>
    <t xml:space="preserve">
1.PT01无机涂料(9.5mm厚双层石膏板吊顶),用自攻螺丝固定间距 ≤200
2. U型轻钢龙骨横撑CB50*20中距800-1200
3. U型轻钢龙骨CB50*20中距400
4. 8号热镀锌低碳钢丝吊杆,中距横向800-1200,吊杆上部与预留钢筋连接
5、标高2350mm，具体做法详见施工图</t>
  </si>
  <si>
    <t>平吊天花部分涂料</t>
  </si>
  <si>
    <t xml:space="preserve">1.无机涂料两遍
2.封底漆一道(干燥后再做面涂
3.满刮2厚面层耐水腻子找平
</t>
  </si>
  <si>
    <t>白色无机涂料原顶</t>
  </si>
  <si>
    <t>基层清理；
2、满刮腻子两道、砂纸磨平；
3、白色无极涂料天棚；
4、满足施工规范及设计图纸要求；
5、楼梯板顶面</t>
  </si>
  <si>
    <t>1、基层清理；
2、满刮腻子两道、砂纸磨平；
3、白色无极涂料天棚；
4、满足施工规范及设计图纸要求；
5、侯梯厅</t>
  </si>
  <si>
    <t>04天花造型</t>
  </si>
  <si>
    <t>1、白色无机涂料
2、石膏板造型
3、18mm阻燃胶合板
4、具体做法详见节点详图TD-01/04图及施工图；
5、部位：侯梯厅</t>
  </si>
  <si>
    <t>5#楼入户平台铺装</t>
  </si>
  <si>
    <t>天然级配砂石垫层</t>
  </si>
  <si>
    <t xml:space="preserve">
150厚天然级配砂石垫层</t>
  </si>
  <si>
    <t>C20混凝土垫层</t>
  </si>
  <si>
    <t xml:space="preserve">
100厚C20混凝土垫层</t>
  </si>
  <si>
    <t>1.15厚200*200仿芝麻黑荔枝面石英砖
2.30厚1：3干硬性水泥砂浆粘结层
3.其它满足规范和设计图纸要求</t>
  </si>
  <si>
    <t>1.15厚100*100仿福鼎黑水洗面石英砖
2.30厚1：3干硬性水泥砂浆粘结层
3.其它满足规范和设计图纸要求</t>
  </si>
  <si>
    <t>1.15厚300*300仿芝麻灰荔枝面石英砖
2.30厚1：3干硬性水泥砂浆粘结层
3.其它满足规范和设计图纸要求</t>
  </si>
  <si>
    <t>1.15厚150*150仿芝麻黑荔枝面石英砖
2.30厚1：3干硬性水泥砂浆粘结层
3.其它满足规范和设计图纸要求</t>
  </si>
  <si>
    <t>1.15厚600*200仿芝麻灰荔枝面石英砖
2.30厚1：3干硬性水泥砂浆粘结层
3.其它满足规范和设计图纸要求</t>
  </si>
  <si>
    <t>门头部分</t>
  </si>
  <si>
    <t>钢架钢构</t>
  </si>
  <si>
    <t>1、200*5热浸镀锌钢方管
2、8#热浸镀锌槽钢
3、L50x4热浸镀锌角钢
4、10#热浸镀锌槽钢
5、80*60*5mm镀锌钢管
6、l20*3封边角钢等详见施工图
7、其它满足规范和设计图纸要求</t>
  </si>
  <si>
    <t>预埋件</t>
  </si>
  <si>
    <r>
      <rPr>
        <sz val="10"/>
        <rFont val="Arial"/>
        <charset val="1"/>
      </rPr>
      <t>1</t>
    </r>
    <r>
      <rPr>
        <sz val="10"/>
        <rFont val="宋体"/>
        <charset val="1"/>
      </rPr>
      <t>、</t>
    </r>
    <r>
      <rPr>
        <sz val="10"/>
        <rFont val="Arial"/>
        <charset val="1"/>
      </rPr>
      <t>300x300x20mm</t>
    </r>
    <r>
      <rPr>
        <sz val="10"/>
        <rFont val="宋体"/>
        <charset val="1"/>
      </rPr>
      <t>热浸镀锌后置埋件</t>
    </r>
    <r>
      <rPr>
        <sz val="10"/>
        <rFont val="Arial"/>
        <charset val="1"/>
      </rPr>
      <t xml:space="preserve">  M20</t>
    </r>
    <r>
      <rPr>
        <sz val="10"/>
        <rFont val="宋体"/>
        <charset val="1"/>
      </rPr>
      <t>不锈钢化学螺栓</t>
    </r>
    <r>
      <rPr>
        <sz val="10"/>
        <rFont val="Arial"/>
        <charset val="1"/>
      </rPr>
      <t xml:space="preserve">
2</t>
    </r>
    <r>
      <rPr>
        <sz val="10"/>
        <rFont val="宋体"/>
        <charset val="1"/>
      </rPr>
      <t>、其它满足规范和设计图纸要求</t>
    </r>
  </si>
  <si>
    <t>1、300x200x8mm热浸镀锌后置埋件
2、M12特殊倒锥型化学锚栓
3、其它满足规范和设计图纸要求</t>
  </si>
  <si>
    <t>墙面石材</t>
  </si>
  <si>
    <t>1、25mm厚花岗岩（芝麻黑，冷色系石材）
2、M8x30不锈钢螺栓组
3、泡沫棒&amp;硅酮耐候密封胶
4、不锈钢石材挂件
5、其它满足规范和设计图纸要求</t>
  </si>
  <si>
    <t>柱面石材</t>
  </si>
  <si>
    <t>1、25mm厚花岗岩（芝麻黑，冷色系石材）
2、M8x30不锈钢螺栓组
3、泡沫棒&amp;硅酮耐候密封胶
4、不锈钢石材挂件
6、其它满足规范和设计图纸要求</t>
  </si>
  <si>
    <t>造型铝板</t>
  </si>
  <si>
    <t>1、2.5mm铝单板氟碳喷涂
2、其它满足规范和设计图纸要求
3、门头立面造型部分</t>
  </si>
  <si>
    <t>顶板铝板</t>
  </si>
  <si>
    <t>1、2.5mm铝单板氟碳喷涂
2、其它满足规范和设计图纸要求
3、门头平面部分</t>
  </si>
  <si>
    <t>防水钢板</t>
  </si>
  <si>
    <t>1、1.5mm镀锌钢板防水层
2、其它满足规范和设计图纸要求</t>
  </si>
  <si>
    <t>防水涂料</t>
  </si>
  <si>
    <t>1、铝板外侧刷防水涂料
2、其它满足规范和设计图纸要求</t>
  </si>
  <si>
    <t>铝方管造型</t>
  </si>
  <si>
    <t xml:space="preserve">
40*2铝方管(氟碳喷涂)
@220mm布置</t>
  </si>
  <si>
    <t>A向造型和铝方管造型</t>
  </si>
  <si>
    <t>1、20*2铝方管（氟碳漆喷刷）
2、其它满足规范和设计图纸要求</t>
  </si>
  <si>
    <t>成品灯箱</t>
  </si>
  <si>
    <t>按图纸意向效果匹配灯具</t>
  </si>
  <si>
    <t>包含灯具安装接线等</t>
  </si>
  <si>
    <t>楼栋牌匾</t>
  </si>
  <si>
    <t>铝板+不锈钢成品加工（施工单位深化报价）</t>
  </si>
  <si>
    <t>小计</t>
  </si>
  <si>
    <t>5#楼一层大堂精装工程-安装</t>
  </si>
  <si>
    <t>安装</t>
  </si>
  <si>
    <t/>
  </si>
  <si>
    <t>声光控灯</t>
  </si>
  <si>
    <t xml:space="preserve">1、名称:声光控灯  
2、规格:220V  12W
3、未详尽处满足图纸设计、相关规范要求                    </t>
  </si>
  <si>
    <t>射灯</t>
  </si>
  <si>
    <t xml:space="preserve">1、名称:射灯
2、规格:4000k
3、未详尽处满足图纸设计、相关规范要求                    </t>
  </si>
  <si>
    <t>筒灯</t>
  </si>
  <si>
    <t xml:space="preserve">1、名称:筒灯
2、规格:4000k
3、未详尽处满足图纸设计、相关规范要求                    </t>
  </si>
  <si>
    <t>装饰吊灯</t>
  </si>
  <si>
    <t xml:space="preserve">1、名称:装饰吊灯
2、规格:详见图纸要求
3、未详尽处满足图纸设计、相关规范要求                    </t>
  </si>
  <si>
    <t>灯带</t>
  </si>
  <si>
    <t xml:space="preserve">1、名称:灯带
2、规格:4000k
3、未详尽处满足图纸设计、相关规范要求                    </t>
  </si>
  <si>
    <t>单项安全型二、三孔插座</t>
  </si>
  <si>
    <t xml:space="preserve">1、名称:单项安全型二、三孔插座
2、规格:(2100V,10A)
3、距地1.3m
4、未详尽处满足图纸设计、相关规范要求                    </t>
  </si>
  <si>
    <t>出门按钮</t>
  </si>
  <si>
    <t xml:space="preserve">1、名称:出门按钮
2、暗装,H+1.45m
3、未详尽处满足图纸设计、相关规范要求                    </t>
  </si>
  <si>
    <t>单网络插座</t>
  </si>
  <si>
    <t xml:space="preserve">1、名称:单网络插座
2、H=1300MM
3、未详尽处满足图纸设计、相关规范要求                    </t>
  </si>
  <si>
    <t xml:space="preserve">1、名称:配管
2、PC20
3、吊顶内敷设
4、未详尽处满足图纸设计、相关规范要求                    </t>
  </si>
  <si>
    <t xml:space="preserve">1、名称:配管
2、PC16
3、吊顶内敷设
4、未详尽处满足图纸设计、相关规范要求                    </t>
  </si>
  <si>
    <t xml:space="preserve">1、名称:网线
2、管内敷设
3、未详尽处满足图纸设计、相关规范要求                    </t>
  </si>
  <si>
    <t xml:space="preserve">1、名称:电线BV4
2、管内敷设
3、未详尽处满足图纸设计、相关规范要求                    </t>
  </si>
  <si>
    <t xml:space="preserve">1、名称:电线BV2.5
2、管内敷设
3、未详尽处满足图纸设计、相关规范要求                    </t>
  </si>
  <si>
    <r>
      <rPr>
        <sz val="20"/>
        <rFont val="Arial"/>
        <charset val="1"/>
      </rPr>
      <t>5#</t>
    </r>
    <r>
      <rPr>
        <sz val="20"/>
        <rFont val="宋体"/>
        <charset val="1"/>
      </rPr>
      <t>楼门计算工程量</t>
    </r>
  </si>
  <si>
    <t>理论重量</t>
  </si>
  <si>
    <t>柱子及墙面</t>
  </si>
  <si>
    <r>
      <rPr>
        <sz val="10"/>
        <rFont val="Arial"/>
        <charset val="1"/>
      </rPr>
      <t>300x300x20mm</t>
    </r>
    <r>
      <rPr>
        <sz val="10"/>
        <rFont val="宋体"/>
        <charset val="1"/>
      </rPr>
      <t>热浸镀锌后置埋件</t>
    </r>
    <r>
      <rPr>
        <sz val="10"/>
        <rFont val="Arial"/>
        <charset val="1"/>
      </rPr>
      <t xml:space="preserve">  M20</t>
    </r>
    <r>
      <rPr>
        <sz val="10"/>
        <rFont val="宋体"/>
        <charset val="1"/>
      </rPr>
      <t>不锈钢化学螺栓</t>
    </r>
  </si>
  <si>
    <r>
      <rPr>
        <sz val="10"/>
        <rFont val="Arial"/>
        <charset val="1"/>
      </rPr>
      <t>200*5</t>
    </r>
    <r>
      <rPr>
        <sz val="10"/>
        <rFont val="宋体"/>
        <charset val="1"/>
      </rPr>
      <t>热浸镀锌钢方管</t>
    </r>
  </si>
  <si>
    <r>
      <rPr>
        <sz val="10"/>
        <rFont val="Arial"/>
        <charset val="1"/>
      </rPr>
      <t>8#</t>
    </r>
    <r>
      <rPr>
        <sz val="10"/>
        <rFont val="宋体"/>
        <charset val="1"/>
      </rPr>
      <t>热浸镀锌槽钢</t>
    </r>
  </si>
  <si>
    <r>
      <rPr>
        <sz val="10"/>
        <rFont val="Arial"/>
        <charset val="1"/>
      </rPr>
      <t>L50x4</t>
    </r>
    <r>
      <rPr>
        <sz val="10"/>
        <rFont val="宋体"/>
        <charset val="1"/>
      </rPr>
      <t>热浸镀锌角钢</t>
    </r>
  </si>
  <si>
    <r>
      <rPr>
        <sz val="10"/>
        <rFont val="Arial"/>
        <charset val="1"/>
      </rPr>
      <t>10#</t>
    </r>
    <r>
      <rPr>
        <sz val="10"/>
        <rFont val="宋体"/>
        <charset val="1"/>
      </rPr>
      <t>热浸镀锌槽钢</t>
    </r>
  </si>
  <si>
    <r>
      <rPr>
        <sz val="10"/>
        <rFont val="Arial"/>
        <charset val="1"/>
      </rPr>
      <t xml:space="preserve">300x200x8mm
</t>
    </r>
    <r>
      <rPr>
        <sz val="10"/>
        <rFont val="宋体"/>
        <charset val="1"/>
      </rPr>
      <t>热浸镀锌后置埋件</t>
    </r>
    <r>
      <rPr>
        <sz val="10"/>
        <rFont val="Arial"/>
        <charset val="1"/>
      </rPr>
      <t xml:space="preserve">M12
</t>
    </r>
    <r>
      <rPr>
        <sz val="10"/>
        <rFont val="宋体"/>
        <charset val="1"/>
      </rPr>
      <t>特殊倒锥型化学锚栓</t>
    </r>
  </si>
  <si>
    <r>
      <rPr>
        <sz val="10"/>
        <rFont val="Arial"/>
        <charset val="1"/>
      </rPr>
      <t>L50x4</t>
    </r>
    <r>
      <rPr>
        <sz val="10"/>
        <rFont val="宋体"/>
        <charset val="1"/>
      </rPr>
      <t>热浸镀锌角钢（墙岩口）</t>
    </r>
  </si>
  <si>
    <r>
      <rPr>
        <sz val="10"/>
        <rFont val="宋体"/>
        <charset val="1"/>
      </rPr>
      <t>（</t>
    </r>
    <r>
      <rPr>
        <sz val="10"/>
        <rFont val="Arial"/>
        <charset val="1"/>
      </rPr>
      <t>1-1</t>
    </r>
    <r>
      <rPr>
        <sz val="10"/>
        <rFont val="宋体"/>
        <charset val="1"/>
      </rPr>
      <t>）</t>
    </r>
  </si>
  <si>
    <r>
      <rPr>
        <sz val="10"/>
        <rFont val="Arial"/>
        <charset val="1"/>
      </rPr>
      <t>300x200x8mm</t>
    </r>
    <r>
      <rPr>
        <sz val="10"/>
        <rFont val="宋体"/>
        <charset val="1"/>
      </rPr>
      <t>热浸镀锌后置埋件</t>
    </r>
    <r>
      <rPr>
        <sz val="10"/>
        <rFont val="Arial"/>
        <charset val="1"/>
      </rPr>
      <t xml:space="preserve">
M12</t>
    </r>
    <r>
      <rPr>
        <sz val="10"/>
        <rFont val="宋体"/>
        <charset val="1"/>
      </rPr>
      <t>不锈钢对穿螺栓</t>
    </r>
  </si>
  <si>
    <t>（2-2）</t>
  </si>
  <si>
    <r>
      <rPr>
        <sz val="10"/>
        <rFont val="Arial"/>
        <charset val="1"/>
      </rPr>
      <t xml:space="preserve">300x200x8mm
</t>
    </r>
    <r>
      <rPr>
        <sz val="10"/>
        <rFont val="宋体"/>
        <charset val="1"/>
      </rPr>
      <t>热浸镀锌后置埋件</t>
    </r>
    <r>
      <rPr>
        <sz val="10"/>
        <rFont val="Arial"/>
        <charset val="1"/>
      </rPr>
      <t xml:space="preserve">
M12
</t>
    </r>
    <r>
      <rPr>
        <sz val="10"/>
        <rFont val="宋体"/>
        <charset val="1"/>
      </rPr>
      <t>不锈钢对穿螺栓</t>
    </r>
  </si>
  <si>
    <t>顶钢架</t>
  </si>
  <si>
    <r>
      <rPr>
        <sz val="10"/>
        <rFont val="Arial"/>
        <charset val="1"/>
      </rPr>
      <t xml:space="preserve">80*60*5mm
</t>
    </r>
    <r>
      <rPr>
        <sz val="10"/>
        <rFont val="宋体"/>
        <charset val="1"/>
      </rPr>
      <t>镀锌钢管</t>
    </r>
  </si>
  <si>
    <r>
      <rPr>
        <sz val="10"/>
        <rFont val="Arial"/>
        <charset val="1"/>
      </rPr>
      <t xml:space="preserve">L50X4
</t>
    </r>
    <r>
      <rPr>
        <sz val="10"/>
        <rFont val="宋体"/>
        <charset val="1"/>
      </rPr>
      <t>镀锌角钢</t>
    </r>
  </si>
  <si>
    <r>
      <rPr>
        <sz val="10"/>
        <rFont val="Arial"/>
        <charset val="1"/>
      </rPr>
      <t xml:space="preserve">300x200x8mm
</t>
    </r>
    <r>
      <rPr>
        <sz val="10"/>
        <rFont val="宋体"/>
        <charset val="1"/>
      </rPr>
      <t>热浸镀锌后置埋件</t>
    </r>
    <r>
      <rPr>
        <sz val="10"/>
        <rFont val="Arial"/>
        <charset val="1"/>
      </rPr>
      <t xml:space="preserve">
M12
</t>
    </r>
    <r>
      <rPr>
        <sz val="10"/>
        <rFont val="宋体"/>
        <charset val="1"/>
      </rPr>
      <t>特殊倒锥型化学锚栓</t>
    </r>
  </si>
  <si>
    <r>
      <rPr>
        <sz val="10"/>
        <rFont val="Arial"/>
        <charset val="1"/>
      </rPr>
      <t>l20*3</t>
    </r>
    <r>
      <rPr>
        <sz val="10"/>
        <rFont val="宋体"/>
        <charset val="1"/>
      </rPr>
      <t>封边角钢</t>
    </r>
  </si>
  <si>
    <t>kg</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</si>
</sst>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Red]\(0.00\)"/>
    <numFmt numFmtId="179" formatCode="0.00_);\(0.00\)"/>
    <numFmt numFmtId="180" formatCode="0.000_ "/>
  </numFmts>
  <fonts count="66">
    <font>
      <sz val="10"/>
      <name val="Arial"/>
      <charset val="1"/>
    </font>
    <font>
      <sz val="20"/>
      <name val="Arial"/>
      <charset val="1"/>
    </font>
    <font>
      <sz val="10"/>
      <name val="宋体"/>
      <charset val="1"/>
    </font>
    <font>
      <sz val="11"/>
      <color theme="1"/>
      <name val="宋体"/>
      <charset val="134"/>
      <scheme val="minor"/>
    </font>
    <font>
      <sz val="12"/>
      <name val="宋体"/>
      <charset val="134"/>
    </font>
    <font>
      <sz val="8"/>
      <color theme="1"/>
      <name val="宋体"/>
      <charset val="134"/>
      <scheme val="minor"/>
    </font>
    <font>
      <b/>
      <sz val="14"/>
      <color theme="1"/>
      <name val="宋体"/>
      <charset val="134"/>
      <scheme val="minor"/>
    </font>
    <font>
      <sz val="9"/>
      <name val="宋体"/>
      <charset val="134"/>
    </font>
    <font>
      <sz val="10"/>
      <color theme="1"/>
      <name val="宋体"/>
      <charset val="134"/>
      <scheme val="minor"/>
    </font>
    <font>
      <sz val="10"/>
      <name val="宋体"/>
      <charset val="134"/>
      <scheme val="minor"/>
    </font>
    <font>
      <sz val="10"/>
      <color rgb="FF000000"/>
      <name val="宋体"/>
      <charset val="134"/>
    </font>
    <font>
      <sz val="10"/>
      <name val="宋体"/>
      <charset val="134"/>
    </font>
    <font>
      <sz val="10"/>
      <color theme="1"/>
      <name val="宋体"/>
      <charset val="134"/>
    </font>
    <font>
      <sz val="10"/>
      <name val="Microsoft YaHei"/>
      <charset val="1"/>
    </font>
    <font>
      <sz val="10"/>
      <name val="Microsoft YaHei"/>
      <charset val="134"/>
    </font>
    <font>
      <sz val="8"/>
      <name val="宋体"/>
      <charset val="134"/>
    </font>
    <font>
      <sz val="11"/>
      <name val="宋体"/>
      <charset val="134"/>
    </font>
    <font>
      <b/>
      <sz val="18"/>
      <name val="宋体"/>
      <charset val="134"/>
    </font>
    <font>
      <sz val="8"/>
      <name val="Microsoft YaHei"/>
      <charset val="134"/>
    </font>
    <font>
      <b/>
      <sz val="16"/>
      <name val="宋体"/>
      <charset val="134"/>
    </font>
    <font>
      <sz val="10"/>
      <color theme="0"/>
      <name val="宋体"/>
      <charset val="134"/>
      <scheme val="minor"/>
    </font>
    <font>
      <sz val="9"/>
      <name val="Arial"/>
      <charset val="1"/>
    </font>
    <font>
      <b/>
      <sz val="16"/>
      <name val="Microsoft YaHei"/>
      <charset val="134"/>
    </font>
    <font>
      <b/>
      <sz val="11"/>
      <name val="Microsoft YaHei"/>
      <charset val="134"/>
    </font>
    <font>
      <b/>
      <sz val="10"/>
      <name val="Microsoft YaHei"/>
      <charset val="134"/>
    </font>
    <font>
      <b/>
      <sz val="11"/>
      <color theme="0"/>
      <name val="Microsoft YaHei"/>
      <charset val="134"/>
    </font>
    <font>
      <sz val="10"/>
      <name val="Microsoft YaHei"/>
      <charset val="0"/>
    </font>
    <font>
      <sz val="8"/>
      <name val="Microsoft YaHei"/>
      <charset val="0"/>
    </font>
    <font>
      <b/>
      <sz val="10"/>
      <color theme="1"/>
      <name val="Microsoft YaHei"/>
      <charset val="134"/>
    </font>
    <font>
      <b/>
      <sz val="12"/>
      <name val="宋体"/>
      <charset val="134"/>
    </font>
    <font>
      <sz val="10"/>
      <color theme="1"/>
      <name val="微软雅黑"/>
      <charset val="134"/>
    </font>
    <font>
      <sz val="10"/>
      <name val="微软雅黑"/>
      <charset val="134"/>
    </font>
    <font>
      <b/>
      <sz val="18"/>
      <color theme="1"/>
      <name val="宋体"/>
      <charset val="134"/>
      <scheme val="minor"/>
    </font>
    <font>
      <b/>
      <sz val="8"/>
      <color theme="0"/>
      <name val="微软雅黑"/>
      <charset val="134"/>
    </font>
    <font>
      <sz val="8"/>
      <color rgb="FFFF0000"/>
      <name val="宋体"/>
      <charset val="134"/>
      <scheme val="minor"/>
    </font>
    <font>
      <sz val="8"/>
      <color rgb="FF000000"/>
      <name val="宋体"/>
      <charset val="134"/>
      <scheme val="minor"/>
    </font>
    <font>
      <sz val="9"/>
      <color rgb="FF000000"/>
      <name val="宋体"/>
      <charset val="134"/>
      <scheme val="minor"/>
    </font>
    <font>
      <sz val="9"/>
      <color rgb="FFFF0000"/>
      <name val="宋体"/>
      <charset val="134"/>
      <scheme val="minor"/>
    </font>
    <font>
      <sz val="9"/>
      <color theme="1"/>
      <name val="宋体"/>
      <charset val="134"/>
      <scheme val="minor"/>
    </font>
    <font>
      <sz val="9"/>
      <color rgb="FF000000"/>
      <name val="宋体"/>
      <charset val="134"/>
    </font>
    <font>
      <b/>
      <sz val="8"/>
      <name val="微软雅黑"/>
      <charset val="134"/>
    </font>
    <font>
      <b/>
      <sz val="16"/>
      <name val="楷体_GB2312"/>
      <charset val="134"/>
    </font>
    <font>
      <sz val="10.5"/>
      <name val="楷体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新細明體"/>
      <charset val="134"/>
    </font>
    <font>
      <sz val="11"/>
      <color indexed="8"/>
      <name val="宋体"/>
      <charset val="134"/>
    </font>
    <font>
      <sz val="12"/>
      <name val="Times New Roman"/>
      <charset val="134"/>
    </font>
    <font>
      <sz val="20"/>
      <name val="宋体"/>
      <charset val="1"/>
    </font>
  </fonts>
  <fills count="38">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5" tint="0.6"/>
        <bgColor indexed="64"/>
      </patternFill>
    </fill>
    <fill>
      <patternFill patternType="solid">
        <fgColor theme="4" tint="0.6"/>
        <bgColor indexed="64"/>
      </patternFill>
    </fill>
    <fill>
      <patternFill patternType="solid">
        <fgColor theme="7"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2" fontId="3" fillId="0" borderId="0" applyFont="0" applyFill="0" applyBorder="0" applyAlignment="0" applyProtection="0">
      <alignment vertical="center"/>
    </xf>
    <xf numFmtId="0" fontId="43" fillId="7" borderId="0" applyNumberFormat="0" applyBorder="0" applyAlignment="0" applyProtection="0">
      <alignment vertical="center"/>
    </xf>
    <xf numFmtId="0" fontId="44" fillId="8" borderId="11"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3" fillId="9" borderId="0" applyNumberFormat="0" applyBorder="0" applyAlignment="0" applyProtection="0">
      <alignment vertical="center"/>
    </xf>
    <xf numFmtId="0" fontId="45" fillId="10" borderId="0" applyNumberFormat="0" applyBorder="0" applyAlignment="0" applyProtection="0">
      <alignment vertical="center"/>
    </xf>
    <xf numFmtId="43" fontId="3" fillId="0" borderId="0" applyFont="0" applyFill="0" applyBorder="0" applyAlignment="0" applyProtection="0">
      <alignment vertical="center"/>
    </xf>
    <xf numFmtId="0" fontId="46" fillId="11" borderId="0" applyNumberFormat="0" applyBorder="0" applyAlignment="0" applyProtection="0">
      <alignment vertical="center"/>
    </xf>
    <xf numFmtId="0" fontId="47" fillId="0" borderId="0" applyNumberFormat="0" applyFill="0" applyBorder="0" applyAlignment="0" applyProtection="0">
      <alignment vertical="center"/>
    </xf>
    <xf numFmtId="9" fontId="3" fillId="0" borderId="0" applyFont="0" applyFill="0" applyBorder="0" applyAlignment="0" applyProtection="0">
      <alignment vertical="center"/>
    </xf>
    <xf numFmtId="0" fontId="48" fillId="0" borderId="0" applyNumberFormat="0" applyFill="0" applyBorder="0" applyAlignment="0" applyProtection="0">
      <alignment vertical="center"/>
    </xf>
    <xf numFmtId="0" fontId="3" fillId="12" borderId="12" applyNumberFormat="0" applyFont="0" applyAlignment="0" applyProtection="0">
      <alignment vertical="center"/>
    </xf>
    <xf numFmtId="0" fontId="46" fillId="13" borderId="0" applyNumberFormat="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13" applyNumberFormat="0" applyFill="0" applyAlignment="0" applyProtection="0">
      <alignment vertical="center"/>
    </xf>
    <xf numFmtId="0" fontId="54" fillId="0" borderId="13" applyNumberFormat="0" applyFill="0" applyAlignment="0" applyProtection="0">
      <alignment vertical="center"/>
    </xf>
    <xf numFmtId="0" fontId="46" fillId="14" borderId="0" applyNumberFormat="0" applyBorder="0" applyAlignment="0" applyProtection="0">
      <alignment vertical="center"/>
    </xf>
    <xf numFmtId="0" fontId="49" fillId="0" borderId="14" applyNumberFormat="0" applyFill="0" applyAlignment="0" applyProtection="0">
      <alignment vertical="center"/>
    </xf>
    <xf numFmtId="0" fontId="46" fillId="15" borderId="0" applyNumberFormat="0" applyBorder="0" applyAlignment="0" applyProtection="0">
      <alignment vertical="center"/>
    </xf>
    <xf numFmtId="0" fontId="55" fillId="16" borderId="15" applyNumberFormat="0" applyAlignment="0" applyProtection="0">
      <alignment vertical="center"/>
    </xf>
    <xf numFmtId="0" fontId="56" fillId="16" borderId="11" applyNumberFormat="0" applyAlignment="0" applyProtection="0">
      <alignment vertical="center"/>
    </xf>
    <xf numFmtId="0" fontId="57" fillId="17" borderId="16" applyNumberFormat="0" applyAlignment="0" applyProtection="0">
      <alignment vertical="center"/>
    </xf>
    <xf numFmtId="0" fontId="43" fillId="18" borderId="0" applyNumberFormat="0" applyBorder="0" applyAlignment="0" applyProtection="0">
      <alignment vertical="center"/>
    </xf>
    <xf numFmtId="0" fontId="46" fillId="19" borderId="0" applyNumberFormat="0" applyBorder="0" applyAlignment="0" applyProtection="0">
      <alignment vertical="center"/>
    </xf>
    <xf numFmtId="0" fontId="58" fillId="0" borderId="17" applyNumberFormat="0" applyFill="0" applyAlignment="0" applyProtection="0">
      <alignment vertical="center"/>
    </xf>
    <xf numFmtId="0" fontId="59" fillId="0" borderId="18" applyNumberFormat="0" applyFill="0" applyAlignment="0" applyProtection="0">
      <alignment vertical="center"/>
    </xf>
    <xf numFmtId="0" fontId="60" fillId="20" borderId="0" applyNumberFormat="0" applyBorder="0" applyAlignment="0" applyProtection="0">
      <alignment vertical="center"/>
    </xf>
    <xf numFmtId="0" fontId="61" fillId="21" borderId="0" applyNumberFormat="0" applyBorder="0" applyAlignment="0" applyProtection="0">
      <alignment vertical="center"/>
    </xf>
    <xf numFmtId="0" fontId="43" fillId="22" borderId="0" applyNumberFormat="0" applyBorder="0" applyAlignment="0" applyProtection="0">
      <alignment vertical="center"/>
    </xf>
    <xf numFmtId="0" fontId="46"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62" fillId="0" borderId="0">
      <alignment vertical="center"/>
    </xf>
    <xf numFmtId="0" fontId="43" fillId="27" borderId="0" applyNumberFormat="0" applyBorder="0" applyAlignment="0" applyProtection="0">
      <alignment vertical="center"/>
    </xf>
    <xf numFmtId="0" fontId="4" fillId="0" borderId="0">
      <alignment vertical="center"/>
    </xf>
    <xf numFmtId="0" fontId="46" fillId="28" borderId="0" applyNumberFormat="0" applyBorder="0" applyAlignment="0" applyProtection="0">
      <alignment vertical="center"/>
    </xf>
    <xf numFmtId="0" fontId="4" fillId="0" borderId="0">
      <alignment vertical="center"/>
    </xf>
    <xf numFmtId="0" fontId="46"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6" fillId="32" borderId="0" applyNumberFormat="0" applyBorder="0" applyAlignment="0" applyProtection="0">
      <alignment vertical="center"/>
    </xf>
    <xf numFmtId="0" fontId="43" fillId="33" borderId="0" applyNumberFormat="0" applyBorder="0" applyAlignment="0" applyProtection="0">
      <alignment vertical="center"/>
    </xf>
    <xf numFmtId="0" fontId="46" fillId="34" borderId="0" applyNumberFormat="0" applyBorder="0" applyAlignment="0" applyProtection="0">
      <alignment vertical="center"/>
    </xf>
    <xf numFmtId="0" fontId="46" fillId="35" borderId="0" applyNumberFormat="0" applyBorder="0" applyAlignment="0" applyProtection="0">
      <alignment vertical="center"/>
    </xf>
    <xf numFmtId="0" fontId="43" fillId="36" borderId="0" applyNumberFormat="0" applyBorder="0" applyAlignment="0" applyProtection="0">
      <alignment vertical="center"/>
    </xf>
    <xf numFmtId="0" fontId="46" fillId="37" borderId="0" applyNumberFormat="0" applyBorder="0" applyAlignment="0" applyProtection="0">
      <alignment vertical="center"/>
    </xf>
    <xf numFmtId="0" fontId="4" fillId="0" borderId="0">
      <alignment vertical="center"/>
    </xf>
    <xf numFmtId="0" fontId="63" fillId="0" borderId="0">
      <alignment vertical="center"/>
    </xf>
    <xf numFmtId="0" fontId="64" fillId="0" borderId="0"/>
    <xf numFmtId="0" fontId="4" fillId="0" borderId="0">
      <alignment vertical="center"/>
    </xf>
    <xf numFmtId="0" fontId="3" fillId="0" borderId="0">
      <alignment vertical="center"/>
    </xf>
    <xf numFmtId="0" fontId="4" fillId="0" borderId="0">
      <alignment vertical="center"/>
    </xf>
    <xf numFmtId="0" fontId="4" fillId="0" borderId="0">
      <alignment vertical="center"/>
    </xf>
  </cellStyleXfs>
  <cellXfs count="219">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2" fillId="0" borderId="1" xfId="0" applyFont="1" applyBorder="1"/>
    <xf numFmtId="0" fontId="0" fillId="0" borderId="1" xfId="0" applyBorder="1"/>
    <xf numFmtId="0" fontId="0" fillId="0" borderId="1" xfId="0" applyFont="1" applyFill="1" applyBorder="1"/>
    <xf numFmtId="0" fontId="2" fillId="0" borderId="1" xfId="0" applyFont="1" applyFill="1" applyBorder="1" applyAlignment="1">
      <alignment wrapText="1"/>
    </xf>
    <xf numFmtId="0" fontId="2" fillId="0" borderId="1" xfId="0" applyFont="1" applyFill="1" applyBorder="1"/>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177" fontId="6" fillId="0" borderId="0" xfId="0" applyNumberFormat="1" applyFont="1" applyFill="1" applyAlignment="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177" fontId="7" fillId="0" borderId="3" xfId="0" applyNumberFormat="1" applyFont="1" applyFill="1" applyBorder="1" applyAlignment="1" applyProtection="1">
      <alignment horizontal="center" vertical="center" wrapText="1"/>
    </xf>
    <xf numFmtId="177" fontId="7" fillId="0" borderId="4"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0" fontId="7" fillId="0" borderId="6"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177" fontId="7" fillId="0" borderId="7" xfId="0" applyNumberFormat="1" applyFont="1" applyFill="1" applyBorder="1" applyAlignment="1" applyProtection="1">
      <alignment horizontal="center" vertical="center" wrapText="1"/>
    </xf>
    <xf numFmtId="177" fontId="7" fillId="0" borderId="3" xfId="0" applyNumberFormat="1" applyFont="1" applyFill="1" applyBorder="1" applyAlignment="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177" fontId="7" fillId="0" borderId="9" xfId="0" applyNumberFormat="1" applyFont="1" applyFill="1" applyBorder="1" applyAlignment="1" applyProtection="1">
      <alignment horizontal="center" vertical="center" wrapText="1"/>
    </xf>
    <xf numFmtId="177" fontId="7" fillId="0" borderId="9"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177" fontId="8" fillId="0" borderId="5" xfId="0" applyNumberFormat="1" applyFont="1" applyFill="1" applyBorder="1" applyAlignment="1">
      <alignment horizontal="left" vertical="center" wrapText="1"/>
    </xf>
    <xf numFmtId="177" fontId="8" fillId="0" borderId="10" xfId="0" applyNumberFormat="1" applyFont="1" applyFill="1" applyBorder="1" applyAlignment="1">
      <alignment horizontal="left" vertical="center" wrapText="1"/>
    </xf>
    <xf numFmtId="177"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8" fillId="0" borderId="10" xfId="0" applyFont="1" applyFill="1" applyBorder="1" applyAlignment="1">
      <alignment horizontal="center" vertical="center"/>
    </xf>
    <xf numFmtId="178" fontId="11" fillId="0" borderId="1" xfId="53"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7" fontId="11" fillId="0" borderId="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177" fontId="12"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5" fillId="0" borderId="1" xfId="0" applyFont="1" applyFill="1" applyBorder="1" applyAlignment="1">
      <alignment vertical="center"/>
    </xf>
    <xf numFmtId="0" fontId="11" fillId="0" borderId="0" xfId="0" applyFont="1" applyFill="1" applyAlignment="1">
      <alignment horizontal="left" vertical="center" wrapText="1"/>
    </xf>
    <xf numFmtId="177" fontId="7" fillId="0" borderId="10"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vertical="center"/>
    </xf>
    <xf numFmtId="0" fontId="11" fillId="0" borderId="0" xfId="0" applyFont="1" applyFill="1" applyAlignment="1">
      <alignment horizontal="center" vertical="center" wrapText="1"/>
    </xf>
    <xf numFmtId="0" fontId="16" fillId="0" borderId="0" xfId="0" applyFont="1" applyFill="1" applyAlignment="1">
      <alignment vertical="center"/>
    </xf>
    <xf numFmtId="0" fontId="11" fillId="0" borderId="0" xfId="0" applyFont="1" applyFill="1" applyAlignment="1">
      <alignment vertical="center"/>
    </xf>
    <xf numFmtId="0" fontId="16" fillId="0" borderId="0" xfId="0" applyFont="1" applyFill="1" applyAlignment="1">
      <alignment horizontal="center" vertical="center"/>
    </xf>
    <xf numFmtId="177" fontId="16" fillId="0" borderId="0" xfId="0" applyNumberFormat="1" applyFont="1" applyFill="1" applyAlignment="1">
      <alignment horizontal="center" vertical="center"/>
    </xf>
    <xf numFmtId="0" fontId="17" fillId="0" borderId="0" xfId="0" applyNumberFormat="1" applyFont="1" applyFill="1" applyBorder="1" applyAlignment="1" applyProtection="1">
      <alignment horizontal="center" vertical="center" wrapText="1"/>
    </xf>
    <xf numFmtId="0" fontId="17" fillId="0" borderId="0" xfId="0" applyNumberFormat="1" applyFont="1" applyFill="1" applyBorder="1" applyAlignment="1" applyProtection="1">
      <alignment horizontal="left" vertical="center" wrapText="1"/>
    </xf>
    <xf numFmtId="177" fontId="17" fillId="0" borderId="0"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177"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center" wrapText="1"/>
    </xf>
    <xf numFmtId="0" fontId="1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11" fillId="0" borderId="1" xfId="0" applyNumberFormat="1" applyFont="1" applyFill="1" applyBorder="1" applyAlignment="1" applyProtection="1">
      <alignment horizontal="left" vertical="center" wrapText="1"/>
    </xf>
    <xf numFmtId="177" fontId="18" fillId="0" borderId="1" xfId="0" applyNumberFormat="1" applyFont="1" applyFill="1" applyBorder="1" applyAlignment="1" applyProtection="1">
      <alignment horizontal="center" vertical="center" wrapText="1"/>
      <protection locked="0"/>
    </xf>
    <xf numFmtId="177" fontId="18" fillId="0" borderId="1" xfId="0" applyNumberFormat="1" applyFont="1" applyFill="1" applyBorder="1" applyAlignment="1">
      <alignment horizontal="center" vertical="center" wrapText="1"/>
    </xf>
    <xf numFmtId="0" fontId="18" fillId="0" borderId="1" xfId="0" applyFont="1" applyFill="1" applyBorder="1" applyAlignment="1" applyProtection="1">
      <alignment horizontal="center" vertical="center" wrapText="1"/>
      <protection locked="0"/>
    </xf>
    <xf numFmtId="177" fontId="15" fillId="0" borderId="1" xfId="0" applyNumberFormat="1" applyFont="1" applyFill="1" applyBorder="1" applyAlignment="1" applyProtection="1">
      <alignment horizontal="center" vertical="center" wrapText="1"/>
    </xf>
    <xf numFmtId="177" fontId="14"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2" fillId="0" borderId="1" xfId="0" applyFont="1" applyBorder="1" applyAlignment="1">
      <alignment horizontal="right"/>
    </xf>
    <xf numFmtId="177" fontId="14"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177" fontId="15" fillId="0" borderId="1" xfId="0" applyNumberFormat="1"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xf>
    <xf numFmtId="0" fontId="4" fillId="0" borderId="0" xfId="0" applyFont="1" applyFill="1" applyAlignment="1">
      <alignment horizontal="center" vertical="center"/>
    </xf>
    <xf numFmtId="0" fontId="19"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7" fontId="9" fillId="0" borderId="1" xfId="0" applyNumberFormat="1" applyFont="1" applyFill="1" applyBorder="1" applyAlignment="1" applyProtection="1">
      <alignment vertical="center" wrapText="1"/>
      <protection locked="0"/>
    </xf>
    <xf numFmtId="179"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177" fontId="11" fillId="0" borderId="1" xfId="0" applyNumberFormat="1" applyFont="1" applyFill="1" applyBorder="1" applyAlignment="1">
      <alignment horizontal="center" vertical="center" wrapText="1"/>
    </xf>
    <xf numFmtId="177" fontId="20" fillId="0" borderId="1" xfId="0" applyNumberFormat="1" applyFont="1" applyFill="1" applyBorder="1" applyAlignment="1" applyProtection="1">
      <alignment vertical="center" wrapText="1"/>
      <protection locked="0"/>
    </xf>
    <xf numFmtId="177" fontId="20" fillId="0" borderId="1" xfId="0" applyNumberFormat="1" applyFont="1" applyFill="1" applyBorder="1" applyAlignment="1">
      <alignment horizontal="center" vertical="center" wrapText="1"/>
    </xf>
    <xf numFmtId="177" fontId="9" fillId="0" borderId="1" xfId="0" applyNumberFormat="1" applyFont="1" applyFill="1" applyBorder="1" applyAlignment="1" applyProtection="1">
      <alignment wrapText="1"/>
      <protection locked="0"/>
    </xf>
    <xf numFmtId="0" fontId="11" fillId="0" borderId="1" xfId="0" applyFont="1" applyFill="1" applyBorder="1" applyAlignment="1">
      <alignment horizontal="center"/>
    </xf>
    <xf numFmtId="177" fontId="9" fillId="0" borderId="1" xfId="0" applyNumberFormat="1" applyFont="1" applyFill="1" applyBorder="1" applyAlignment="1">
      <alignment horizontal="center" wrapText="1"/>
    </xf>
    <xf numFmtId="0" fontId="11" fillId="0" borderId="1" xfId="0" applyFont="1" applyFill="1" applyBorder="1" applyAlignment="1" applyProtection="1">
      <alignment horizontal="center" vertical="center" wrapText="1"/>
      <protection locked="0"/>
    </xf>
    <xf numFmtId="0" fontId="11" fillId="0" borderId="1" xfId="57"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xf numFmtId="0" fontId="0" fillId="0" borderId="1" xfId="0" applyFont="1" applyFill="1" applyBorder="1" applyAlignment="1"/>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11" fillId="0" borderId="1" xfId="0" applyFont="1" applyFill="1" applyBorder="1" applyAlignment="1">
      <alignment vertical="center"/>
    </xf>
    <xf numFmtId="0" fontId="15" fillId="0" borderId="0" xfId="0" applyFont="1" applyFill="1" applyAlignment="1">
      <alignment vertical="center"/>
    </xf>
    <xf numFmtId="0" fontId="9" fillId="0" borderId="1" xfId="0" applyFont="1" applyFill="1" applyBorder="1" applyAlignment="1">
      <alignment horizontal="center" vertical="center"/>
    </xf>
    <xf numFmtId="0" fontId="4" fillId="0" borderId="0" xfId="0" applyNumberFormat="1" applyFont="1" applyFill="1" applyAlignment="1">
      <alignment vertical="center"/>
    </xf>
    <xf numFmtId="0" fontId="21" fillId="0" borderId="0" xfId="0" applyFont="1" applyFill="1" applyAlignment="1" applyProtection="1">
      <alignment vertical="center"/>
      <protection locked="0"/>
    </xf>
    <xf numFmtId="0" fontId="21" fillId="0" borderId="0" xfId="0" applyFont="1" applyFill="1" applyProtection="1">
      <protection locked="0"/>
    </xf>
    <xf numFmtId="0" fontId="21" fillId="0" borderId="0" xfId="0" applyFont="1" applyFill="1" applyBorder="1" applyAlignment="1" applyProtection="1">
      <alignment horizontal="center"/>
    </xf>
    <xf numFmtId="0" fontId="21" fillId="0" borderId="0" xfId="0" applyFont="1" applyFill="1" applyBorder="1" applyProtection="1"/>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21" fillId="0" borderId="0" xfId="0" applyFont="1" applyFill="1" applyBorder="1" applyProtection="1">
      <protection locked="0"/>
    </xf>
    <xf numFmtId="0" fontId="22" fillId="0" borderId="0" xfId="0" applyFont="1" applyFill="1" applyAlignment="1" applyProtection="1">
      <alignment horizontal="center" vertical="center" wrapText="1"/>
    </xf>
    <xf numFmtId="0" fontId="23" fillId="0" borderId="3" xfId="0" applyFont="1" applyFill="1" applyBorder="1" applyAlignment="1" applyProtection="1">
      <alignment horizontal="center" vertical="center" wrapText="1"/>
    </xf>
    <xf numFmtId="177" fontId="23" fillId="0" borderId="1" xfId="0" applyNumberFormat="1" applyFont="1" applyFill="1" applyBorder="1" applyAlignment="1">
      <alignment horizontal="center" vertical="center" wrapText="1"/>
    </xf>
    <xf numFmtId="0" fontId="23" fillId="0" borderId="7" xfId="0" applyFont="1" applyFill="1" applyBorder="1" applyAlignment="1" applyProtection="1">
      <alignment horizontal="center" vertical="center" wrapText="1"/>
    </xf>
    <xf numFmtId="177" fontId="23" fillId="0" borderId="3" xfId="0" applyNumberFormat="1" applyFont="1" applyFill="1" applyBorder="1" applyAlignment="1">
      <alignment horizontal="center" vertical="center" wrapText="1"/>
    </xf>
    <xf numFmtId="0" fontId="23" fillId="0" borderId="9" xfId="0" applyFont="1" applyFill="1" applyBorder="1" applyAlignment="1" applyProtection="1">
      <alignment horizontal="center" vertical="center" wrapText="1"/>
    </xf>
    <xf numFmtId="177" fontId="23" fillId="0" borderId="9"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0" fontId="2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24" fillId="0" borderId="1" xfId="0" applyFont="1" applyFill="1" applyBorder="1" applyAlignment="1" applyProtection="1">
      <alignment horizontal="center" vertical="center" wrapText="1"/>
    </xf>
    <xf numFmtId="177" fontId="14" fillId="0" borderId="1" xfId="0" applyNumberFormat="1" applyFont="1" applyFill="1" applyBorder="1" applyAlignment="1" applyProtection="1">
      <alignment horizontal="center" vertical="center" wrapText="1"/>
    </xf>
    <xf numFmtId="179" fontId="14" fillId="0" borderId="1" xfId="0" applyNumberFormat="1" applyFont="1" applyFill="1" applyBorder="1" applyAlignment="1" applyProtection="1">
      <alignment horizontal="center" vertical="center" wrapText="1"/>
      <protection locked="0"/>
    </xf>
    <xf numFmtId="180" fontId="14"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xf>
    <xf numFmtId="0" fontId="23" fillId="0" borderId="3" xfId="0" applyFont="1" applyFill="1" applyBorder="1" applyAlignment="1" applyProtection="1">
      <alignment horizontal="center" vertical="center" wrapText="1"/>
      <protection locked="0"/>
    </xf>
    <xf numFmtId="177" fontId="23" fillId="0" borderId="7" xfId="0" applyNumberFormat="1" applyFont="1" applyFill="1" applyBorder="1" applyAlignment="1">
      <alignment horizontal="center" vertical="center" wrapText="1"/>
    </xf>
    <xf numFmtId="0" fontId="23" fillId="0" borderId="7" xfId="0" applyFont="1" applyFill="1" applyBorder="1" applyAlignment="1" applyProtection="1">
      <alignment horizontal="center" vertical="center" wrapText="1"/>
      <protection locked="0"/>
    </xf>
    <xf numFmtId="177" fontId="25" fillId="2" borderId="1" xfId="0" applyNumberFormat="1" applyFont="1" applyFill="1" applyBorder="1" applyAlignment="1">
      <alignment horizontal="center" vertical="center" wrapText="1"/>
    </xf>
    <xf numFmtId="0" fontId="23" fillId="0" borderId="9"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protection locked="0"/>
    </xf>
    <xf numFmtId="0" fontId="27" fillId="0" borderId="1" xfId="0" applyFont="1" applyFill="1" applyBorder="1" applyAlignment="1" applyProtection="1">
      <alignment horizontal="center" vertical="center" wrapText="1"/>
      <protection locked="0"/>
    </xf>
    <xf numFmtId="0" fontId="28" fillId="0" borderId="1" xfId="0" applyNumberFormat="1" applyFont="1" applyFill="1" applyBorder="1" applyAlignment="1" applyProtection="1">
      <alignment horizontal="center" vertical="center" wrapText="1"/>
    </xf>
    <xf numFmtId="0" fontId="24" fillId="0" borderId="1" xfId="0" applyNumberFormat="1" applyFont="1" applyFill="1" applyBorder="1" applyAlignment="1" applyProtection="1">
      <alignment horizontal="center" vertical="center" wrapText="1"/>
    </xf>
    <xf numFmtId="0" fontId="13" fillId="0" borderId="0" xfId="0" applyFont="1" applyFill="1" applyBorder="1" applyAlignment="1" applyProtection="1">
      <alignment horizontal="left" vertical="center" wrapText="1"/>
    </xf>
    <xf numFmtId="0" fontId="13" fillId="0" borderId="0" xfId="0" applyFont="1" applyFill="1" applyBorder="1" applyAlignment="1" applyProtection="1">
      <alignment horizontal="center" vertical="center" wrapText="1"/>
    </xf>
    <xf numFmtId="0" fontId="14" fillId="0" borderId="0"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29" fillId="0" borderId="0" xfId="0" applyFont="1" applyFill="1" applyAlignment="1">
      <alignment horizontal="center" vertical="center" wrapText="1"/>
    </xf>
    <xf numFmtId="0" fontId="30" fillId="0" borderId="1" xfId="0" applyFont="1" applyFill="1" applyBorder="1" applyAlignment="1">
      <alignment horizontal="center" vertical="center"/>
    </xf>
    <xf numFmtId="177" fontId="31" fillId="0" borderId="1" xfId="0" applyNumberFormat="1" applyFont="1" applyFill="1" applyBorder="1" applyAlignment="1">
      <alignment horizontal="center" vertical="center" wrapText="1"/>
    </xf>
    <xf numFmtId="177" fontId="30"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8" fontId="4" fillId="0" borderId="1" xfId="0" applyNumberFormat="1" applyFont="1" applyFill="1" applyBorder="1" applyAlignment="1" applyProtection="1">
      <alignment horizontal="center" vertical="center" wrapText="1"/>
      <protection locked="0"/>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16" fillId="0" borderId="1" xfId="0" applyFont="1" applyFill="1" applyBorder="1" applyAlignment="1">
      <alignment vertical="center"/>
    </xf>
    <xf numFmtId="0" fontId="3" fillId="0" borderId="0" xfId="0" applyFont="1" applyFill="1" applyAlignment="1">
      <alignment horizontal="center" vertical="center"/>
    </xf>
    <xf numFmtId="10" fontId="3" fillId="0" borderId="0" xfId="0" applyNumberFormat="1" applyFont="1" applyFill="1" applyAlignment="1">
      <alignment horizontal="center" vertical="center"/>
    </xf>
    <xf numFmtId="177" fontId="3" fillId="0" borderId="0" xfId="11" applyNumberFormat="1" applyFont="1" applyAlignment="1">
      <alignment horizontal="center" vertical="center"/>
    </xf>
    <xf numFmtId="0" fontId="6" fillId="0" borderId="0" xfId="0" applyFont="1" applyFill="1" applyAlignment="1">
      <alignment horizontal="center" vertical="center" wrapText="1"/>
    </xf>
    <xf numFmtId="0" fontId="32" fillId="0" borderId="0" xfId="0" applyFont="1" applyFill="1" applyAlignment="1">
      <alignment horizontal="center" vertical="center"/>
    </xf>
    <xf numFmtId="10" fontId="32" fillId="0" borderId="0" xfId="0" applyNumberFormat="1" applyFont="1" applyFill="1" applyAlignment="1">
      <alignment horizontal="center" vertical="center"/>
    </xf>
    <xf numFmtId="0" fontId="33" fillId="3" borderId="1" xfId="0" applyFont="1" applyFill="1" applyBorder="1" applyAlignment="1">
      <alignment horizontal="center" vertical="center" wrapText="1"/>
    </xf>
    <xf numFmtId="10" fontId="33" fillId="3" borderId="1" xfId="0" applyNumberFormat="1" applyFont="1" applyFill="1" applyBorder="1" applyAlignment="1">
      <alignment horizontal="center" vertical="center" wrapText="1"/>
    </xf>
    <xf numFmtId="0" fontId="33" fillId="4" borderId="1" xfId="0" applyFont="1" applyFill="1" applyBorder="1" applyAlignment="1">
      <alignment horizontal="center" vertical="center" wrapText="1"/>
    </xf>
    <xf numFmtId="2" fontId="34" fillId="4" borderId="1" xfId="0" applyNumberFormat="1" applyFont="1" applyFill="1" applyBorder="1" applyAlignment="1">
      <alignment horizontal="center" vertical="center"/>
    </xf>
    <xf numFmtId="0" fontId="35" fillId="4" borderId="1" xfId="0" applyFont="1" applyFill="1" applyBorder="1" applyAlignment="1">
      <alignment horizontal="center" vertical="center" wrapText="1"/>
    </xf>
    <xf numFmtId="2" fontId="34" fillId="4" borderId="1" xfId="0" applyNumberFormat="1" applyFont="1" applyFill="1" applyBorder="1" applyAlignment="1">
      <alignment horizontal="center" vertical="center" wrapText="1"/>
    </xf>
    <xf numFmtId="177" fontId="34" fillId="4" borderId="1" xfId="0" applyNumberFormat="1" applyFont="1" applyFill="1" applyBorder="1" applyAlignment="1">
      <alignment horizontal="center" vertical="center" wrapText="1"/>
    </xf>
    <xf numFmtId="0" fontId="36" fillId="5" borderId="1" xfId="0" applyFont="1" applyFill="1" applyBorder="1" applyAlignment="1">
      <alignment horizontal="center" vertical="center"/>
    </xf>
    <xf numFmtId="0" fontId="36" fillId="5" borderId="1" xfId="0" applyFont="1" applyFill="1" applyBorder="1" applyAlignment="1">
      <alignment horizontal="center" vertical="center" wrapText="1"/>
    </xf>
    <xf numFmtId="10" fontId="37" fillId="5" borderId="1" xfId="0" applyNumberFormat="1" applyFont="1" applyFill="1" applyBorder="1" applyAlignment="1">
      <alignment horizontal="center" vertical="center" wrapText="1"/>
    </xf>
    <xf numFmtId="177" fontId="38" fillId="5" borderId="1" xfId="0" applyNumberFormat="1" applyFont="1" applyFill="1" applyBorder="1" applyAlignment="1">
      <alignment horizontal="center" vertical="center"/>
    </xf>
    <xf numFmtId="0" fontId="36" fillId="6" borderId="1" xfId="0" applyFont="1" applyFill="1" applyBorder="1" applyAlignment="1">
      <alignment horizontal="center" vertical="center"/>
    </xf>
    <xf numFmtId="0" fontId="39" fillId="6" borderId="1" xfId="0" applyFont="1" applyFill="1" applyBorder="1" applyAlignment="1">
      <alignment horizontal="center" vertical="center" wrapText="1"/>
    </xf>
    <xf numFmtId="10" fontId="38" fillId="6" borderId="1" xfId="11" applyNumberFormat="1" applyFont="1" applyFill="1" applyBorder="1" applyAlignment="1">
      <alignment horizontal="center" vertical="center"/>
    </xf>
    <xf numFmtId="177" fontId="38" fillId="6" borderId="1" xfId="0" applyNumberFormat="1" applyFont="1" applyFill="1" applyBorder="1" applyAlignment="1">
      <alignment horizontal="center" vertical="center"/>
    </xf>
    <xf numFmtId="0" fontId="36" fillId="0" borderId="1" xfId="0" applyFont="1" applyFill="1" applyBorder="1" applyAlignment="1">
      <alignment horizontal="center" vertical="center"/>
    </xf>
    <xf numFmtId="10" fontId="38" fillId="0" borderId="1" xfId="11" applyNumberFormat="1" applyFont="1" applyBorder="1" applyAlignment="1">
      <alignment horizontal="center" vertical="center"/>
    </xf>
    <xf numFmtId="0" fontId="38" fillId="0" borderId="1" xfId="0" applyFont="1" applyFill="1" applyBorder="1" applyAlignment="1">
      <alignment horizontal="center" vertical="center"/>
    </xf>
    <xf numFmtId="0" fontId="37" fillId="0" borderId="0" xfId="0" applyFont="1" applyFill="1" applyAlignment="1">
      <alignment horizontal="left" vertical="center"/>
    </xf>
    <xf numFmtId="10" fontId="37" fillId="0" borderId="0" xfId="0" applyNumberFormat="1" applyFont="1" applyFill="1" applyAlignment="1">
      <alignment horizontal="left" vertical="center"/>
    </xf>
    <xf numFmtId="0" fontId="9" fillId="0" borderId="0" xfId="0" applyFont="1" applyFill="1" applyAlignment="1">
      <alignment vertical="center" wrapText="1"/>
    </xf>
    <xf numFmtId="0" fontId="9" fillId="0" borderId="0" xfId="0" applyFont="1" applyFill="1" applyAlignment="1">
      <alignment vertical="center"/>
    </xf>
    <xf numFmtId="10" fontId="9" fillId="0" borderId="0" xfId="0" applyNumberFormat="1" applyFont="1" applyFill="1" applyAlignment="1">
      <alignment vertical="center"/>
    </xf>
    <xf numFmtId="0" fontId="9" fillId="0" borderId="0" xfId="0" applyFont="1" applyFill="1" applyBorder="1" applyAlignment="1">
      <alignment horizontal="right" vertical="center" wrapText="1"/>
    </xf>
    <xf numFmtId="177" fontId="32" fillId="0" borderId="0" xfId="11" applyNumberFormat="1" applyFont="1" applyAlignment="1">
      <alignment horizontal="center" vertical="center"/>
    </xf>
    <xf numFmtId="177" fontId="33" fillId="3" borderId="1" xfId="11" applyNumberFormat="1" applyFont="1" applyFill="1" applyBorder="1" applyAlignment="1">
      <alignment horizontal="center" vertical="center" wrapText="1"/>
    </xf>
    <xf numFmtId="9" fontId="34" fillId="4" borderId="1" xfId="0" applyNumberFormat="1" applyFont="1" applyFill="1" applyBorder="1" applyAlignment="1">
      <alignment horizontal="center" vertical="center" wrapText="1"/>
    </xf>
    <xf numFmtId="177" fontId="34" fillId="4" borderId="1" xfId="11" applyNumberFormat="1" applyFont="1" applyFill="1" applyBorder="1" applyAlignment="1">
      <alignment horizontal="center" vertical="center" wrapText="1"/>
    </xf>
    <xf numFmtId="10" fontId="34" fillId="4" borderId="1" xfId="0" applyNumberFormat="1" applyFont="1" applyFill="1" applyBorder="1" applyAlignment="1">
      <alignment horizontal="center" vertical="center"/>
    </xf>
    <xf numFmtId="0" fontId="40" fillId="4" borderId="1" xfId="0" applyFont="1" applyFill="1" applyBorder="1" applyAlignment="1">
      <alignment horizontal="center" vertical="center" wrapText="1"/>
    </xf>
    <xf numFmtId="9" fontId="37" fillId="5" borderId="1" xfId="0" applyNumberFormat="1" applyFont="1" applyFill="1" applyBorder="1" applyAlignment="1">
      <alignment horizontal="center" vertical="center" wrapText="1"/>
    </xf>
    <xf numFmtId="10" fontId="38" fillId="5" borderId="1" xfId="0" applyNumberFormat="1" applyFont="1" applyFill="1" applyBorder="1" applyAlignment="1">
      <alignment horizontal="center" vertical="center"/>
    </xf>
    <xf numFmtId="0" fontId="38" fillId="5" borderId="1" xfId="0" applyFont="1" applyFill="1" applyBorder="1" applyAlignment="1">
      <alignment horizontal="center" vertical="center" wrapText="1"/>
    </xf>
    <xf numFmtId="9" fontId="37" fillId="6" borderId="1" xfId="0" applyNumberFormat="1" applyFont="1" applyFill="1" applyBorder="1" applyAlignment="1">
      <alignment horizontal="center" vertical="center" wrapText="1"/>
    </xf>
    <xf numFmtId="10" fontId="38" fillId="6" borderId="1" xfId="0" applyNumberFormat="1" applyFont="1" applyFill="1" applyBorder="1" applyAlignment="1">
      <alignment horizontal="center" vertical="center"/>
    </xf>
    <xf numFmtId="177" fontId="38" fillId="6" borderId="4" xfId="0" applyNumberFormat="1" applyFont="1" applyFill="1" applyBorder="1" applyAlignment="1">
      <alignment horizontal="left" vertical="center"/>
    </xf>
    <xf numFmtId="177" fontId="38" fillId="6" borderId="5" xfId="0" applyNumberFormat="1" applyFont="1" applyFill="1" applyBorder="1" applyAlignment="1">
      <alignment horizontal="left" vertical="center"/>
    </xf>
    <xf numFmtId="177" fontId="38" fillId="6" borderId="10" xfId="0" applyNumberFormat="1" applyFont="1" applyFill="1" applyBorder="1" applyAlignment="1">
      <alignment horizontal="left" vertical="center"/>
    </xf>
    <xf numFmtId="177" fontId="38" fillId="0" borderId="1" xfId="11" applyNumberFormat="1" applyFont="1" applyBorder="1" applyAlignment="1">
      <alignment horizontal="center" vertical="center"/>
    </xf>
    <xf numFmtId="10" fontId="38" fillId="0" borderId="1" xfId="0" applyNumberFormat="1" applyFont="1" applyFill="1" applyBorder="1" applyAlignment="1">
      <alignment horizontal="center" vertical="center"/>
    </xf>
    <xf numFmtId="0" fontId="38" fillId="0" borderId="1" xfId="0" applyFont="1" applyFill="1" applyBorder="1" applyAlignment="1">
      <alignment horizontal="center" vertical="center" wrapText="1"/>
    </xf>
    <xf numFmtId="177" fontId="37" fillId="0" borderId="0" xfId="11" applyNumberFormat="1" applyFont="1" applyAlignment="1">
      <alignment horizontal="left" vertical="center"/>
    </xf>
    <xf numFmtId="0" fontId="9" fillId="0" borderId="0" xfId="0" applyFont="1" applyFill="1" applyAlignment="1">
      <alignment horizontal="center" vertical="center"/>
    </xf>
    <xf numFmtId="177" fontId="9" fillId="0" borderId="0" xfId="11" applyNumberFormat="1" applyFont="1" applyFill="1" applyAlignment="1">
      <alignment horizontal="center" vertical="center"/>
    </xf>
    <xf numFmtId="10" fontId="9" fillId="0" borderId="0" xfId="0" applyNumberFormat="1" applyFont="1" applyFill="1" applyAlignment="1">
      <alignment horizontal="left" vertical="top" wrapText="1"/>
    </xf>
    <xf numFmtId="0" fontId="9" fillId="0" borderId="0" xfId="0" applyFont="1" applyFill="1" applyAlignment="1">
      <alignment horizontal="left" vertical="top" wrapText="1"/>
    </xf>
    <xf numFmtId="177" fontId="9" fillId="0" borderId="0" xfId="11" applyNumberFormat="1" applyFont="1" applyFill="1" applyAlignment="1">
      <alignment vertical="center"/>
    </xf>
    <xf numFmtId="178" fontId="3" fillId="0" borderId="0" xfId="0" applyNumberFormat="1" applyFont="1" applyFill="1" applyAlignment="1">
      <alignment horizontal="center" vertical="center"/>
    </xf>
    <xf numFmtId="0" fontId="4" fillId="0" borderId="0" xfId="0" applyNumberFormat="1" applyFont="1" applyFill="1" applyBorder="1" applyAlignment="1">
      <alignment vertical="center" wrapText="1"/>
    </xf>
    <xf numFmtId="0" fontId="41" fillId="0" borderId="0" xfId="0" applyFont="1" applyFill="1" applyBorder="1" applyAlignment="1">
      <alignment horizontal="center" vertical="center"/>
    </xf>
    <xf numFmtId="0" fontId="42" fillId="0" borderId="1" xfId="0" applyNumberFormat="1" applyFont="1" applyFill="1" applyBorder="1" applyAlignment="1">
      <alignment horizontal="justify" vertical="center" wrapText="1"/>
    </xf>
    <xf numFmtId="0" fontId="42" fillId="0" borderId="0" xfId="0" applyNumberFormat="1" applyFont="1" applyFill="1" applyBorder="1" applyAlignment="1">
      <alignment horizontal="justify" vertical="center" wrapText="1"/>
    </xf>
    <xf numFmtId="0" fontId="4" fillId="0" borderId="0" xfId="0" applyNumberFormat="1" applyFont="1" applyFill="1" applyAlignment="1">
      <alignment horizontal="left" vertical="top" wrapText="1"/>
    </xf>
    <xf numFmtId="0" fontId="42" fillId="0" borderId="1" xfId="0" applyNumberFormat="1" applyFont="1" applyFill="1" applyBorder="1" applyAlignment="1">
      <alignment horizontal="left" vertical="center" wrapText="1"/>
    </xf>
    <xf numFmtId="0" fontId="42" fillId="0" borderId="0" xfId="0" applyNumberFormat="1" applyFont="1" applyFill="1" applyBorder="1" applyAlignment="1">
      <alignment horizontal="lef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常规_凯德·风尚三期景观工程植物造价估算" xfId="38"/>
    <cellStyle name="40% - 强调文字颜色 2" xfId="39" builtinId="35"/>
    <cellStyle name="常规 53" xfId="40"/>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3232" xfId="52"/>
    <cellStyle name="常规 2" xfId="53"/>
    <cellStyle name="常规_一、绿化清单1-广东、福建_2" xfId="54"/>
    <cellStyle name="常规 3" xfId="55"/>
    <cellStyle name="常规 5" xfId="56"/>
    <cellStyle name="常规 7" xfId="57"/>
    <cellStyle name="常规_蓝湖郡调拨单统计" xfId="58"/>
  </cellStyles>
  <dxfs count="1">
    <dxf>
      <font>
        <b val="0"/>
        <i val="0"/>
        <strike val="0"/>
        <u val="none"/>
        <sz val="12"/>
        <color theme="0"/>
      </font>
    </dxf>
  </dxfs>
  <tableStyles count="0" defaultTableStyle="Table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230505</xdr:colOff>
      <xdr:row>30</xdr:row>
      <xdr:rowOff>4445</xdr:rowOff>
    </xdr:from>
    <xdr:to>
      <xdr:col>17</xdr:col>
      <xdr:colOff>73025</xdr:colOff>
      <xdr:row>32</xdr:row>
      <xdr:rowOff>127000</xdr:rowOff>
    </xdr:to>
    <xdr:pic>
      <xdr:nvPicPr>
        <xdr:cNvPr id="3" name="图片 2" descr="1656744232649"/>
        <xdr:cNvPicPr>
          <a:picLocks noChangeAspect="1"/>
        </xdr:cNvPicPr>
      </xdr:nvPicPr>
      <xdr:blipFill>
        <a:blip r:embed="rId1"/>
        <a:stretch>
          <a:fillRect/>
        </a:stretch>
      </xdr:blipFill>
      <xdr:spPr>
        <a:xfrm>
          <a:off x="10271125" y="20210145"/>
          <a:ext cx="1671320" cy="15322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E11"/>
  <sheetViews>
    <sheetView workbookViewId="0">
      <selection activeCell="E4" sqref="E4:E7"/>
    </sheetView>
  </sheetViews>
  <sheetFormatPr defaultColWidth="10" defaultRowHeight="14.25" outlineLevelCol="4"/>
  <cols>
    <col min="1" max="1" width="98.8571428571429" style="117" customWidth="1"/>
    <col min="2" max="3" width="10.2857142857143" style="117"/>
    <col min="4" max="4" width="10.2857142857143" style="117" customWidth="1"/>
    <col min="5" max="5" width="58" style="117" customWidth="1"/>
    <col min="6" max="32" width="10.2857142857143" style="117"/>
    <col min="33" max="16384" width="10" style="117"/>
  </cols>
  <sheetData>
    <row r="1" ht="49" customHeight="1" spans="1:1">
      <c r="A1" s="213" t="s">
        <v>0</v>
      </c>
    </row>
    <row r="2" s="212" customFormat="1" ht="27" customHeight="1" spans="1:4">
      <c r="A2" s="214" t="s">
        <v>1</v>
      </c>
      <c r="D2" s="213"/>
    </row>
    <row r="3" s="212" customFormat="1" ht="42" customHeight="1" spans="1:4">
      <c r="A3" s="214" t="s">
        <v>2</v>
      </c>
      <c r="D3" s="215"/>
    </row>
    <row r="4" s="212" customFormat="1" ht="50" customHeight="1" spans="1:5">
      <c r="A4" s="214" t="s">
        <v>3</v>
      </c>
      <c r="D4" s="215"/>
      <c r="E4" s="216"/>
    </row>
    <row r="5" s="212" customFormat="1" ht="36" customHeight="1" spans="1:5">
      <c r="A5" s="214" t="s">
        <v>4</v>
      </c>
      <c r="D5" s="215"/>
      <c r="E5" s="216"/>
    </row>
    <row r="6" s="212" customFormat="1" ht="61" customHeight="1" spans="1:5">
      <c r="A6" s="214" t="s">
        <v>5</v>
      </c>
      <c r="D6" s="215"/>
      <c r="E6" s="216"/>
    </row>
    <row r="7" s="212" customFormat="1" ht="57" customHeight="1" spans="1:5">
      <c r="A7" s="214" t="s">
        <v>6</v>
      </c>
      <c r="D7" s="215"/>
      <c r="E7" s="216"/>
    </row>
    <row r="8" s="212" customFormat="1" ht="53" customHeight="1" spans="1:4">
      <c r="A8" s="217" t="s">
        <v>7</v>
      </c>
      <c r="D8" s="215"/>
    </row>
    <row r="9" s="212" customFormat="1" ht="30" customHeight="1" spans="1:4">
      <c r="A9" s="217" t="s">
        <v>8</v>
      </c>
      <c r="D9" s="218"/>
    </row>
    <row r="10" ht="40" customHeight="1" spans="1:4">
      <c r="A10" s="217" t="s">
        <v>9</v>
      </c>
      <c r="D10" s="218"/>
    </row>
    <row r="11" spans="4:4">
      <c r="D11" s="218"/>
    </row>
  </sheetData>
  <mergeCells count="1">
    <mergeCell ref="E4:E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tabSelected="1" workbookViewId="0">
      <selection activeCell="R5" sqref="R5"/>
    </sheetView>
  </sheetViews>
  <sheetFormatPr defaultColWidth="10.2857142857143" defaultRowHeight="13.5"/>
  <cols>
    <col min="1" max="1" width="4.42857142857143" style="158" customWidth="1"/>
    <col min="2" max="2" width="15.2857142857143" style="158" customWidth="1"/>
    <col min="3" max="3" width="10.5714285714286" style="158" customWidth="1"/>
    <col min="4" max="4" width="8.71428571428571" style="158" customWidth="1"/>
    <col min="5" max="5" width="5.85714285714286" style="158" customWidth="1"/>
    <col min="6" max="6" width="8.71428571428571" style="159" customWidth="1"/>
    <col min="7" max="7" width="9.42857142857143" style="158" customWidth="1"/>
    <col min="8" max="8" width="8.57142857142857" style="158" customWidth="1"/>
    <col min="9" max="9" width="8" style="158" customWidth="1"/>
    <col min="10" max="10" width="9.85714285714286" style="158" customWidth="1"/>
    <col min="11" max="11" width="8.57142857142857" style="160" customWidth="1"/>
    <col min="12" max="12" width="6.85714285714286" style="159" customWidth="1"/>
    <col min="13" max="13" width="9.42857142857143" style="158" customWidth="1"/>
    <col min="14" max="14" width="8.42857142857143" style="158" customWidth="1"/>
    <col min="15" max="15" width="9.85714285714286" style="158" customWidth="1"/>
    <col min="16" max="16384" width="10.2857142857143" style="158"/>
  </cols>
  <sheetData>
    <row r="1" s="158" customFormat="1" ht="27" customHeight="1" spans="1:15">
      <c r="A1" s="161" t="s">
        <v>10</v>
      </c>
      <c r="B1" s="162"/>
      <c r="C1" s="162"/>
      <c r="D1" s="162"/>
      <c r="E1" s="162"/>
      <c r="F1" s="163"/>
      <c r="G1" s="162"/>
      <c r="H1" s="162"/>
      <c r="I1" s="162"/>
      <c r="J1" s="162"/>
      <c r="K1" s="188"/>
      <c r="L1" s="163"/>
      <c r="M1" s="162"/>
      <c r="N1" s="162"/>
      <c r="O1" s="162"/>
    </row>
    <row r="2" s="158" customFormat="1" ht="29" customHeight="1" spans="1:15">
      <c r="A2" s="164" t="s">
        <v>11</v>
      </c>
      <c r="B2" s="164" t="s">
        <v>12</v>
      </c>
      <c r="C2" s="164" t="s">
        <v>13</v>
      </c>
      <c r="D2" s="164" t="s">
        <v>14</v>
      </c>
      <c r="E2" s="164" t="s">
        <v>15</v>
      </c>
      <c r="F2" s="165" t="s">
        <v>16</v>
      </c>
      <c r="G2" s="164"/>
      <c r="H2" s="164" t="s">
        <v>17</v>
      </c>
      <c r="I2" s="164"/>
      <c r="J2" s="164"/>
      <c r="K2" s="189" t="s">
        <v>18</v>
      </c>
      <c r="L2" s="165"/>
      <c r="M2" s="164" t="s">
        <v>19</v>
      </c>
      <c r="N2" s="164" t="s">
        <v>20</v>
      </c>
      <c r="O2" s="164" t="s">
        <v>21</v>
      </c>
    </row>
    <row r="3" s="158" customFormat="1" ht="42" customHeight="1" spans="1:15">
      <c r="A3" s="164"/>
      <c r="B3" s="164"/>
      <c r="C3" s="164"/>
      <c r="D3" s="164"/>
      <c r="E3" s="164"/>
      <c r="F3" s="165" t="s">
        <v>22</v>
      </c>
      <c r="G3" s="164" t="s">
        <v>23</v>
      </c>
      <c r="H3" s="164" t="s">
        <v>24</v>
      </c>
      <c r="I3" s="164" t="s">
        <v>25</v>
      </c>
      <c r="J3" s="164" t="s">
        <v>26</v>
      </c>
      <c r="K3" s="189" t="s">
        <v>27</v>
      </c>
      <c r="L3" s="165" t="s">
        <v>28</v>
      </c>
      <c r="M3" s="164"/>
      <c r="N3" s="164"/>
      <c r="O3" s="164"/>
    </row>
    <row r="4" s="158" customFormat="1" ht="49" customHeight="1" spans="1:15">
      <c r="A4" s="166"/>
      <c r="B4" s="166"/>
      <c r="C4" s="167" t="s">
        <v>29</v>
      </c>
      <c r="D4" s="168" t="s">
        <v>30</v>
      </c>
      <c r="E4" s="168" t="s">
        <v>30</v>
      </c>
      <c r="F4" s="169" t="s">
        <v>31</v>
      </c>
      <c r="G4" s="170" t="s">
        <v>32</v>
      </c>
      <c r="H4" s="169" t="s">
        <v>33</v>
      </c>
      <c r="I4" s="190" t="s">
        <v>34</v>
      </c>
      <c r="J4" s="170" t="s">
        <v>35</v>
      </c>
      <c r="K4" s="191" t="s">
        <v>36</v>
      </c>
      <c r="L4" s="192" t="s">
        <v>37</v>
      </c>
      <c r="M4" s="170" t="s">
        <v>38</v>
      </c>
      <c r="N4" s="170" t="s">
        <v>39</v>
      </c>
      <c r="O4" s="193" t="s">
        <v>40</v>
      </c>
    </row>
    <row r="5" s="158" customFormat="1" ht="63" customHeight="1" spans="1:17">
      <c r="A5" s="171">
        <v>1</v>
      </c>
      <c r="B5" s="172" t="s">
        <v>41</v>
      </c>
      <c r="C5" s="172">
        <v>1060000</v>
      </c>
      <c r="D5" s="172"/>
      <c r="E5" s="171"/>
      <c r="F5" s="173"/>
      <c r="G5" s="174">
        <f>197000+398000</f>
        <v>595000</v>
      </c>
      <c r="H5" s="174"/>
      <c r="I5" s="194">
        <v>0.8</v>
      </c>
      <c r="J5" s="174">
        <f>汇总表!F9*0.8-G5</f>
        <v>198700.175507718</v>
      </c>
      <c r="K5" s="174"/>
      <c r="L5" s="195"/>
      <c r="M5" s="174"/>
      <c r="N5" s="174"/>
      <c r="O5" s="196" t="s">
        <v>42</v>
      </c>
      <c r="Q5" s="211"/>
    </row>
    <row r="6" s="158" customFormat="1" ht="25" customHeight="1" spans="1:15">
      <c r="A6" s="175">
        <v>2</v>
      </c>
      <c r="B6" s="176" t="s">
        <v>43</v>
      </c>
      <c r="C6" s="176"/>
      <c r="D6" s="176"/>
      <c r="E6" s="175"/>
      <c r="F6" s="177"/>
      <c r="G6" s="178"/>
      <c r="H6" s="178"/>
      <c r="I6" s="197"/>
      <c r="J6" s="178">
        <f>J5</f>
        <v>198700.175507718</v>
      </c>
      <c r="K6" s="178"/>
      <c r="L6" s="198"/>
      <c r="M6" s="199" t="s">
        <v>44</v>
      </c>
      <c r="N6" s="200"/>
      <c r="O6" s="201"/>
    </row>
    <row r="7" s="158" customFormat="1" ht="25" customHeight="1" spans="1:15">
      <c r="A7" s="179"/>
      <c r="B7" s="179" t="s">
        <v>45</v>
      </c>
      <c r="C7" s="179"/>
      <c r="D7" s="179"/>
      <c r="E7" s="179"/>
      <c r="F7" s="180"/>
      <c r="G7" s="181"/>
      <c r="H7" s="181"/>
      <c r="I7" s="181"/>
      <c r="J7" s="181">
        <v>198700</v>
      </c>
      <c r="K7" s="202"/>
      <c r="L7" s="203"/>
      <c r="M7" s="181"/>
      <c r="N7" s="181"/>
      <c r="O7" s="204" t="s">
        <v>46</v>
      </c>
    </row>
    <row r="8" s="158" customFormat="1" ht="25" customHeight="1" spans="1:15">
      <c r="A8" s="182" t="s">
        <v>47</v>
      </c>
      <c r="B8" s="182"/>
      <c r="C8" s="182"/>
      <c r="D8" s="182"/>
      <c r="E8" s="182"/>
      <c r="F8" s="183"/>
      <c r="G8" s="182"/>
      <c r="H8" s="182"/>
      <c r="I8" s="182"/>
      <c r="J8" s="182"/>
      <c r="K8" s="205"/>
      <c r="L8" s="183"/>
      <c r="M8" s="182"/>
      <c r="N8" s="182"/>
      <c r="O8" s="182"/>
    </row>
    <row r="9" s="158" customFormat="1" ht="25" customHeight="1" spans="1:15">
      <c r="A9" s="182" t="s">
        <v>48</v>
      </c>
      <c r="B9" s="182"/>
      <c r="C9" s="182"/>
      <c r="D9" s="182"/>
      <c r="E9" s="182"/>
      <c r="F9" s="182"/>
      <c r="G9" s="182"/>
      <c r="H9" s="182"/>
      <c r="I9" s="182"/>
      <c r="J9" s="182"/>
      <c r="K9" s="182"/>
      <c r="L9" s="182"/>
      <c r="M9" s="182"/>
      <c r="N9" s="182"/>
      <c r="O9" s="182"/>
    </row>
    <row r="10" s="158" customFormat="1" ht="26.25" customHeight="1" spans="1:15">
      <c r="A10" s="184"/>
      <c r="B10" s="185"/>
      <c r="C10" s="185"/>
      <c r="D10" s="185"/>
      <c r="E10" s="185"/>
      <c r="F10" s="186"/>
      <c r="G10" s="187" t="s">
        <v>49</v>
      </c>
      <c r="H10" s="187"/>
      <c r="I10" s="187"/>
      <c r="J10" s="206"/>
      <c r="K10" s="207"/>
      <c r="L10" s="208" t="s">
        <v>50</v>
      </c>
      <c r="M10" s="209"/>
      <c r="N10" s="185"/>
      <c r="O10" s="185"/>
    </row>
    <row r="11" s="158" customFormat="1" ht="28.5" customHeight="1" spans="1:15">
      <c r="A11" s="184"/>
      <c r="B11" s="185"/>
      <c r="C11" s="185"/>
      <c r="D11" s="185"/>
      <c r="E11" s="185"/>
      <c r="F11" s="186"/>
      <c r="J11" s="185"/>
      <c r="K11" s="210"/>
      <c r="L11" s="186"/>
      <c r="M11" s="185"/>
      <c r="N11" s="185"/>
      <c r="O11" s="185"/>
    </row>
  </sheetData>
  <mergeCells count="19">
    <mergeCell ref="A1:O1"/>
    <mergeCell ref="F2:G2"/>
    <mergeCell ref="H2:J2"/>
    <mergeCell ref="K2:L2"/>
    <mergeCell ref="M6:O6"/>
    <mergeCell ref="B7:E7"/>
    <mergeCell ref="A8:O8"/>
    <mergeCell ref="A9:O9"/>
    <mergeCell ref="G10:I10"/>
    <mergeCell ref="J10:K10"/>
    <mergeCell ref="L10:M10"/>
    <mergeCell ref="A2:A3"/>
    <mergeCell ref="B2:B3"/>
    <mergeCell ref="C2:C3"/>
    <mergeCell ref="D2:D3"/>
    <mergeCell ref="E2:E3"/>
    <mergeCell ref="M2:M3"/>
    <mergeCell ref="N2:N3"/>
    <mergeCell ref="O2:O3"/>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F9" sqref="F9"/>
    </sheetView>
  </sheetViews>
  <sheetFormatPr defaultColWidth="8.88571428571429" defaultRowHeight="12.75" outlineLevelCol="6"/>
  <cols>
    <col min="2" max="2" width="18.5714285714286" customWidth="1"/>
    <col min="3" max="3" width="8.14285714285714" style="3" customWidth="1"/>
    <col min="4" max="4" width="8.42857142857143" customWidth="1"/>
    <col min="5" max="5" width="14.7142857142857" customWidth="1"/>
    <col min="6" max="6" width="13.1428571428571" customWidth="1"/>
    <col min="7" max="7" width="11.1428571428571" customWidth="1"/>
  </cols>
  <sheetData>
    <row r="1" s="117" customFormat="1" ht="81" customHeight="1" spans="1:7">
      <c r="A1" s="148" t="s">
        <v>51</v>
      </c>
      <c r="B1" s="148"/>
      <c r="C1" s="148"/>
      <c r="D1" s="148"/>
      <c r="E1" s="148"/>
      <c r="F1" s="148"/>
      <c r="G1" s="148"/>
    </row>
    <row r="2" s="117" customFormat="1" ht="57" customHeight="1" spans="1:7">
      <c r="A2" s="149" t="s">
        <v>52</v>
      </c>
      <c r="B2" s="149" t="s">
        <v>53</v>
      </c>
      <c r="C2" s="149" t="s">
        <v>54</v>
      </c>
      <c r="D2" s="149" t="s">
        <v>55</v>
      </c>
      <c r="E2" s="150" t="s">
        <v>56</v>
      </c>
      <c r="F2" s="150" t="s">
        <v>43</v>
      </c>
      <c r="G2" s="151" t="s">
        <v>57</v>
      </c>
    </row>
    <row r="3" s="117" customFormat="1" ht="57" customHeight="1" spans="1:7">
      <c r="A3" s="149" t="s">
        <v>58</v>
      </c>
      <c r="B3" s="149" t="s">
        <v>59</v>
      </c>
      <c r="C3" s="149"/>
      <c r="D3" s="149"/>
      <c r="E3" s="150"/>
      <c r="F3" s="150">
        <f>F4+F5</f>
        <v>785808.89252608</v>
      </c>
      <c r="G3" s="151"/>
    </row>
    <row r="4" s="117" customFormat="1" ht="54" customHeight="1" spans="1:7">
      <c r="A4" s="152">
        <v>1</v>
      </c>
      <c r="B4" s="153" t="s">
        <v>60</v>
      </c>
      <c r="C4" s="152" t="s">
        <v>61</v>
      </c>
      <c r="D4" s="154">
        <v>1</v>
      </c>
      <c r="E4" s="155">
        <f>东大门区域硬质铺装!L96</f>
        <v>653414.94436608</v>
      </c>
      <c r="F4" s="156">
        <f>D4*E4</f>
        <v>653414.94436608</v>
      </c>
      <c r="G4" s="108"/>
    </row>
    <row r="5" s="117" customFormat="1" ht="54" customHeight="1" spans="1:7">
      <c r="A5" s="152">
        <v>2</v>
      </c>
      <c r="B5" s="153" t="s">
        <v>62</v>
      </c>
      <c r="C5" s="152" t="s">
        <v>61</v>
      </c>
      <c r="D5" s="154">
        <v>1</v>
      </c>
      <c r="E5" s="155">
        <f>东大门区域安装!L77</f>
        <v>132393.94816</v>
      </c>
      <c r="F5" s="156">
        <f>D5*E5</f>
        <v>132393.94816</v>
      </c>
      <c r="G5" s="108"/>
    </row>
    <row r="6" s="117" customFormat="1" ht="54" customHeight="1" spans="1:7">
      <c r="A6" s="152" t="s">
        <v>63</v>
      </c>
      <c r="B6" s="153" t="s">
        <v>64</v>
      </c>
      <c r="C6" s="152"/>
      <c r="D6" s="154"/>
      <c r="E6" s="155"/>
      <c r="F6" s="155">
        <f>F7+F8</f>
        <v>206316.326858568</v>
      </c>
      <c r="G6" s="157" t="s">
        <v>65</v>
      </c>
    </row>
    <row r="7" s="117" customFormat="1" ht="54" customHeight="1" spans="1:7">
      <c r="A7" s="152">
        <v>1</v>
      </c>
      <c r="B7" s="153" t="s">
        <v>60</v>
      </c>
      <c r="C7" s="152" t="s">
        <v>61</v>
      </c>
      <c r="D7" s="154">
        <v>2</v>
      </c>
      <c r="E7" s="155">
        <f>'5#楼大堂硬质装修'!L45</f>
        <v>99162.257437284</v>
      </c>
      <c r="F7" s="155">
        <f>D7*E7</f>
        <v>198324.514874568</v>
      </c>
      <c r="G7" s="108"/>
    </row>
    <row r="8" s="117" customFormat="1" ht="54" customHeight="1" spans="1:7">
      <c r="A8" s="152">
        <v>2</v>
      </c>
      <c r="B8" s="153" t="s">
        <v>62</v>
      </c>
      <c r="C8" s="152" t="s">
        <v>61</v>
      </c>
      <c r="D8" s="154">
        <v>2</v>
      </c>
      <c r="E8" s="155">
        <f>'5#楼大堂安装工程'!L19</f>
        <v>3995.905992</v>
      </c>
      <c r="F8" s="155">
        <f>D8*E8</f>
        <v>7991.811984</v>
      </c>
      <c r="G8" s="108"/>
    </row>
    <row r="9" s="117" customFormat="1" ht="57" customHeight="1" spans="1:7">
      <c r="A9" s="152" t="s">
        <v>66</v>
      </c>
      <c r="B9" s="152"/>
      <c r="C9" s="152"/>
      <c r="D9" s="154">
        <f>SUM(D4:D5)</f>
        <v>2</v>
      </c>
      <c r="E9" s="152"/>
      <c r="F9" s="155">
        <f>F3+F6</f>
        <v>992125.219384648</v>
      </c>
      <c r="G9" s="108"/>
    </row>
  </sheetData>
  <mergeCells count="2">
    <mergeCell ref="A1:G1"/>
    <mergeCell ref="A9:B9"/>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N97"/>
  <sheetViews>
    <sheetView workbookViewId="0">
      <pane ySplit="4" topLeftCell="A83" activePane="bottomLeft" state="frozen"/>
      <selection/>
      <selection pane="bottomLeft" activeCell="G44" sqref="G44"/>
    </sheetView>
  </sheetViews>
  <sheetFormatPr defaultColWidth="9.14285714285714" defaultRowHeight="14.25"/>
  <cols>
    <col min="1" max="1" width="5.85714285714286" style="115" customWidth="1"/>
    <col min="2" max="2" width="10.7142857142857" style="116" customWidth="1"/>
    <col min="3" max="3" width="41.5714285714286" style="116" customWidth="1"/>
    <col min="4" max="4" width="6.71428571428571" style="115" customWidth="1"/>
    <col min="5" max="5" width="9" style="116" customWidth="1"/>
    <col min="6" max="6" width="8.71428571428571" style="117" customWidth="1"/>
    <col min="7" max="7" width="7.85714285714286" style="117" customWidth="1"/>
    <col min="8" max="8" width="7.42857142857143" style="117" customWidth="1"/>
    <col min="9" max="10" width="8" style="117" customWidth="1"/>
    <col min="11" max="11" width="9.71428571428571" style="118" customWidth="1"/>
    <col min="12" max="12" width="12" style="117" customWidth="1"/>
    <col min="13" max="13" width="6.2" style="119" customWidth="1"/>
    <col min="14" max="14" width="8.81904761904762" style="119" customWidth="1"/>
    <col min="15" max="18" width="9.14285714285714" style="114"/>
    <col min="19" max="19" width="9.57142857142857" style="114"/>
    <col min="20" max="16384" width="9.14285714285714" style="114"/>
  </cols>
  <sheetData>
    <row r="1" ht="28.5" customHeight="1" spans="1:14">
      <c r="A1" s="120" t="s">
        <v>67</v>
      </c>
      <c r="B1" s="120"/>
      <c r="C1" s="120"/>
      <c r="D1" s="120"/>
      <c r="E1" s="120"/>
      <c r="F1" s="120"/>
      <c r="G1" s="120"/>
      <c r="H1" s="120"/>
      <c r="I1" s="120"/>
      <c r="J1" s="120"/>
      <c r="K1" s="120"/>
      <c r="L1" s="120"/>
      <c r="M1" s="120"/>
      <c r="N1" s="120"/>
    </row>
    <row r="2" s="113" customFormat="1" ht="22.5" customHeight="1" spans="1:14">
      <c r="A2" s="121" t="s">
        <v>11</v>
      </c>
      <c r="B2" s="121" t="s">
        <v>53</v>
      </c>
      <c r="C2" s="121" t="s">
        <v>68</v>
      </c>
      <c r="D2" s="121" t="s">
        <v>69</v>
      </c>
      <c r="E2" s="121" t="s">
        <v>55</v>
      </c>
      <c r="F2" s="122" t="s">
        <v>70</v>
      </c>
      <c r="G2" s="122"/>
      <c r="H2" s="122"/>
      <c r="I2" s="122"/>
      <c r="J2" s="122"/>
      <c r="K2" s="124" t="s">
        <v>71</v>
      </c>
      <c r="L2" s="124" t="s">
        <v>72</v>
      </c>
      <c r="M2" s="135" t="s">
        <v>57</v>
      </c>
      <c r="N2" s="135" t="s">
        <v>73</v>
      </c>
    </row>
    <row r="3" s="113" customFormat="1" ht="69" customHeight="1" spans="1:14">
      <c r="A3" s="123"/>
      <c r="B3" s="123"/>
      <c r="C3" s="123"/>
      <c r="D3" s="123"/>
      <c r="E3" s="123"/>
      <c r="F3" s="124" t="s">
        <v>74</v>
      </c>
      <c r="G3" s="124" t="s">
        <v>75</v>
      </c>
      <c r="H3" s="124" t="s">
        <v>76</v>
      </c>
      <c r="I3" s="122" t="s">
        <v>77</v>
      </c>
      <c r="J3" s="122" t="s">
        <v>78</v>
      </c>
      <c r="K3" s="136"/>
      <c r="L3" s="136"/>
      <c r="M3" s="137"/>
      <c r="N3" s="137"/>
    </row>
    <row r="4" s="113" customFormat="1" ht="22.5" customHeight="1" spans="1:14">
      <c r="A4" s="125"/>
      <c r="B4" s="125"/>
      <c r="C4" s="125"/>
      <c r="D4" s="125"/>
      <c r="E4" s="125"/>
      <c r="F4" s="126"/>
      <c r="G4" s="126"/>
      <c r="H4" s="126"/>
      <c r="I4" s="138"/>
      <c r="J4" s="122"/>
      <c r="K4" s="126"/>
      <c r="L4" s="126"/>
      <c r="M4" s="139"/>
      <c r="N4" s="139"/>
    </row>
    <row r="5" s="114" customFormat="1" ht="39" customHeight="1" spans="1:14">
      <c r="A5" s="127" t="s">
        <v>58</v>
      </c>
      <c r="B5" s="128" t="s">
        <v>79</v>
      </c>
      <c r="C5" s="129"/>
      <c r="D5" s="127"/>
      <c r="E5" s="127"/>
      <c r="F5" s="81"/>
      <c r="G5" s="60"/>
      <c r="H5" s="81"/>
      <c r="I5" s="60"/>
      <c r="J5" s="59"/>
      <c r="K5" s="60"/>
      <c r="L5" s="60"/>
      <c r="M5" s="86"/>
      <c r="N5" s="86"/>
    </row>
    <row r="6" s="114" customFormat="1" ht="60" customHeight="1" spans="1:14">
      <c r="A6" s="130">
        <v>1</v>
      </c>
      <c r="B6" s="128" t="s">
        <v>80</v>
      </c>
      <c r="C6" s="129"/>
      <c r="D6" s="127"/>
      <c r="E6" s="131"/>
      <c r="F6" s="81"/>
      <c r="G6" s="60"/>
      <c r="H6" s="81"/>
      <c r="I6" s="60"/>
      <c r="J6" s="59"/>
      <c r="K6" s="60"/>
      <c r="L6" s="60"/>
      <c r="M6" s="86"/>
      <c r="N6" s="86"/>
    </row>
    <row r="7" s="114" customFormat="1" ht="55.5" customHeight="1" spans="1:14">
      <c r="A7" s="127"/>
      <c r="B7" s="129" t="s">
        <v>81</v>
      </c>
      <c r="C7" s="129" t="s">
        <v>82</v>
      </c>
      <c r="D7" s="127" t="s">
        <v>83</v>
      </c>
      <c r="E7" s="131">
        <v>226.86</v>
      </c>
      <c r="F7" s="60">
        <v>2</v>
      </c>
      <c r="G7" s="81">
        <v>0</v>
      </c>
      <c r="H7" s="60">
        <v>2</v>
      </c>
      <c r="I7" s="59">
        <f>(F7+G7+H7)*0.2</f>
        <v>0.8</v>
      </c>
      <c r="J7" s="60">
        <f>(F7+G7+H7+I7)*0.09</f>
        <v>0.432</v>
      </c>
      <c r="K7" s="60">
        <f>SUM(F7:J7)</f>
        <v>5.232</v>
      </c>
      <c r="L7" s="60">
        <f>E7*K7</f>
        <v>1186.93152</v>
      </c>
      <c r="M7" s="86"/>
      <c r="N7" s="86"/>
    </row>
    <row r="8" s="114" customFormat="1" ht="39" customHeight="1" spans="1:14">
      <c r="A8" s="127"/>
      <c r="B8" s="129" t="s">
        <v>84</v>
      </c>
      <c r="C8" s="129" t="s">
        <v>85</v>
      </c>
      <c r="D8" s="127" t="s">
        <v>86</v>
      </c>
      <c r="E8" s="131">
        <f>E7*0.2</f>
        <v>45.372</v>
      </c>
      <c r="F8" s="60">
        <v>18</v>
      </c>
      <c r="G8" s="81">
        <v>60</v>
      </c>
      <c r="H8" s="60">
        <v>12</v>
      </c>
      <c r="I8" s="59">
        <f t="shared" ref="I8:I39" si="0">(F8+G8+H8)*0.2</f>
        <v>18</v>
      </c>
      <c r="J8" s="60">
        <f t="shared" ref="J8:J39" si="1">(F8+G8+H8+I8)*0.09</f>
        <v>9.72</v>
      </c>
      <c r="K8" s="60">
        <f t="shared" ref="K8:K39" si="2">SUM(F8:J8)</f>
        <v>117.72</v>
      </c>
      <c r="L8" s="60">
        <f t="shared" ref="L8:L39" si="3">E8*K8</f>
        <v>5341.19184</v>
      </c>
      <c r="M8" s="86"/>
      <c r="N8" s="86"/>
    </row>
    <row r="9" s="114" customFormat="1" ht="72" customHeight="1" spans="1:14">
      <c r="A9" s="127"/>
      <c r="B9" s="129" t="s">
        <v>87</v>
      </c>
      <c r="C9" s="129" t="s">
        <v>88</v>
      </c>
      <c r="D9" s="127" t="s">
        <v>86</v>
      </c>
      <c r="E9" s="131">
        <f>E7*0.2</f>
        <v>45.372</v>
      </c>
      <c r="F9" s="60">
        <v>170</v>
      </c>
      <c r="G9" s="81">
        <v>400</v>
      </c>
      <c r="H9" s="60">
        <v>15</v>
      </c>
      <c r="I9" s="59">
        <f t="shared" si="0"/>
        <v>117</v>
      </c>
      <c r="J9" s="60">
        <f t="shared" si="1"/>
        <v>63.18</v>
      </c>
      <c r="K9" s="60">
        <f t="shared" si="2"/>
        <v>765.18</v>
      </c>
      <c r="L9" s="60">
        <f t="shared" si="3"/>
        <v>34717.74696</v>
      </c>
      <c r="M9" s="86"/>
      <c r="N9" s="86"/>
    </row>
    <row r="10" s="114" customFormat="1" ht="55.5" customHeight="1" spans="1:14">
      <c r="A10" s="127"/>
      <c r="B10" s="129" t="s">
        <v>89</v>
      </c>
      <c r="C10" s="129" t="s">
        <v>90</v>
      </c>
      <c r="D10" s="127" t="s">
        <v>83</v>
      </c>
      <c r="E10" s="131">
        <f>118.29+0.21+1.17</f>
        <v>119.67</v>
      </c>
      <c r="F10" s="81">
        <v>25</v>
      </c>
      <c r="G10" s="60">
        <v>80</v>
      </c>
      <c r="H10" s="81">
        <v>15</v>
      </c>
      <c r="I10" s="59">
        <f t="shared" si="0"/>
        <v>24</v>
      </c>
      <c r="J10" s="60">
        <f t="shared" si="1"/>
        <v>12.96</v>
      </c>
      <c r="K10" s="60">
        <f t="shared" si="2"/>
        <v>156.96</v>
      </c>
      <c r="L10" s="60">
        <f t="shared" si="3"/>
        <v>18783.4032</v>
      </c>
      <c r="M10" s="86"/>
      <c r="N10" s="86"/>
    </row>
    <row r="11" s="114" customFormat="1" ht="55.5" customHeight="1" spans="1:14">
      <c r="A11" s="127"/>
      <c r="B11" s="129" t="s">
        <v>91</v>
      </c>
      <c r="C11" s="129" t="s">
        <v>92</v>
      </c>
      <c r="D11" s="127" t="s">
        <v>83</v>
      </c>
      <c r="E11" s="131">
        <f>59.47+25.91</f>
        <v>85.38</v>
      </c>
      <c r="F11" s="81">
        <v>40</v>
      </c>
      <c r="G11" s="60">
        <v>80</v>
      </c>
      <c r="H11" s="81">
        <v>20</v>
      </c>
      <c r="I11" s="59">
        <f t="shared" si="0"/>
        <v>28</v>
      </c>
      <c r="J11" s="60">
        <f t="shared" si="1"/>
        <v>15.12</v>
      </c>
      <c r="K11" s="60">
        <f t="shared" si="2"/>
        <v>183.12</v>
      </c>
      <c r="L11" s="60">
        <f t="shared" si="3"/>
        <v>15634.7856</v>
      </c>
      <c r="M11" s="86"/>
      <c r="N11" s="86"/>
    </row>
    <row r="12" s="114" customFormat="1" ht="55.5" customHeight="1" spans="1:14">
      <c r="A12" s="127"/>
      <c r="B12" s="129" t="s">
        <v>93</v>
      </c>
      <c r="C12" s="129" t="s">
        <v>94</v>
      </c>
      <c r="D12" s="127" t="s">
        <v>83</v>
      </c>
      <c r="E12" s="131">
        <f>6.35+5.85+0.21</f>
        <v>12.41</v>
      </c>
      <c r="F12" s="81">
        <v>40</v>
      </c>
      <c r="G12" s="60">
        <v>80</v>
      </c>
      <c r="H12" s="81">
        <v>20</v>
      </c>
      <c r="I12" s="59">
        <f t="shared" si="0"/>
        <v>28</v>
      </c>
      <c r="J12" s="60">
        <f t="shared" si="1"/>
        <v>15.12</v>
      </c>
      <c r="K12" s="60">
        <f t="shared" si="2"/>
        <v>183.12</v>
      </c>
      <c r="L12" s="60">
        <f t="shared" si="3"/>
        <v>2272.5192</v>
      </c>
      <c r="M12" s="86"/>
      <c r="N12" s="86"/>
    </row>
    <row r="13" s="114" customFormat="1" ht="55.5" customHeight="1" spans="1:14">
      <c r="A13" s="127"/>
      <c r="B13" s="129" t="s">
        <v>95</v>
      </c>
      <c r="C13" s="129" t="s">
        <v>96</v>
      </c>
      <c r="D13" s="127" t="s">
        <v>83</v>
      </c>
      <c r="E13" s="131">
        <f>3.08+3.08</f>
        <v>6.16</v>
      </c>
      <c r="F13" s="81">
        <v>40</v>
      </c>
      <c r="G13" s="60">
        <v>80</v>
      </c>
      <c r="H13" s="81">
        <v>20</v>
      </c>
      <c r="I13" s="59">
        <f t="shared" si="0"/>
        <v>28</v>
      </c>
      <c r="J13" s="60">
        <f t="shared" si="1"/>
        <v>15.12</v>
      </c>
      <c r="K13" s="60">
        <f t="shared" si="2"/>
        <v>183.12</v>
      </c>
      <c r="L13" s="60">
        <f t="shared" si="3"/>
        <v>1128.0192</v>
      </c>
      <c r="M13" s="86"/>
      <c r="N13" s="86"/>
    </row>
    <row r="14" s="114" customFormat="1" ht="55.5" customHeight="1" spans="1:14">
      <c r="A14" s="127"/>
      <c r="B14" s="129" t="s">
        <v>97</v>
      </c>
      <c r="C14" s="129" t="s">
        <v>98</v>
      </c>
      <c r="D14" s="127" t="s">
        <v>83</v>
      </c>
      <c r="E14" s="131">
        <v>3.24</v>
      </c>
      <c r="F14" s="81">
        <v>40</v>
      </c>
      <c r="G14" s="60">
        <v>80</v>
      </c>
      <c r="H14" s="81">
        <v>20</v>
      </c>
      <c r="I14" s="59">
        <f t="shared" si="0"/>
        <v>28</v>
      </c>
      <c r="J14" s="60">
        <f t="shared" si="1"/>
        <v>15.12</v>
      </c>
      <c r="K14" s="60">
        <f t="shared" si="2"/>
        <v>183.12</v>
      </c>
      <c r="L14" s="60">
        <f t="shared" si="3"/>
        <v>593.3088</v>
      </c>
      <c r="M14" s="86"/>
      <c r="N14" s="86"/>
    </row>
    <row r="15" ht="55.5" customHeight="1" spans="1:14">
      <c r="A15" s="127"/>
      <c r="B15" s="129" t="s">
        <v>99</v>
      </c>
      <c r="C15" s="129" t="s">
        <v>100</v>
      </c>
      <c r="D15" s="127" t="s">
        <v>101</v>
      </c>
      <c r="E15" s="131">
        <v>30.88</v>
      </c>
      <c r="F15" s="81">
        <v>30</v>
      </c>
      <c r="G15" s="60">
        <v>70</v>
      </c>
      <c r="H15" s="81">
        <v>12</v>
      </c>
      <c r="I15" s="59">
        <f t="shared" si="0"/>
        <v>22.4</v>
      </c>
      <c r="J15" s="60">
        <f t="shared" si="1"/>
        <v>12.096</v>
      </c>
      <c r="K15" s="60">
        <f t="shared" si="2"/>
        <v>146.496</v>
      </c>
      <c r="L15" s="60">
        <f t="shared" si="3"/>
        <v>4523.79648</v>
      </c>
      <c r="M15" s="140"/>
      <c r="N15" s="140"/>
    </row>
    <row r="16" ht="48" customHeight="1" spans="1:14">
      <c r="A16" s="130">
        <v>2</v>
      </c>
      <c r="B16" s="128" t="s">
        <v>102</v>
      </c>
      <c r="C16" s="129"/>
      <c r="D16" s="127"/>
      <c r="E16" s="131"/>
      <c r="F16" s="85"/>
      <c r="G16" s="86"/>
      <c r="H16" s="81"/>
      <c r="I16" s="59">
        <f t="shared" si="0"/>
        <v>0</v>
      </c>
      <c r="J16" s="60">
        <f t="shared" si="1"/>
        <v>0</v>
      </c>
      <c r="K16" s="60">
        <f t="shared" si="2"/>
        <v>0</v>
      </c>
      <c r="L16" s="60">
        <f t="shared" si="3"/>
        <v>0</v>
      </c>
      <c r="M16" s="140"/>
      <c r="N16" s="140"/>
    </row>
    <row r="17" ht="22.5" customHeight="1" spans="1:14">
      <c r="A17" s="130">
        <v>2.1</v>
      </c>
      <c r="B17" s="128" t="s">
        <v>103</v>
      </c>
      <c r="C17" s="129"/>
      <c r="D17" s="127"/>
      <c r="E17" s="131"/>
      <c r="F17" s="132"/>
      <c r="G17" s="132"/>
      <c r="H17" s="81"/>
      <c r="I17" s="59">
        <f t="shared" si="0"/>
        <v>0</v>
      </c>
      <c r="J17" s="60">
        <f t="shared" si="1"/>
        <v>0</v>
      </c>
      <c r="K17" s="60">
        <f t="shared" si="2"/>
        <v>0</v>
      </c>
      <c r="L17" s="60">
        <f t="shared" si="3"/>
        <v>0</v>
      </c>
      <c r="M17" s="140"/>
      <c r="N17" s="140"/>
    </row>
    <row r="18" ht="55.5" customHeight="1" spans="1:14">
      <c r="A18" s="127"/>
      <c r="B18" s="129" t="s">
        <v>104</v>
      </c>
      <c r="C18" s="129" t="s">
        <v>105</v>
      </c>
      <c r="D18" s="127" t="s">
        <v>83</v>
      </c>
      <c r="E18" s="131">
        <v>41.89</v>
      </c>
      <c r="F18" s="85">
        <v>60</v>
      </c>
      <c r="G18" s="85">
        <v>240</v>
      </c>
      <c r="H18" s="81">
        <v>30</v>
      </c>
      <c r="I18" s="59">
        <f t="shared" si="0"/>
        <v>66</v>
      </c>
      <c r="J18" s="60">
        <f t="shared" si="1"/>
        <v>35.64</v>
      </c>
      <c r="K18" s="60">
        <f t="shared" si="2"/>
        <v>431.64</v>
      </c>
      <c r="L18" s="60">
        <f t="shared" si="3"/>
        <v>18081.3996</v>
      </c>
      <c r="M18" s="140"/>
      <c r="N18" s="140" t="s">
        <v>106</v>
      </c>
    </row>
    <row r="19" ht="55.5" customHeight="1" spans="1:14">
      <c r="A19" s="127"/>
      <c r="B19" s="129" t="s">
        <v>107</v>
      </c>
      <c r="C19" s="129" t="s">
        <v>108</v>
      </c>
      <c r="D19" s="127" t="s">
        <v>109</v>
      </c>
      <c r="E19" s="133">
        <v>0.833</v>
      </c>
      <c r="F19" s="60">
        <v>2800</v>
      </c>
      <c r="G19" s="60">
        <v>4600</v>
      </c>
      <c r="H19" s="60">
        <v>50</v>
      </c>
      <c r="I19" s="59">
        <f t="shared" si="0"/>
        <v>1490</v>
      </c>
      <c r="J19" s="60">
        <f t="shared" si="1"/>
        <v>804.6</v>
      </c>
      <c r="K19" s="60">
        <f t="shared" si="2"/>
        <v>9744.6</v>
      </c>
      <c r="L19" s="60">
        <f t="shared" si="3"/>
        <v>8117.2518</v>
      </c>
      <c r="M19" s="140"/>
      <c r="N19" s="140"/>
    </row>
    <row r="20" ht="55.5" customHeight="1" spans="1:14">
      <c r="A20" s="127"/>
      <c r="B20" s="129" t="s">
        <v>110</v>
      </c>
      <c r="C20" s="129" t="s">
        <v>111</v>
      </c>
      <c r="D20" s="127" t="s">
        <v>109</v>
      </c>
      <c r="E20" s="133">
        <v>1.411</v>
      </c>
      <c r="F20" s="60">
        <v>2800</v>
      </c>
      <c r="G20" s="60">
        <v>4600</v>
      </c>
      <c r="H20" s="60">
        <v>50</v>
      </c>
      <c r="I20" s="59">
        <f t="shared" si="0"/>
        <v>1490</v>
      </c>
      <c r="J20" s="60">
        <f t="shared" si="1"/>
        <v>804.6</v>
      </c>
      <c r="K20" s="60">
        <f t="shared" si="2"/>
        <v>9744.6</v>
      </c>
      <c r="L20" s="60">
        <f t="shared" si="3"/>
        <v>13749.6306</v>
      </c>
      <c r="M20" s="140"/>
      <c r="N20" s="140"/>
    </row>
    <row r="21" ht="55.5" customHeight="1" spans="1:14">
      <c r="A21" s="127"/>
      <c r="B21" s="129" t="s">
        <v>112</v>
      </c>
      <c r="C21" s="129" t="s">
        <v>113</v>
      </c>
      <c r="D21" s="127" t="s">
        <v>83</v>
      </c>
      <c r="E21" s="131">
        <f>75.9+129.97</f>
        <v>205.87</v>
      </c>
      <c r="F21" s="85">
        <v>90</v>
      </c>
      <c r="G21" s="86">
        <v>240</v>
      </c>
      <c r="H21" s="81">
        <v>50</v>
      </c>
      <c r="I21" s="59">
        <f t="shared" si="0"/>
        <v>76</v>
      </c>
      <c r="J21" s="60">
        <f t="shared" si="1"/>
        <v>41.04</v>
      </c>
      <c r="K21" s="60">
        <f t="shared" si="2"/>
        <v>497.04</v>
      </c>
      <c r="L21" s="60">
        <f t="shared" si="3"/>
        <v>102325.6248</v>
      </c>
      <c r="M21" s="140"/>
      <c r="N21" s="140"/>
    </row>
    <row r="22" ht="69" customHeight="1" spans="1:14">
      <c r="A22" s="127"/>
      <c r="B22" s="129" t="s">
        <v>114</v>
      </c>
      <c r="C22" s="129" t="s">
        <v>115</v>
      </c>
      <c r="D22" s="127" t="s">
        <v>101</v>
      </c>
      <c r="E22" s="131">
        <v>55.4</v>
      </c>
      <c r="F22" s="85">
        <v>90</v>
      </c>
      <c r="G22" s="86">
        <v>180</v>
      </c>
      <c r="H22" s="81">
        <v>20</v>
      </c>
      <c r="I22" s="59">
        <f t="shared" si="0"/>
        <v>58</v>
      </c>
      <c r="J22" s="60">
        <f t="shared" si="1"/>
        <v>31.32</v>
      </c>
      <c r="K22" s="60">
        <f t="shared" si="2"/>
        <v>379.32</v>
      </c>
      <c r="L22" s="60">
        <f t="shared" si="3"/>
        <v>21014.328</v>
      </c>
      <c r="M22" s="140"/>
      <c r="N22" s="140"/>
    </row>
    <row r="23" ht="55.5" customHeight="1" spans="1:14">
      <c r="A23" s="127"/>
      <c r="B23" s="129" t="s">
        <v>116</v>
      </c>
      <c r="C23" s="129" t="s">
        <v>117</v>
      </c>
      <c r="D23" s="127" t="s">
        <v>83</v>
      </c>
      <c r="E23" s="131">
        <f>51.03+6.16</f>
        <v>57.19</v>
      </c>
      <c r="F23" s="85">
        <v>110</v>
      </c>
      <c r="G23" s="86">
        <v>260</v>
      </c>
      <c r="H23" s="81">
        <v>60</v>
      </c>
      <c r="I23" s="59">
        <f t="shared" si="0"/>
        <v>86</v>
      </c>
      <c r="J23" s="60">
        <f t="shared" si="1"/>
        <v>46.44</v>
      </c>
      <c r="K23" s="60">
        <f t="shared" si="2"/>
        <v>562.44</v>
      </c>
      <c r="L23" s="60">
        <f t="shared" si="3"/>
        <v>32165.9436</v>
      </c>
      <c r="M23" s="140"/>
      <c r="N23" s="140"/>
    </row>
    <row r="24" ht="55.5" customHeight="1" spans="1:14">
      <c r="A24" s="127"/>
      <c r="B24" s="129" t="s">
        <v>118</v>
      </c>
      <c r="C24" s="129" t="s">
        <v>119</v>
      </c>
      <c r="D24" s="127" t="s">
        <v>109</v>
      </c>
      <c r="E24" s="133">
        <v>9.344</v>
      </c>
      <c r="F24" s="60">
        <v>2800</v>
      </c>
      <c r="G24" s="60">
        <v>4600</v>
      </c>
      <c r="H24" s="60">
        <v>50</v>
      </c>
      <c r="I24" s="59">
        <f t="shared" si="0"/>
        <v>1490</v>
      </c>
      <c r="J24" s="60">
        <f t="shared" si="1"/>
        <v>804.6</v>
      </c>
      <c r="K24" s="60">
        <f t="shared" si="2"/>
        <v>9744.6</v>
      </c>
      <c r="L24" s="60">
        <f t="shared" si="3"/>
        <v>91053.5424</v>
      </c>
      <c r="M24" s="140"/>
      <c r="N24" s="140"/>
    </row>
    <row r="25" ht="72" customHeight="1" spans="1:14">
      <c r="A25" s="127"/>
      <c r="B25" s="129" t="s">
        <v>120</v>
      </c>
      <c r="C25" s="129" t="s">
        <v>121</v>
      </c>
      <c r="D25" s="127" t="s">
        <v>83</v>
      </c>
      <c r="E25" s="131">
        <v>5.21</v>
      </c>
      <c r="F25" s="85">
        <v>160</v>
      </c>
      <c r="G25" s="85">
        <v>360</v>
      </c>
      <c r="H25" s="81">
        <v>60</v>
      </c>
      <c r="I25" s="59">
        <f t="shared" si="0"/>
        <v>116</v>
      </c>
      <c r="J25" s="60">
        <f t="shared" si="1"/>
        <v>62.64</v>
      </c>
      <c r="K25" s="60">
        <f t="shared" si="2"/>
        <v>758.64</v>
      </c>
      <c r="L25" s="60">
        <f t="shared" si="3"/>
        <v>3952.5144</v>
      </c>
      <c r="M25" s="140"/>
      <c r="N25" s="140"/>
    </row>
    <row r="26" ht="72" customHeight="1" spans="1:14">
      <c r="A26" s="127"/>
      <c r="B26" s="129" t="s">
        <v>122</v>
      </c>
      <c r="C26" s="129" t="s">
        <v>123</v>
      </c>
      <c r="D26" s="127" t="s">
        <v>109</v>
      </c>
      <c r="E26" s="133">
        <f>0.155+0.13</f>
        <v>0.285</v>
      </c>
      <c r="F26" s="60">
        <v>2800</v>
      </c>
      <c r="G26" s="60">
        <v>4600</v>
      </c>
      <c r="H26" s="60">
        <v>50</v>
      </c>
      <c r="I26" s="59">
        <f t="shared" si="0"/>
        <v>1490</v>
      </c>
      <c r="J26" s="60">
        <f t="shared" si="1"/>
        <v>804.6</v>
      </c>
      <c r="K26" s="60">
        <f t="shared" si="2"/>
        <v>9744.6</v>
      </c>
      <c r="L26" s="60">
        <f t="shared" si="3"/>
        <v>2777.211</v>
      </c>
      <c r="M26" s="140"/>
      <c r="N26" s="140"/>
    </row>
    <row r="27" ht="63" customHeight="1" spans="1:14">
      <c r="A27" s="127"/>
      <c r="B27" s="129" t="s">
        <v>124</v>
      </c>
      <c r="C27" s="129" t="s">
        <v>125</v>
      </c>
      <c r="D27" s="127" t="s">
        <v>126</v>
      </c>
      <c r="E27" s="131">
        <v>5</v>
      </c>
      <c r="F27" s="85">
        <v>150</v>
      </c>
      <c r="G27" s="86">
        <v>230</v>
      </c>
      <c r="H27" s="81">
        <v>26</v>
      </c>
      <c r="I27" s="59">
        <f t="shared" si="0"/>
        <v>81.2</v>
      </c>
      <c r="J27" s="60">
        <f t="shared" si="1"/>
        <v>43.848</v>
      </c>
      <c r="K27" s="60">
        <f t="shared" si="2"/>
        <v>531.048</v>
      </c>
      <c r="L27" s="60">
        <f t="shared" si="3"/>
        <v>2655.24</v>
      </c>
      <c r="M27" s="140"/>
      <c r="N27" s="140"/>
    </row>
    <row r="28" ht="86" customHeight="1" spans="1:14">
      <c r="A28" s="127"/>
      <c r="B28" s="129" t="s">
        <v>127</v>
      </c>
      <c r="C28" s="129" t="s">
        <v>128</v>
      </c>
      <c r="D28" s="127" t="s">
        <v>61</v>
      </c>
      <c r="E28" s="131">
        <v>1</v>
      </c>
      <c r="F28" s="81">
        <v>500</v>
      </c>
      <c r="G28" s="60">
        <v>2000</v>
      </c>
      <c r="H28" s="81">
        <v>150</v>
      </c>
      <c r="I28" s="59">
        <f t="shared" si="0"/>
        <v>530</v>
      </c>
      <c r="J28" s="60">
        <f t="shared" si="1"/>
        <v>286.2</v>
      </c>
      <c r="K28" s="60">
        <f t="shared" si="2"/>
        <v>3466.2</v>
      </c>
      <c r="L28" s="60">
        <f t="shared" si="3"/>
        <v>3466.2</v>
      </c>
      <c r="M28" s="140"/>
      <c r="N28" s="140"/>
    </row>
    <row r="29" ht="29" customHeight="1" spans="1:14">
      <c r="A29" s="130">
        <v>2.2</v>
      </c>
      <c r="B29" s="128" t="s">
        <v>129</v>
      </c>
      <c r="C29" s="129"/>
      <c r="D29" s="127"/>
      <c r="E29" s="131"/>
      <c r="F29" s="85"/>
      <c r="G29" s="85"/>
      <c r="H29" s="81"/>
      <c r="I29" s="59">
        <f t="shared" si="0"/>
        <v>0</v>
      </c>
      <c r="J29" s="60">
        <f t="shared" si="1"/>
        <v>0</v>
      </c>
      <c r="K29" s="60">
        <f t="shared" si="2"/>
        <v>0</v>
      </c>
      <c r="L29" s="60">
        <f t="shared" si="3"/>
        <v>0</v>
      </c>
      <c r="M29" s="140"/>
      <c r="N29" s="140"/>
    </row>
    <row r="30" ht="55.5" customHeight="1" spans="1:14">
      <c r="A30" s="127"/>
      <c r="B30" s="129" t="s">
        <v>130</v>
      </c>
      <c r="C30" s="129" t="s">
        <v>131</v>
      </c>
      <c r="D30" s="127" t="s">
        <v>83</v>
      </c>
      <c r="E30" s="131">
        <v>106.99</v>
      </c>
      <c r="F30" s="134">
        <v>90</v>
      </c>
      <c r="G30" s="134">
        <v>160</v>
      </c>
      <c r="H30" s="134">
        <v>90</v>
      </c>
      <c r="I30" s="59">
        <f t="shared" si="0"/>
        <v>68</v>
      </c>
      <c r="J30" s="60">
        <f t="shared" si="1"/>
        <v>36.72</v>
      </c>
      <c r="K30" s="60">
        <f t="shared" si="2"/>
        <v>444.72</v>
      </c>
      <c r="L30" s="60">
        <f t="shared" si="3"/>
        <v>47580.5928</v>
      </c>
      <c r="M30" s="140"/>
      <c r="N30" s="140"/>
    </row>
    <row r="31" ht="55.5" customHeight="1" spans="1:14">
      <c r="A31" s="127"/>
      <c r="B31" s="129" t="s">
        <v>132</v>
      </c>
      <c r="C31" s="129" t="s">
        <v>133</v>
      </c>
      <c r="D31" s="127" t="s">
        <v>101</v>
      </c>
      <c r="E31" s="131">
        <v>4.5</v>
      </c>
      <c r="F31" s="134">
        <v>90</v>
      </c>
      <c r="G31" s="134">
        <v>90</v>
      </c>
      <c r="H31" s="134">
        <v>40</v>
      </c>
      <c r="I31" s="59">
        <f t="shared" si="0"/>
        <v>44</v>
      </c>
      <c r="J31" s="60">
        <f t="shared" si="1"/>
        <v>23.76</v>
      </c>
      <c r="K31" s="60">
        <f t="shared" si="2"/>
        <v>287.76</v>
      </c>
      <c r="L31" s="60">
        <f t="shared" si="3"/>
        <v>1294.92</v>
      </c>
      <c r="M31" s="140"/>
      <c r="N31" s="140"/>
    </row>
    <row r="32" ht="55.5" customHeight="1" spans="1:14">
      <c r="A32" s="127"/>
      <c r="B32" s="129" t="s">
        <v>134</v>
      </c>
      <c r="C32" s="129" t="s">
        <v>135</v>
      </c>
      <c r="D32" s="127" t="s">
        <v>101</v>
      </c>
      <c r="E32" s="131">
        <v>1.94</v>
      </c>
      <c r="F32" s="134">
        <v>90</v>
      </c>
      <c r="G32" s="134">
        <v>90</v>
      </c>
      <c r="H32" s="134">
        <v>40</v>
      </c>
      <c r="I32" s="59">
        <f t="shared" si="0"/>
        <v>44</v>
      </c>
      <c r="J32" s="60">
        <f t="shared" si="1"/>
        <v>23.76</v>
      </c>
      <c r="K32" s="60">
        <f t="shared" si="2"/>
        <v>287.76</v>
      </c>
      <c r="L32" s="60">
        <f t="shared" si="3"/>
        <v>558.2544</v>
      </c>
      <c r="M32" s="140"/>
      <c r="N32" s="140"/>
    </row>
    <row r="33" ht="55.5" customHeight="1" spans="1:14">
      <c r="A33" s="127"/>
      <c r="B33" s="129" t="s">
        <v>136</v>
      </c>
      <c r="C33" s="129" t="s">
        <v>137</v>
      </c>
      <c r="D33" s="127" t="s">
        <v>101</v>
      </c>
      <c r="E33" s="131">
        <v>1.9</v>
      </c>
      <c r="F33" s="134">
        <v>90</v>
      </c>
      <c r="G33" s="134">
        <v>90</v>
      </c>
      <c r="H33" s="134">
        <v>40</v>
      </c>
      <c r="I33" s="59">
        <f t="shared" si="0"/>
        <v>44</v>
      </c>
      <c r="J33" s="60">
        <f t="shared" si="1"/>
        <v>23.76</v>
      </c>
      <c r="K33" s="60">
        <f t="shared" si="2"/>
        <v>287.76</v>
      </c>
      <c r="L33" s="60">
        <f t="shared" si="3"/>
        <v>546.744</v>
      </c>
      <c r="M33" s="140"/>
      <c r="N33" s="140"/>
    </row>
    <row r="34" ht="72" customHeight="1" spans="1:14">
      <c r="A34" s="127"/>
      <c r="B34" s="129" t="s">
        <v>138</v>
      </c>
      <c r="C34" s="129" t="s">
        <v>139</v>
      </c>
      <c r="D34" s="127" t="s">
        <v>83</v>
      </c>
      <c r="E34" s="131">
        <f>0.67+1.96</f>
        <v>2.63</v>
      </c>
      <c r="F34" s="134">
        <v>90</v>
      </c>
      <c r="G34" s="134">
        <v>160</v>
      </c>
      <c r="H34" s="134">
        <v>90</v>
      </c>
      <c r="I34" s="59">
        <f t="shared" si="0"/>
        <v>68</v>
      </c>
      <c r="J34" s="60">
        <f t="shared" si="1"/>
        <v>36.72</v>
      </c>
      <c r="K34" s="60">
        <f t="shared" si="2"/>
        <v>444.72</v>
      </c>
      <c r="L34" s="60">
        <f t="shared" si="3"/>
        <v>1169.6136</v>
      </c>
      <c r="M34" s="140"/>
      <c r="N34" s="140"/>
    </row>
    <row r="35" ht="55.5" customHeight="1" spans="1:14">
      <c r="A35" s="127"/>
      <c r="B35" s="129" t="s">
        <v>140</v>
      </c>
      <c r="C35" s="129" t="s">
        <v>141</v>
      </c>
      <c r="D35" s="127" t="s">
        <v>101</v>
      </c>
      <c r="E35" s="131">
        <v>5.3</v>
      </c>
      <c r="F35" s="134">
        <v>90</v>
      </c>
      <c r="G35" s="134">
        <v>90</v>
      </c>
      <c r="H35" s="134">
        <v>40</v>
      </c>
      <c r="I35" s="59">
        <f t="shared" si="0"/>
        <v>44</v>
      </c>
      <c r="J35" s="60">
        <f t="shared" si="1"/>
        <v>23.76</v>
      </c>
      <c r="K35" s="60">
        <f t="shared" si="2"/>
        <v>287.76</v>
      </c>
      <c r="L35" s="60">
        <f t="shared" si="3"/>
        <v>1525.128</v>
      </c>
      <c r="M35" s="140"/>
      <c r="N35" s="140"/>
    </row>
    <row r="36" ht="63" customHeight="1" spans="1:14">
      <c r="A36" s="127"/>
      <c r="B36" s="129" t="s">
        <v>142</v>
      </c>
      <c r="C36" s="129" t="s">
        <v>143</v>
      </c>
      <c r="D36" s="127" t="s">
        <v>83</v>
      </c>
      <c r="E36" s="131">
        <f>3.06+2.16*2</f>
        <v>7.38</v>
      </c>
      <c r="F36" s="85">
        <v>60</v>
      </c>
      <c r="G36" s="86">
        <v>300</v>
      </c>
      <c r="H36" s="81">
        <v>60</v>
      </c>
      <c r="I36" s="59">
        <f t="shared" si="0"/>
        <v>84</v>
      </c>
      <c r="J36" s="60">
        <f t="shared" si="1"/>
        <v>45.36</v>
      </c>
      <c r="K36" s="60">
        <f t="shared" si="2"/>
        <v>549.36</v>
      </c>
      <c r="L36" s="60">
        <f t="shared" si="3"/>
        <v>4054.2768</v>
      </c>
      <c r="M36" s="140"/>
      <c r="N36" s="140"/>
    </row>
    <row r="37" ht="69" customHeight="1" spans="1:14">
      <c r="A37" s="127"/>
      <c r="B37" s="129" t="s">
        <v>144</v>
      </c>
      <c r="C37" s="129" t="s">
        <v>145</v>
      </c>
      <c r="D37" s="127" t="s">
        <v>83</v>
      </c>
      <c r="E37" s="131">
        <f>3.24*2</f>
        <v>6.48</v>
      </c>
      <c r="F37" s="81">
        <v>60</v>
      </c>
      <c r="G37" s="60">
        <v>300</v>
      </c>
      <c r="H37" s="81">
        <v>40</v>
      </c>
      <c r="I37" s="59">
        <f t="shared" si="0"/>
        <v>80</v>
      </c>
      <c r="J37" s="60">
        <f t="shared" si="1"/>
        <v>43.2</v>
      </c>
      <c r="K37" s="60">
        <f t="shared" si="2"/>
        <v>523.2</v>
      </c>
      <c r="L37" s="60">
        <f t="shared" si="3"/>
        <v>3390.336</v>
      </c>
      <c r="M37" s="140"/>
      <c r="N37" s="140"/>
    </row>
    <row r="38" ht="55.5" customHeight="1" spans="1:14">
      <c r="A38" s="127"/>
      <c r="B38" s="129" t="s">
        <v>146</v>
      </c>
      <c r="C38" s="129" t="s">
        <v>147</v>
      </c>
      <c r="D38" s="127" t="s">
        <v>109</v>
      </c>
      <c r="E38" s="133">
        <v>1.16</v>
      </c>
      <c r="F38" s="60">
        <v>2800</v>
      </c>
      <c r="G38" s="60">
        <v>4600</v>
      </c>
      <c r="H38" s="60">
        <v>50</v>
      </c>
      <c r="I38" s="59">
        <f t="shared" si="0"/>
        <v>1490</v>
      </c>
      <c r="J38" s="60">
        <f t="shared" si="1"/>
        <v>804.6</v>
      </c>
      <c r="K38" s="60">
        <f t="shared" si="2"/>
        <v>9744.6</v>
      </c>
      <c r="L38" s="60">
        <f t="shared" si="3"/>
        <v>11303.736</v>
      </c>
      <c r="M38" s="140"/>
      <c r="N38" s="140"/>
    </row>
    <row r="39" ht="72" customHeight="1" spans="1:14">
      <c r="A39" s="127"/>
      <c r="B39" s="129" t="s">
        <v>148</v>
      </c>
      <c r="C39" s="129" t="s">
        <v>149</v>
      </c>
      <c r="D39" s="127" t="s">
        <v>109</v>
      </c>
      <c r="E39" s="133">
        <f>0.471*2</f>
        <v>0.942</v>
      </c>
      <c r="F39" s="60">
        <v>4800</v>
      </c>
      <c r="G39" s="60">
        <v>4600</v>
      </c>
      <c r="H39" s="60">
        <v>100</v>
      </c>
      <c r="I39" s="59">
        <f t="shared" si="0"/>
        <v>1900</v>
      </c>
      <c r="J39" s="60">
        <f t="shared" si="1"/>
        <v>1026</v>
      </c>
      <c r="K39" s="60">
        <f t="shared" si="2"/>
        <v>12426</v>
      </c>
      <c r="L39" s="60">
        <f t="shared" si="3"/>
        <v>11705.292</v>
      </c>
      <c r="M39" s="140"/>
      <c r="N39" s="140"/>
    </row>
    <row r="40" ht="55.5" customHeight="1" spans="1:14">
      <c r="A40" s="127"/>
      <c r="B40" s="129" t="s">
        <v>150</v>
      </c>
      <c r="C40" s="129" t="s">
        <v>117</v>
      </c>
      <c r="D40" s="127" t="s">
        <v>83</v>
      </c>
      <c r="E40" s="131">
        <f>12.69*2</f>
        <v>25.38</v>
      </c>
      <c r="F40" s="85">
        <v>110</v>
      </c>
      <c r="G40" s="86">
        <v>260</v>
      </c>
      <c r="H40" s="81">
        <v>60</v>
      </c>
      <c r="I40" s="59">
        <f t="shared" ref="I40:I71" si="4">(F40+G40+H40)*0.2</f>
        <v>86</v>
      </c>
      <c r="J40" s="60">
        <f t="shared" ref="J40:J71" si="5">(F40+G40+H40+I40)*0.09</f>
        <v>46.44</v>
      </c>
      <c r="K40" s="60">
        <f t="shared" ref="K40:K71" si="6">SUM(F40:J40)</f>
        <v>562.44</v>
      </c>
      <c r="L40" s="60">
        <f t="shared" ref="L40:L71" si="7">E40*K40</f>
        <v>14274.7272</v>
      </c>
      <c r="M40" s="140"/>
      <c r="N40" s="140"/>
    </row>
    <row r="41" ht="81" customHeight="1" spans="1:14">
      <c r="A41" s="127"/>
      <c r="B41" s="129" t="s">
        <v>151</v>
      </c>
      <c r="C41" s="129" t="s">
        <v>152</v>
      </c>
      <c r="D41" s="127" t="s">
        <v>101</v>
      </c>
      <c r="E41" s="131">
        <v>11.34</v>
      </c>
      <c r="F41" s="134">
        <v>90</v>
      </c>
      <c r="G41" s="134">
        <v>90</v>
      </c>
      <c r="H41" s="134">
        <v>40</v>
      </c>
      <c r="I41" s="59">
        <f t="shared" si="4"/>
        <v>44</v>
      </c>
      <c r="J41" s="60">
        <f t="shared" si="5"/>
        <v>23.76</v>
      </c>
      <c r="K41" s="60">
        <f t="shared" si="6"/>
        <v>287.76</v>
      </c>
      <c r="L41" s="60">
        <f t="shared" si="7"/>
        <v>3263.1984</v>
      </c>
      <c r="M41" s="140"/>
      <c r="N41" s="140"/>
    </row>
    <row r="42" ht="72" customHeight="1" spans="1:14">
      <c r="A42" s="127"/>
      <c r="B42" s="129" t="s">
        <v>153</v>
      </c>
      <c r="C42" s="129" t="s">
        <v>154</v>
      </c>
      <c r="D42" s="127" t="s">
        <v>101</v>
      </c>
      <c r="E42" s="131">
        <v>11.76</v>
      </c>
      <c r="F42" s="85">
        <v>15</v>
      </c>
      <c r="G42" s="86">
        <v>25</v>
      </c>
      <c r="H42" s="81">
        <v>6</v>
      </c>
      <c r="I42" s="59">
        <f t="shared" si="4"/>
        <v>9.2</v>
      </c>
      <c r="J42" s="60">
        <f t="shared" si="5"/>
        <v>4.968</v>
      </c>
      <c r="K42" s="60">
        <f t="shared" si="6"/>
        <v>60.168</v>
      </c>
      <c r="L42" s="60">
        <f t="shared" si="7"/>
        <v>707.57568</v>
      </c>
      <c r="M42" s="140"/>
      <c r="N42" s="140"/>
    </row>
    <row r="43" ht="55.5" customHeight="1" spans="1:14">
      <c r="A43" s="127"/>
      <c r="B43" s="129" t="s">
        <v>148</v>
      </c>
      <c r="C43" s="129" t="s">
        <v>155</v>
      </c>
      <c r="D43" s="127" t="s">
        <v>83</v>
      </c>
      <c r="E43" s="133">
        <f>2.6*4.4</f>
        <v>11.44</v>
      </c>
      <c r="F43" s="85">
        <v>120</v>
      </c>
      <c r="G43" s="86">
        <v>420</v>
      </c>
      <c r="H43" s="81">
        <v>60</v>
      </c>
      <c r="I43" s="59">
        <f t="shared" si="4"/>
        <v>120</v>
      </c>
      <c r="J43" s="60">
        <f t="shared" si="5"/>
        <v>64.8</v>
      </c>
      <c r="K43" s="60">
        <f t="shared" si="6"/>
        <v>784.8</v>
      </c>
      <c r="L43" s="60">
        <f t="shared" si="7"/>
        <v>8978.112</v>
      </c>
      <c r="M43" s="140"/>
      <c r="N43" s="140"/>
    </row>
    <row r="44" ht="55.5" customHeight="1" spans="1:14">
      <c r="A44" s="127"/>
      <c r="B44" s="129" t="s">
        <v>156</v>
      </c>
      <c r="C44" s="129" t="s">
        <v>157</v>
      </c>
      <c r="D44" s="127" t="s">
        <v>83</v>
      </c>
      <c r="E44" s="133">
        <f>1.3*4.37*2</f>
        <v>11.362</v>
      </c>
      <c r="F44" s="85">
        <v>130</v>
      </c>
      <c r="G44" s="86">
        <v>460</v>
      </c>
      <c r="H44" s="81">
        <v>70</v>
      </c>
      <c r="I44" s="59">
        <f t="shared" si="4"/>
        <v>132</v>
      </c>
      <c r="J44" s="60">
        <f t="shared" si="5"/>
        <v>71.28</v>
      </c>
      <c r="K44" s="60">
        <f t="shared" si="6"/>
        <v>863.28</v>
      </c>
      <c r="L44" s="60">
        <f t="shared" si="7"/>
        <v>9808.58736</v>
      </c>
      <c r="M44" s="140"/>
      <c r="N44" s="140"/>
    </row>
    <row r="45" ht="55.5" customHeight="1" spans="1:14">
      <c r="A45" s="127"/>
      <c r="B45" s="129" t="s">
        <v>158</v>
      </c>
      <c r="C45" s="129" t="s">
        <v>159</v>
      </c>
      <c r="D45" s="127" t="s">
        <v>83</v>
      </c>
      <c r="E45" s="133">
        <f>4.3*1</f>
        <v>4.3</v>
      </c>
      <c r="F45" s="85">
        <v>120</v>
      </c>
      <c r="G45" s="86">
        <v>420</v>
      </c>
      <c r="H45" s="81">
        <v>60</v>
      </c>
      <c r="I45" s="59">
        <f t="shared" si="4"/>
        <v>120</v>
      </c>
      <c r="J45" s="60">
        <f t="shared" si="5"/>
        <v>64.8</v>
      </c>
      <c r="K45" s="60">
        <f t="shared" si="6"/>
        <v>784.8</v>
      </c>
      <c r="L45" s="60">
        <f t="shared" si="7"/>
        <v>3374.64</v>
      </c>
      <c r="M45" s="140"/>
      <c r="N45" s="140"/>
    </row>
    <row r="46" ht="33" customHeight="1" spans="1:14">
      <c r="A46" s="130">
        <v>2.3</v>
      </c>
      <c r="B46" s="128" t="s">
        <v>160</v>
      </c>
      <c r="C46" s="129"/>
      <c r="D46" s="127"/>
      <c r="E46" s="133"/>
      <c r="F46" s="60"/>
      <c r="G46" s="60"/>
      <c r="H46" s="81"/>
      <c r="I46" s="59">
        <f t="shared" si="4"/>
        <v>0</v>
      </c>
      <c r="J46" s="60">
        <f t="shared" si="5"/>
        <v>0</v>
      </c>
      <c r="K46" s="60">
        <f t="shared" si="6"/>
        <v>0</v>
      </c>
      <c r="L46" s="60">
        <f t="shared" si="7"/>
        <v>0</v>
      </c>
      <c r="M46" s="140"/>
      <c r="N46" s="140"/>
    </row>
    <row r="47" ht="55.5" customHeight="1" spans="1:14">
      <c r="A47" s="127"/>
      <c r="B47" s="129" t="s">
        <v>161</v>
      </c>
      <c r="C47" s="129" t="s">
        <v>162</v>
      </c>
      <c r="D47" s="127" t="s">
        <v>83</v>
      </c>
      <c r="E47" s="133">
        <v>20.24</v>
      </c>
      <c r="F47" s="60">
        <v>40</v>
      </c>
      <c r="G47" s="60">
        <v>50</v>
      </c>
      <c r="H47" s="60">
        <v>25</v>
      </c>
      <c r="I47" s="59">
        <f t="shared" si="4"/>
        <v>23</v>
      </c>
      <c r="J47" s="60">
        <f t="shared" si="5"/>
        <v>12.42</v>
      </c>
      <c r="K47" s="60">
        <f t="shared" si="6"/>
        <v>150.42</v>
      </c>
      <c r="L47" s="60">
        <f t="shared" si="7"/>
        <v>3044.5008</v>
      </c>
      <c r="M47" s="140"/>
      <c r="N47" s="140"/>
    </row>
    <row r="48" ht="55.5" customHeight="1" spans="1:14">
      <c r="A48" s="127"/>
      <c r="B48" s="129" t="s">
        <v>163</v>
      </c>
      <c r="C48" s="129" t="s">
        <v>164</v>
      </c>
      <c r="D48" s="127" t="s">
        <v>83</v>
      </c>
      <c r="E48" s="133">
        <v>20.24</v>
      </c>
      <c r="F48" s="60">
        <v>45</v>
      </c>
      <c r="G48" s="60">
        <v>60</v>
      </c>
      <c r="H48" s="60">
        <v>25</v>
      </c>
      <c r="I48" s="59">
        <f t="shared" si="4"/>
        <v>26</v>
      </c>
      <c r="J48" s="60">
        <f t="shared" si="5"/>
        <v>14.04</v>
      </c>
      <c r="K48" s="60">
        <f t="shared" si="6"/>
        <v>170.04</v>
      </c>
      <c r="L48" s="60">
        <f t="shared" si="7"/>
        <v>3441.6096</v>
      </c>
      <c r="M48" s="140"/>
      <c r="N48" s="140"/>
    </row>
    <row r="49" ht="93" customHeight="1" spans="1:14">
      <c r="A49" s="127"/>
      <c r="B49" s="129" t="s">
        <v>165</v>
      </c>
      <c r="C49" s="129" t="s">
        <v>166</v>
      </c>
      <c r="D49" s="127" t="s">
        <v>83</v>
      </c>
      <c r="E49" s="131">
        <v>91.06</v>
      </c>
      <c r="F49" s="60">
        <v>25</v>
      </c>
      <c r="G49" s="60">
        <v>15</v>
      </c>
      <c r="H49" s="60">
        <v>5</v>
      </c>
      <c r="I49" s="59">
        <f t="shared" si="4"/>
        <v>9</v>
      </c>
      <c r="J49" s="60">
        <f t="shared" si="5"/>
        <v>4.86</v>
      </c>
      <c r="K49" s="60">
        <f t="shared" si="6"/>
        <v>58.86</v>
      </c>
      <c r="L49" s="60">
        <f t="shared" si="7"/>
        <v>5359.7916</v>
      </c>
      <c r="M49" s="141" t="s">
        <v>167</v>
      </c>
      <c r="N49" s="140"/>
    </row>
    <row r="50" s="114" customFormat="1" ht="36" customHeight="1" spans="1:14">
      <c r="A50" s="130">
        <v>3</v>
      </c>
      <c r="B50" s="128" t="s">
        <v>168</v>
      </c>
      <c r="C50" s="129"/>
      <c r="D50" s="127"/>
      <c r="E50" s="131"/>
      <c r="F50" s="60"/>
      <c r="G50" s="60"/>
      <c r="H50" s="60"/>
      <c r="I50" s="59">
        <f t="shared" si="4"/>
        <v>0</v>
      </c>
      <c r="J50" s="60">
        <f t="shared" si="5"/>
        <v>0</v>
      </c>
      <c r="K50" s="60">
        <f t="shared" si="6"/>
        <v>0</v>
      </c>
      <c r="L50" s="60">
        <f t="shared" si="7"/>
        <v>0</v>
      </c>
      <c r="M50" s="86"/>
      <c r="N50" s="86"/>
    </row>
    <row r="51" s="114" customFormat="1" ht="88.5" customHeight="1" spans="1:14">
      <c r="A51" s="127"/>
      <c r="B51" s="129" t="s">
        <v>169</v>
      </c>
      <c r="C51" s="129" t="s">
        <v>170</v>
      </c>
      <c r="D51" s="127" t="s">
        <v>86</v>
      </c>
      <c r="E51" s="131">
        <f>7.5+5.88</f>
        <v>13.38</v>
      </c>
      <c r="F51" s="60">
        <v>5</v>
      </c>
      <c r="G51" s="81">
        <v>0</v>
      </c>
      <c r="H51" s="60">
        <v>18</v>
      </c>
      <c r="I51" s="59">
        <f t="shared" si="4"/>
        <v>4.6</v>
      </c>
      <c r="J51" s="60">
        <f t="shared" si="5"/>
        <v>2.484</v>
      </c>
      <c r="K51" s="60">
        <f t="shared" si="6"/>
        <v>30.084</v>
      </c>
      <c r="L51" s="60">
        <f t="shared" si="7"/>
        <v>402.52392</v>
      </c>
      <c r="M51" s="86"/>
      <c r="N51" s="86"/>
    </row>
    <row r="52" s="114" customFormat="1" ht="88.5" customHeight="1" spans="1:14">
      <c r="A52" s="127"/>
      <c r="B52" s="129" t="s">
        <v>171</v>
      </c>
      <c r="C52" s="129" t="s">
        <v>172</v>
      </c>
      <c r="D52" s="127" t="s">
        <v>86</v>
      </c>
      <c r="E52" s="131">
        <f>13.38-1.14-0.77-1.73-1.62-1.2*0.24*0.24*4</f>
        <v>7.84352</v>
      </c>
      <c r="F52" s="60">
        <v>5</v>
      </c>
      <c r="G52" s="81">
        <v>0</v>
      </c>
      <c r="H52" s="60">
        <v>18</v>
      </c>
      <c r="I52" s="59">
        <f t="shared" si="4"/>
        <v>4.6</v>
      </c>
      <c r="J52" s="60">
        <f t="shared" si="5"/>
        <v>2.484</v>
      </c>
      <c r="K52" s="60">
        <f t="shared" si="6"/>
        <v>30.084</v>
      </c>
      <c r="L52" s="60">
        <f t="shared" si="7"/>
        <v>235.96445568</v>
      </c>
      <c r="M52" s="86"/>
      <c r="N52" s="86"/>
    </row>
    <row r="53" s="114" customFormat="1" ht="39" customHeight="1" spans="1:14">
      <c r="A53" s="127"/>
      <c r="B53" s="129" t="s">
        <v>81</v>
      </c>
      <c r="C53" s="129" t="s">
        <v>173</v>
      </c>
      <c r="D53" s="127" t="s">
        <v>83</v>
      </c>
      <c r="E53" s="131">
        <f>4.29+3.36</f>
        <v>7.65</v>
      </c>
      <c r="F53" s="60">
        <v>2</v>
      </c>
      <c r="G53" s="81">
        <v>0</v>
      </c>
      <c r="H53" s="60">
        <v>2</v>
      </c>
      <c r="I53" s="59">
        <f t="shared" si="4"/>
        <v>0.8</v>
      </c>
      <c r="J53" s="60">
        <f t="shared" si="5"/>
        <v>0.432</v>
      </c>
      <c r="K53" s="60">
        <f t="shared" si="6"/>
        <v>5.232</v>
      </c>
      <c r="L53" s="60">
        <f t="shared" si="7"/>
        <v>40.0248</v>
      </c>
      <c r="M53" s="86"/>
      <c r="N53" s="86"/>
    </row>
    <row r="54" s="114" customFormat="1" ht="39" customHeight="1" spans="1:14">
      <c r="A54" s="127"/>
      <c r="B54" s="129" t="s">
        <v>84</v>
      </c>
      <c r="C54" s="129" t="s">
        <v>174</v>
      </c>
      <c r="D54" s="127" t="s">
        <v>86</v>
      </c>
      <c r="E54" s="131">
        <f>0.64+0.5</f>
        <v>1.14</v>
      </c>
      <c r="F54" s="60">
        <v>18</v>
      </c>
      <c r="G54" s="81">
        <v>60</v>
      </c>
      <c r="H54" s="60">
        <v>12</v>
      </c>
      <c r="I54" s="59">
        <f t="shared" si="4"/>
        <v>18</v>
      </c>
      <c r="J54" s="60">
        <f t="shared" si="5"/>
        <v>9.72</v>
      </c>
      <c r="K54" s="60">
        <f t="shared" si="6"/>
        <v>117.72</v>
      </c>
      <c r="L54" s="60">
        <f t="shared" si="7"/>
        <v>134.2008</v>
      </c>
      <c r="M54" s="86"/>
      <c r="N54" s="86"/>
    </row>
    <row r="55" s="114" customFormat="1" ht="72" customHeight="1" spans="1:14">
      <c r="A55" s="127"/>
      <c r="B55" s="129" t="s">
        <v>87</v>
      </c>
      <c r="C55" s="129" t="s">
        <v>175</v>
      </c>
      <c r="D55" s="127" t="s">
        <v>86</v>
      </c>
      <c r="E55" s="131">
        <f>0.43+0.34</f>
        <v>0.77</v>
      </c>
      <c r="F55" s="60">
        <v>170</v>
      </c>
      <c r="G55" s="81">
        <v>400</v>
      </c>
      <c r="H55" s="60">
        <v>15</v>
      </c>
      <c r="I55" s="59">
        <f t="shared" si="4"/>
        <v>117</v>
      </c>
      <c r="J55" s="60">
        <f t="shared" si="5"/>
        <v>63.18</v>
      </c>
      <c r="K55" s="60">
        <f t="shared" si="6"/>
        <v>765.18</v>
      </c>
      <c r="L55" s="60">
        <f t="shared" si="7"/>
        <v>589.1886</v>
      </c>
      <c r="M55" s="86"/>
      <c r="N55" s="86"/>
    </row>
    <row r="56" s="114" customFormat="1" ht="72" customHeight="1" spans="1:14">
      <c r="A56" s="127"/>
      <c r="B56" s="129" t="s">
        <v>176</v>
      </c>
      <c r="C56" s="129" t="s">
        <v>177</v>
      </c>
      <c r="D56" s="127" t="s">
        <v>86</v>
      </c>
      <c r="E56" s="131">
        <v>1.73</v>
      </c>
      <c r="F56" s="60">
        <v>170</v>
      </c>
      <c r="G56" s="81">
        <v>400</v>
      </c>
      <c r="H56" s="60">
        <v>15</v>
      </c>
      <c r="I56" s="59">
        <f t="shared" si="4"/>
        <v>117</v>
      </c>
      <c r="J56" s="60">
        <f t="shared" si="5"/>
        <v>63.18</v>
      </c>
      <c r="K56" s="60">
        <f t="shared" si="6"/>
        <v>765.18</v>
      </c>
      <c r="L56" s="60">
        <f t="shared" si="7"/>
        <v>1323.7614</v>
      </c>
      <c r="M56" s="86"/>
      <c r="N56" s="86"/>
    </row>
    <row r="57" s="114" customFormat="1" ht="72" customHeight="1" spans="1:14">
      <c r="A57" s="127"/>
      <c r="B57" s="129" t="s">
        <v>178</v>
      </c>
      <c r="C57" s="129" t="s">
        <v>179</v>
      </c>
      <c r="D57" s="127" t="s">
        <v>86</v>
      </c>
      <c r="E57" s="131">
        <v>1.62</v>
      </c>
      <c r="F57" s="60">
        <v>260</v>
      </c>
      <c r="G57" s="60">
        <v>280</v>
      </c>
      <c r="H57" s="60">
        <v>40</v>
      </c>
      <c r="I57" s="59">
        <f t="shared" si="4"/>
        <v>116</v>
      </c>
      <c r="J57" s="60">
        <f t="shared" si="5"/>
        <v>62.64</v>
      </c>
      <c r="K57" s="60">
        <f t="shared" si="6"/>
        <v>758.64</v>
      </c>
      <c r="L57" s="60">
        <f t="shared" si="7"/>
        <v>1228.9968</v>
      </c>
      <c r="M57" s="86"/>
      <c r="N57" s="86"/>
    </row>
    <row r="58" s="114" customFormat="1" ht="55.5" customHeight="1" spans="1:14">
      <c r="A58" s="127"/>
      <c r="B58" s="129" t="s">
        <v>180</v>
      </c>
      <c r="C58" s="129" t="s">
        <v>181</v>
      </c>
      <c r="D58" s="127" t="s">
        <v>86</v>
      </c>
      <c r="E58" s="131">
        <v>3.24</v>
      </c>
      <c r="F58" s="60">
        <v>260</v>
      </c>
      <c r="G58" s="60">
        <v>280</v>
      </c>
      <c r="H58" s="60">
        <v>40</v>
      </c>
      <c r="I58" s="59">
        <f t="shared" si="4"/>
        <v>116</v>
      </c>
      <c r="J58" s="60">
        <f t="shared" si="5"/>
        <v>62.64</v>
      </c>
      <c r="K58" s="60">
        <f t="shared" si="6"/>
        <v>758.64</v>
      </c>
      <c r="L58" s="60">
        <f t="shared" si="7"/>
        <v>2457.9936</v>
      </c>
      <c r="M58" s="86"/>
      <c r="N58" s="86"/>
    </row>
    <row r="59" s="114" customFormat="1" ht="72" customHeight="1" spans="1:14">
      <c r="A59" s="127"/>
      <c r="B59" s="129" t="s">
        <v>182</v>
      </c>
      <c r="C59" s="129" t="s">
        <v>183</v>
      </c>
      <c r="D59" s="127" t="s">
        <v>86</v>
      </c>
      <c r="E59" s="131">
        <v>1.18</v>
      </c>
      <c r="F59" s="60">
        <v>170</v>
      </c>
      <c r="G59" s="81">
        <v>400</v>
      </c>
      <c r="H59" s="60">
        <v>15</v>
      </c>
      <c r="I59" s="59">
        <f t="shared" si="4"/>
        <v>117</v>
      </c>
      <c r="J59" s="60">
        <f t="shared" si="5"/>
        <v>63.18</v>
      </c>
      <c r="K59" s="60">
        <f t="shared" si="6"/>
        <v>765.18</v>
      </c>
      <c r="L59" s="60">
        <f t="shared" si="7"/>
        <v>902.9124</v>
      </c>
      <c r="M59" s="86"/>
      <c r="N59" s="86"/>
    </row>
    <row r="60" s="114" customFormat="1" ht="72" customHeight="1" spans="1:14">
      <c r="A60" s="127"/>
      <c r="B60" s="129" t="s">
        <v>184</v>
      </c>
      <c r="C60" s="129" t="s">
        <v>185</v>
      </c>
      <c r="D60" s="127" t="s">
        <v>86</v>
      </c>
      <c r="E60" s="131">
        <v>0.7</v>
      </c>
      <c r="F60" s="60">
        <v>170</v>
      </c>
      <c r="G60" s="81">
        <v>400</v>
      </c>
      <c r="H60" s="60">
        <v>15</v>
      </c>
      <c r="I60" s="59">
        <f t="shared" si="4"/>
        <v>117</v>
      </c>
      <c r="J60" s="60">
        <f t="shared" si="5"/>
        <v>63.18</v>
      </c>
      <c r="K60" s="60">
        <f t="shared" si="6"/>
        <v>765.18</v>
      </c>
      <c r="L60" s="60">
        <f t="shared" si="7"/>
        <v>535.626</v>
      </c>
      <c r="M60" s="86"/>
      <c r="N60" s="86"/>
    </row>
    <row r="61" s="114" customFormat="1" ht="55.5" customHeight="1" spans="1:14">
      <c r="A61" s="127"/>
      <c r="B61" s="129" t="s">
        <v>186</v>
      </c>
      <c r="C61" s="129" t="s">
        <v>187</v>
      </c>
      <c r="D61" s="127" t="s">
        <v>109</v>
      </c>
      <c r="E61" s="133">
        <f>0.136</f>
        <v>0.136</v>
      </c>
      <c r="F61" s="60">
        <v>800</v>
      </c>
      <c r="G61" s="60">
        <v>4000</v>
      </c>
      <c r="H61" s="60">
        <v>50</v>
      </c>
      <c r="I61" s="59">
        <f t="shared" si="4"/>
        <v>970</v>
      </c>
      <c r="J61" s="60">
        <f t="shared" si="5"/>
        <v>523.8</v>
      </c>
      <c r="K61" s="60">
        <f t="shared" si="6"/>
        <v>6343.8</v>
      </c>
      <c r="L61" s="60">
        <f t="shared" si="7"/>
        <v>862.7568</v>
      </c>
      <c r="M61" s="86"/>
      <c r="N61" s="86"/>
    </row>
    <row r="62" s="114" customFormat="1" ht="55.5" customHeight="1" spans="1:14">
      <c r="A62" s="127"/>
      <c r="B62" s="129" t="s">
        <v>186</v>
      </c>
      <c r="C62" s="129" t="s">
        <v>188</v>
      </c>
      <c r="D62" s="127" t="s">
        <v>109</v>
      </c>
      <c r="E62" s="133">
        <f>(0.293-0.136)</f>
        <v>0.157</v>
      </c>
      <c r="F62" s="60">
        <v>800</v>
      </c>
      <c r="G62" s="60">
        <v>4000</v>
      </c>
      <c r="H62" s="60">
        <v>50</v>
      </c>
      <c r="I62" s="59">
        <f t="shared" si="4"/>
        <v>970</v>
      </c>
      <c r="J62" s="60">
        <f t="shared" si="5"/>
        <v>523.8</v>
      </c>
      <c r="K62" s="60">
        <f t="shared" si="6"/>
        <v>6343.8</v>
      </c>
      <c r="L62" s="60">
        <f t="shared" si="7"/>
        <v>995.9766</v>
      </c>
      <c r="M62" s="86"/>
      <c r="N62" s="86"/>
    </row>
    <row r="63" s="114" customFormat="1" ht="72" customHeight="1" spans="1:14">
      <c r="A63" s="127"/>
      <c r="B63" s="129" t="s">
        <v>189</v>
      </c>
      <c r="C63" s="129" t="s">
        <v>190</v>
      </c>
      <c r="D63" s="127" t="s">
        <v>83</v>
      </c>
      <c r="E63" s="131">
        <v>20.36</v>
      </c>
      <c r="F63" s="60">
        <v>30</v>
      </c>
      <c r="G63" s="60">
        <v>70</v>
      </c>
      <c r="H63" s="60">
        <v>10</v>
      </c>
      <c r="I63" s="59">
        <f t="shared" si="4"/>
        <v>22</v>
      </c>
      <c r="J63" s="60">
        <f t="shared" si="5"/>
        <v>11.88</v>
      </c>
      <c r="K63" s="60">
        <f t="shared" si="6"/>
        <v>143.88</v>
      </c>
      <c r="L63" s="60">
        <f t="shared" si="7"/>
        <v>2929.3968</v>
      </c>
      <c r="M63" s="86"/>
      <c r="N63" s="86"/>
    </row>
    <row r="64" s="114" customFormat="1" ht="72" customHeight="1" spans="1:14">
      <c r="A64" s="127"/>
      <c r="B64" s="129" t="s">
        <v>191</v>
      </c>
      <c r="C64" s="129" t="s">
        <v>192</v>
      </c>
      <c r="D64" s="127" t="s">
        <v>83</v>
      </c>
      <c r="E64" s="131">
        <v>3.91</v>
      </c>
      <c r="F64" s="60">
        <v>50</v>
      </c>
      <c r="G64" s="60">
        <v>120</v>
      </c>
      <c r="H64" s="60">
        <v>15</v>
      </c>
      <c r="I64" s="59">
        <f t="shared" si="4"/>
        <v>37</v>
      </c>
      <c r="J64" s="60">
        <f t="shared" si="5"/>
        <v>19.98</v>
      </c>
      <c r="K64" s="60">
        <f t="shared" si="6"/>
        <v>241.98</v>
      </c>
      <c r="L64" s="60">
        <f t="shared" si="7"/>
        <v>946.1418</v>
      </c>
      <c r="M64" s="86"/>
      <c r="N64" s="86"/>
    </row>
    <row r="65" s="114" customFormat="1" ht="72" customHeight="1" spans="1:14">
      <c r="A65" s="127"/>
      <c r="B65" s="129" t="s">
        <v>193</v>
      </c>
      <c r="C65" s="129" t="s">
        <v>194</v>
      </c>
      <c r="D65" s="127" t="s">
        <v>83</v>
      </c>
      <c r="E65" s="131">
        <v>22.46</v>
      </c>
      <c r="F65" s="134">
        <v>90</v>
      </c>
      <c r="G65" s="134">
        <v>160</v>
      </c>
      <c r="H65" s="134">
        <v>90</v>
      </c>
      <c r="I65" s="59">
        <f t="shared" si="4"/>
        <v>68</v>
      </c>
      <c r="J65" s="60">
        <f t="shared" si="5"/>
        <v>36.72</v>
      </c>
      <c r="K65" s="60">
        <f t="shared" si="6"/>
        <v>444.72</v>
      </c>
      <c r="L65" s="60">
        <f t="shared" si="7"/>
        <v>9988.4112</v>
      </c>
      <c r="M65" s="140"/>
      <c r="N65" s="140"/>
    </row>
    <row r="66" s="114" customFormat="1" ht="72" customHeight="1" spans="1:14">
      <c r="A66" s="127"/>
      <c r="B66" s="129" t="s">
        <v>195</v>
      </c>
      <c r="C66" s="129" t="s">
        <v>196</v>
      </c>
      <c r="D66" s="127" t="s">
        <v>109</v>
      </c>
      <c r="E66" s="133">
        <f>0.368</f>
        <v>0.368</v>
      </c>
      <c r="F66" s="60">
        <v>2800</v>
      </c>
      <c r="G66" s="60">
        <v>4600</v>
      </c>
      <c r="H66" s="60">
        <v>50</v>
      </c>
      <c r="I66" s="59">
        <f t="shared" si="4"/>
        <v>1490</v>
      </c>
      <c r="J66" s="60">
        <f t="shared" si="5"/>
        <v>804.6</v>
      </c>
      <c r="K66" s="60">
        <f t="shared" si="6"/>
        <v>9744.6</v>
      </c>
      <c r="L66" s="60">
        <f t="shared" si="7"/>
        <v>3586.0128</v>
      </c>
      <c r="M66" s="140"/>
      <c r="N66" s="140"/>
    </row>
    <row r="67" s="114" customFormat="1" ht="29" customHeight="1" spans="1:14">
      <c r="A67" s="130">
        <v>4</v>
      </c>
      <c r="B67" s="128" t="s">
        <v>197</v>
      </c>
      <c r="C67" s="129"/>
      <c r="D67" s="127"/>
      <c r="E67" s="131"/>
      <c r="F67" s="60"/>
      <c r="G67" s="60"/>
      <c r="H67" s="60"/>
      <c r="I67" s="59">
        <f t="shared" si="4"/>
        <v>0</v>
      </c>
      <c r="J67" s="60">
        <f t="shared" si="5"/>
        <v>0</v>
      </c>
      <c r="K67" s="60">
        <f t="shared" si="6"/>
        <v>0</v>
      </c>
      <c r="L67" s="60">
        <f t="shared" si="7"/>
        <v>0</v>
      </c>
      <c r="M67" s="86"/>
      <c r="N67" s="86"/>
    </row>
    <row r="68" s="114" customFormat="1" ht="59" customHeight="1" spans="1:14">
      <c r="A68" s="127"/>
      <c r="B68" s="129" t="s">
        <v>169</v>
      </c>
      <c r="C68" s="129" t="s">
        <v>170</v>
      </c>
      <c r="D68" s="127" t="s">
        <v>86</v>
      </c>
      <c r="E68" s="131">
        <v>9.97</v>
      </c>
      <c r="F68" s="60">
        <v>5</v>
      </c>
      <c r="G68" s="81">
        <v>0</v>
      </c>
      <c r="H68" s="60">
        <v>18</v>
      </c>
      <c r="I68" s="59">
        <f t="shared" si="4"/>
        <v>4.6</v>
      </c>
      <c r="J68" s="60">
        <f t="shared" si="5"/>
        <v>2.484</v>
      </c>
      <c r="K68" s="60">
        <f t="shared" si="6"/>
        <v>30.084</v>
      </c>
      <c r="L68" s="60">
        <f t="shared" si="7"/>
        <v>299.93748</v>
      </c>
      <c r="M68" s="86"/>
      <c r="N68" s="86"/>
    </row>
    <row r="69" s="114" customFormat="1" ht="67" customHeight="1" spans="1:14">
      <c r="A69" s="127"/>
      <c r="B69" s="129" t="s">
        <v>171</v>
      </c>
      <c r="C69" s="129" t="s">
        <v>172</v>
      </c>
      <c r="D69" s="127" t="s">
        <v>86</v>
      </c>
      <c r="E69" s="131">
        <v>0</v>
      </c>
      <c r="F69" s="60"/>
      <c r="G69" s="60"/>
      <c r="H69" s="60"/>
      <c r="I69" s="59">
        <f t="shared" si="4"/>
        <v>0</v>
      </c>
      <c r="J69" s="60">
        <f t="shared" si="5"/>
        <v>0</v>
      </c>
      <c r="K69" s="60">
        <f t="shared" si="6"/>
        <v>0</v>
      </c>
      <c r="L69" s="60">
        <f t="shared" si="7"/>
        <v>0</v>
      </c>
      <c r="M69" s="86"/>
      <c r="N69" s="86"/>
    </row>
    <row r="70" s="114" customFormat="1" ht="39" customHeight="1" spans="1:14">
      <c r="A70" s="127"/>
      <c r="B70" s="129" t="s">
        <v>81</v>
      </c>
      <c r="C70" s="129" t="s">
        <v>173</v>
      </c>
      <c r="D70" s="127" t="s">
        <v>83</v>
      </c>
      <c r="E70" s="131">
        <f>30.46*0</f>
        <v>0</v>
      </c>
      <c r="F70" s="60"/>
      <c r="G70" s="60"/>
      <c r="H70" s="60"/>
      <c r="I70" s="59">
        <f t="shared" si="4"/>
        <v>0</v>
      </c>
      <c r="J70" s="60">
        <f t="shared" si="5"/>
        <v>0</v>
      </c>
      <c r="K70" s="60">
        <f t="shared" si="6"/>
        <v>0</v>
      </c>
      <c r="L70" s="60">
        <f t="shared" si="7"/>
        <v>0</v>
      </c>
      <c r="M70" s="86"/>
      <c r="N70" s="86"/>
    </row>
    <row r="71" s="114" customFormat="1" ht="72" customHeight="1" spans="1:14">
      <c r="A71" s="127"/>
      <c r="B71" s="129" t="s">
        <v>198</v>
      </c>
      <c r="C71" s="129" t="s">
        <v>177</v>
      </c>
      <c r="D71" s="127" t="s">
        <v>86</v>
      </c>
      <c r="E71" s="131">
        <v>9.97</v>
      </c>
      <c r="F71" s="60">
        <v>170</v>
      </c>
      <c r="G71" s="81">
        <v>400</v>
      </c>
      <c r="H71" s="60">
        <v>15</v>
      </c>
      <c r="I71" s="59">
        <f t="shared" si="4"/>
        <v>117</v>
      </c>
      <c r="J71" s="60">
        <f t="shared" si="5"/>
        <v>63.18</v>
      </c>
      <c r="K71" s="60">
        <f t="shared" si="6"/>
        <v>765.18</v>
      </c>
      <c r="L71" s="60">
        <f t="shared" si="7"/>
        <v>7628.8446</v>
      </c>
      <c r="M71" s="86"/>
      <c r="N71" s="86"/>
    </row>
    <row r="72" s="114" customFormat="1" ht="55.5" customHeight="1" spans="1:14">
      <c r="A72" s="127"/>
      <c r="B72" s="129" t="s">
        <v>199</v>
      </c>
      <c r="C72" s="129" t="s">
        <v>181</v>
      </c>
      <c r="D72" s="127" t="s">
        <v>86</v>
      </c>
      <c r="E72" s="131">
        <v>19.9</v>
      </c>
      <c r="F72" s="60">
        <v>170</v>
      </c>
      <c r="G72" s="81">
        <v>400</v>
      </c>
      <c r="H72" s="60">
        <v>15</v>
      </c>
      <c r="I72" s="59">
        <f t="shared" ref="I72:I95" si="8">(F72+G72+H72)*0.2</f>
        <v>117</v>
      </c>
      <c r="J72" s="60">
        <f t="shared" ref="J72:J95" si="9">(F72+G72+H72+I72)*0.09</f>
        <v>63.18</v>
      </c>
      <c r="K72" s="60">
        <f t="shared" ref="K72:K95" si="10">SUM(F72:J72)</f>
        <v>765.18</v>
      </c>
      <c r="L72" s="60">
        <f t="shared" ref="L72:L95" si="11">E72*K72</f>
        <v>15227.082</v>
      </c>
      <c r="M72" s="86"/>
      <c r="N72" s="86"/>
    </row>
    <row r="73" s="114" customFormat="1" ht="55.5" customHeight="1" spans="1:14">
      <c r="A73" s="127"/>
      <c r="B73" s="129" t="s">
        <v>186</v>
      </c>
      <c r="C73" s="129" t="s">
        <v>187</v>
      </c>
      <c r="D73" s="127" t="s">
        <v>109</v>
      </c>
      <c r="E73" s="133">
        <v>0.697</v>
      </c>
      <c r="F73" s="60">
        <v>800</v>
      </c>
      <c r="G73" s="60">
        <v>4000</v>
      </c>
      <c r="H73" s="60">
        <v>50</v>
      </c>
      <c r="I73" s="59">
        <f t="shared" si="8"/>
        <v>970</v>
      </c>
      <c r="J73" s="60">
        <f t="shared" si="9"/>
        <v>523.8</v>
      </c>
      <c r="K73" s="60">
        <f t="shared" si="10"/>
        <v>6343.8</v>
      </c>
      <c r="L73" s="60">
        <f t="shared" si="11"/>
        <v>4421.6286</v>
      </c>
      <c r="M73" s="86"/>
      <c r="N73" s="86"/>
    </row>
    <row r="74" s="114" customFormat="1" ht="55.5" customHeight="1" spans="1:14">
      <c r="A74" s="127"/>
      <c r="B74" s="129" t="s">
        <v>186</v>
      </c>
      <c r="C74" s="129" t="s">
        <v>200</v>
      </c>
      <c r="D74" s="127" t="s">
        <v>109</v>
      </c>
      <c r="E74" s="133">
        <f>1.854-0.697</f>
        <v>1.157</v>
      </c>
      <c r="F74" s="60">
        <v>800</v>
      </c>
      <c r="G74" s="60">
        <v>4000</v>
      </c>
      <c r="H74" s="60">
        <v>50</v>
      </c>
      <c r="I74" s="59">
        <f t="shared" si="8"/>
        <v>970</v>
      </c>
      <c r="J74" s="60">
        <f t="shared" si="9"/>
        <v>523.8</v>
      </c>
      <c r="K74" s="60">
        <f t="shared" si="10"/>
        <v>6343.8</v>
      </c>
      <c r="L74" s="60">
        <f t="shared" si="11"/>
        <v>7339.7766</v>
      </c>
      <c r="M74" s="86"/>
      <c r="N74" s="86"/>
    </row>
    <row r="75" s="114" customFormat="1" ht="55.5" customHeight="1" spans="1:14">
      <c r="A75" s="127"/>
      <c r="B75" s="129" t="s">
        <v>189</v>
      </c>
      <c r="C75" s="129" t="s">
        <v>201</v>
      </c>
      <c r="D75" s="127" t="s">
        <v>83</v>
      </c>
      <c r="E75" s="131">
        <v>33.54</v>
      </c>
      <c r="F75" s="134">
        <v>30</v>
      </c>
      <c r="G75" s="134">
        <v>70</v>
      </c>
      <c r="H75" s="134">
        <v>10</v>
      </c>
      <c r="I75" s="59">
        <f t="shared" si="8"/>
        <v>22</v>
      </c>
      <c r="J75" s="60">
        <f t="shared" si="9"/>
        <v>11.88</v>
      </c>
      <c r="K75" s="60">
        <f t="shared" si="10"/>
        <v>143.88</v>
      </c>
      <c r="L75" s="60">
        <f t="shared" si="11"/>
        <v>4825.7352</v>
      </c>
      <c r="M75" s="86"/>
      <c r="N75" s="86"/>
    </row>
    <row r="76" s="114" customFormat="1" ht="55.5" customHeight="1" spans="1:14">
      <c r="A76" s="127"/>
      <c r="B76" s="129" t="s">
        <v>191</v>
      </c>
      <c r="C76" s="129" t="s">
        <v>202</v>
      </c>
      <c r="D76" s="127" t="s">
        <v>83</v>
      </c>
      <c r="E76" s="131">
        <v>14.15</v>
      </c>
      <c r="F76" s="134">
        <v>50</v>
      </c>
      <c r="G76" s="134">
        <v>120</v>
      </c>
      <c r="H76" s="134">
        <v>15</v>
      </c>
      <c r="I76" s="59">
        <f t="shared" si="8"/>
        <v>37</v>
      </c>
      <c r="J76" s="60">
        <f t="shared" si="9"/>
        <v>19.98</v>
      </c>
      <c r="K76" s="60">
        <f t="shared" si="10"/>
        <v>241.98</v>
      </c>
      <c r="L76" s="60">
        <f t="shared" si="11"/>
        <v>3424.017</v>
      </c>
      <c r="M76" s="86"/>
      <c r="N76" s="86"/>
    </row>
    <row r="77" s="114" customFormat="1" ht="72" customHeight="1" spans="1:14">
      <c r="A77" s="127"/>
      <c r="B77" s="129" t="s">
        <v>193</v>
      </c>
      <c r="C77" s="129" t="s">
        <v>194</v>
      </c>
      <c r="D77" s="127" t="s">
        <v>83</v>
      </c>
      <c r="E77" s="131">
        <v>73.37</v>
      </c>
      <c r="F77" s="134">
        <v>90</v>
      </c>
      <c r="G77" s="134">
        <v>160</v>
      </c>
      <c r="H77" s="134">
        <v>90</v>
      </c>
      <c r="I77" s="59">
        <f t="shared" si="8"/>
        <v>68</v>
      </c>
      <c r="J77" s="60">
        <f t="shared" si="9"/>
        <v>36.72</v>
      </c>
      <c r="K77" s="60">
        <f t="shared" si="10"/>
        <v>444.72</v>
      </c>
      <c r="L77" s="60">
        <f t="shared" si="11"/>
        <v>32629.1064</v>
      </c>
      <c r="M77" s="140"/>
      <c r="N77" s="140"/>
    </row>
    <row r="78" s="114" customFormat="1" ht="72" customHeight="1" spans="1:14">
      <c r="A78" s="127"/>
      <c r="B78" s="129" t="s">
        <v>195</v>
      </c>
      <c r="C78" s="129" t="s">
        <v>196</v>
      </c>
      <c r="D78" s="127" t="s">
        <v>109</v>
      </c>
      <c r="E78" s="133">
        <v>1.157</v>
      </c>
      <c r="F78" s="60">
        <v>2800</v>
      </c>
      <c r="G78" s="60">
        <v>4600</v>
      </c>
      <c r="H78" s="60">
        <v>50</v>
      </c>
      <c r="I78" s="59">
        <f t="shared" si="8"/>
        <v>1490</v>
      </c>
      <c r="J78" s="60">
        <f t="shared" si="9"/>
        <v>804.6</v>
      </c>
      <c r="K78" s="60">
        <f t="shared" si="10"/>
        <v>9744.6</v>
      </c>
      <c r="L78" s="60">
        <f t="shared" si="11"/>
        <v>11274.5022</v>
      </c>
      <c r="M78" s="140"/>
      <c r="N78" s="140"/>
    </row>
    <row r="79" s="114" customFormat="1" ht="36" customHeight="1" spans="1:14">
      <c r="A79" s="130">
        <v>5</v>
      </c>
      <c r="B79" s="128" t="s">
        <v>203</v>
      </c>
      <c r="C79" s="129"/>
      <c r="D79" s="127"/>
      <c r="E79" s="133"/>
      <c r="F79" s="60"/>
      <c r="G79" s="60"/>
      <c r="H79" s="60"/>
      <c r="I79" s="59">
        <f t="shared" si="8"/>
        <v>0</v>
      </c>
      <c r="J79" s="60">
        <f t="shared" si="9"/>
        <v>0</v>
      </c>
      <c r="K79" s="60">
        <f t="shared" si="10"/>
        <v>0</v>
      </c>
      <c r="L79" s="60">
        <f t="shared" si="11"/>
        <v>0</v>
      </c>
      <c r="M79" s="140"/>
      <c r="N79" s="140"/>
    </row>
    <row r="80" s="114" customFormat="1" ht="88.5" customHeight="1" spans="1:14">
      <c r="A80" s="127"/>
      <c r="B80" s="129" t="s">
        <v>169</v>
      </c>
      <c r="C80" s="129" t="s">
        <v>170</v>
      </c>
      <c r="D80" s="127" t="s">
        <v>86</v>
      </c>
      <c r="E80" s="133">
        <f>5.46+4.39</f>
        <v>9.85</v>
      </c>
      <c r="F80" s="60">
        <v>5</v>
      </c>
      <c r="G80" s="81">
        <v>0</v>
      </c>
      <c r="H80" s="60">
        <v>18</v>
      </c>
      <c r="I80" s="59">
        <f t="shared" si="8"/>
        <v>4.6</v>
      </c>
      <c r="J80" s="60">
        <f t="shared" si="9"/>
        <v>2.484</v>
      </c>
      <c r="K80" s="60">
        <f t="shared" si="10"/>
        <v>30.084</v>
      </c>
      <c r="L80" s="60">
        <f t="shared" si="11"/>
        <v>296.3274</v>
      </c>
      <c r="M80" s="140"/>
      <c r="N80" s="140"/>
    </row>
    <row r="81" s="114" customFormat="1" ht="88.5" customHeight="1" spans="1:14">
      <c r="A81" s="127"/>
      <c r="B81" s="129" t="s">
        <v>171</v>
      </c>
      <c r="C81" s="129" t="s">
        <v>172</v>
      </c>
      <c r="D81" s="127" t="s">
        <v>86</v>
      </c>
      <c r="E81" s="133">
        <f>9.85-2.12-1.41-0.86-1.26-0.24*0.54*0.5*3</f>
        <v>4.0056</v>
      </c>
      <c r="F81" s="60">
        <v>5</v>
      </c>
      <c r="G81" s="81">
        <v>0</v>
      </c>
      <c r="H81" s="60">
        <v>18</v>
      </c>
      <c r="I81" s="59">
        <f t="shared" si="8"/>
        <v>4.6</v>
      </c>
      <c r="J81" s="60">
        <f t="shared" si="9"/>
        <v>2.484</v>
      </c>
      <c r="K81" s="60">
        <f t="shared" si="10"/>
        <v>30.084</v>
      </c>
      <c r="L81" s="60">
        <f t="shared" si="11"/>
        <v>120.5044704</v>
      </c>
      <c r="M81" s="140"/>
      <c r="N81" s="140"/>
    </row>
    <row r="82" s="114" customFormat="1" ht="39" customHeight="1" spans="1:14">
      <c r="A82" s="127"/>
      <c r="B82" s="129" t="s">
        <v>81</v>
      </c>
      <c r="C82" s="129" t="s">
        <v>173</v>
      </c>
      <c r="D82" s="127" t="s">
        <v>83</v>
      </c>
      <c r="E82" s="133">
        <f>9.92+4.18</f>
        <v>14.1</v>
      </c>
      <c r="F82" s="60">
        <v>2</v>
      </c>
      <c r="G82" s="81">
        <v>0</v>
      </c>
      <c r="H82" s="60">
        <v>2</v>
      </c>
      <c r="I82" s="59">
        <f t="shared" si="8"/>
        <v>0.8</v>
      </c>
      <c r="J82" s="60">
        <f t="shared" si="9"/>
        <v>0.432</v>
      </c>
      <c r="K82" s="60">
        <f t="shared" si="10"/>
        <v>5.232</v>
      </c>
      <c r="L82" s="60">
        <f t="shared" si="11"/>
        <v>73.7712</v>
      </c>
      <c r="M82" s="140"/>
      <c r="N82" s="140"/>
    </row>
    <row r="83" s="114" customFormat="1" ht="39" customHeight="1" spans="1:14">
      <c r="A83" s="127"/>
      <c r="B83" s="129" t="s">
        <v>84</v>
      </c>
      <c r="C83" s="129" t="s">
        <v>174</v>
      </c>
      <c r="D83" s="127" t="s">
        <v>86</v>
      </c>
      <c r="E83" s="133">
        <f>1.49+0.63</f>
        <v>2.12</v>
      </c>
      <c r="F83" s="60">
        <v>18</v>
      </c>
      <c r="G83" s="81">
        <v>60</v>
      </c>
      <c r="H83" s="60">
        <v>12</v>
      </c>
      <c r="I83" s="59">
        <f t="shared" si="8"/>
        <v>18</v>
      </c>
      <c r="J83" s="60">
        <f t="shared" si="9"/>
        <v>9.72</v>
      </c>
      <c r="K83" s="60">
        <f t="shared" si="10"/>
        <v>117.72</v>
      </c>
      <c r="L83" s="60">
        <f t="shared" si="11"/>
        <v>249.5664</v>
      </c>
      <c r="M83" s="140"/>
      <c r="N83" s="140"/>
    </row>
    <row r="84" s="114" customFormat="1" ht="72" customHeight="1" spans="1:14">
      <c r="A84" s="127"/>
      <c r="B84" s="129" t="s">
        <v>87</v>
      </c>
      <c r="C84" s="129" t="s">
        <v>175</v>
      </c>
      <c r="D84" s="127" t="s">
        <v>86</v>
      </c>
      <c r="E84" s="133">
        <f>0.99+0.42</f>
        <v>1.41</v>
      </c>
      <c r="F84" s="60">
        <v>170</v>
      </c>
      <c r="G84" s="81">
        <v>400</v>
      </c>
      <c r="H84" s="60">
        <v>15</v>
      </c>
      <c r="I84" s="59">
        <f t="shared" si="8"/>
        <v>117</v>
      </c>
      <c r="J84" s="60">
        <f t="shared" si="9"/>
        <v>63.18</v>
      </c>
      <c r="K84" s="60">
        <f t="shared" si="10"/>
        <v>765.18</v>
      </c>
      <c r="L84" s="60">
        <f t="shared" si="11"/>
        <v>1078.9038</v>
      </c>
      <c r="M84" s="140"/>
      <c r="N84" s="140"/>
    </row>
    <row r="85" s="114" customFormat="1" ht="72" customHeight="1" spans="1:14">
      <c r="A85" s="127"/>
      <c r="B85" s="129" t="s">
        <v>176</v>
      </c>
      <c r="C85" s="129" t="s">
        <v>177</v>
      </c>
      <c r="D85" s="127" t="s">
        <v>86</v>
      </c>
      <c r="E85" s="133">
        <v>0.86</v>
      </c>
      <c r="F85" s="60">
        <v>170</v>
      </c>
      <c r="G85" s="81">
        <v>400</v>
      </c>
      <c r="H85" s="60">
        <v>15</v>
      </c>
      <c r="I85" s="59">
        <f t="shared" si="8"/>
        <v>117</v>
      </c>
      <c r="J85" s="60">
        <f t="shared" si="9"/>
        <v>63.18</v>
      </c>
      <c r="K85" s="60">
        <f t="shared" si="10"/>
        <v>765.18</v>
      </c>
      <c r="L85" s="60">
        <f t="shared" si="11"/>
        <v>658.0548</v>
      </c>
      <c r="M85" s="140"/>
      <c r="N85" s="140"/>
    </row>
    <row r="86" s="114" customFormat="1" ht="72" customHeight="1" spans="1:14">
      <c r="A86" s="127"/>
      <c r="B86" s="129" t="s">
        <v>178</v>
      </c>
      <c r="C86" s="129" t="s">
        <v>179</v>
      </c>
      <c r="D86" s="127" t="s">
        <v>86</v>
      </c>
      <c r="E86" s="133">
        <v>1.86</v>
      </c>
      <c r="F86" s="60">
        <v>260</v>
      </c>
      <c r="G86" s="60">
        <v>280</v>
      </c>
      <c r="H86" s="60">
        <v>40</v>
      </c>
      <c r="I86" s="59">
        <f t="shared" si="8"/>
        <v>116</v>
      </c>
      <c r="J86" s="60">
        <f t="shared" si="9"/>
        <v>62.64</v>
      </c>
      <c r="K86" s="60">
        <f t="shared" si="10"/>
        <v>758.64</v>
      </c>
      <c r="L86" s="60">
        <f t="shared" si="11"/>
        <v>1411.0704</v>
      </c>
      <c r="M86" s="140"/>
      <c r="N86" s="140"/>
    </row>
    <row r="87" s="114" customFormat="1" ht="72" customHeight="1" spans="1:14">
      <c r="A87" s="127"/>
      <c r="B87" s="129" t="s">
        <v>182</v>
      </c>
      <c r="C87" s="129" t="s">
        <v>183</v>
      </c>
      <c r="D87" s="127" t="s">
        <v>86</v>
      </c>
      <c r="E87" s="133">
        <v>1.1</v>
      </c>
      <c r="F87" s="60">
        <v>170</v>
      </c>
      <c r="G87" s="81">
        <v>400</v>
      </c>
      <c r="H87" s="60">
        <v>15</v>
      </c>
      <c r="I87" s="59">
        <f t="shared" si="8"/>
        <v>117</v>
      </c>
      <c r="J87" s="60">
        <f t="shared" si="9"/>
        <v>63.18</v>
      </c>
      <c r="K87" s="60">
        <f t="shared" si="10"/>
        <v>765.18</v>
      </c>
      <c r="L87" s="60">
        <f t="shared" si="11"/>
        <v>841.698</v>
      </c>
      <c r="M87" s="140"/>
      <c r="N87" s="140"/>
    </row>
    <row r="88" s="114" customFormat="1" ht="72" customHeight="1" spans="1:14">
      <c r="A88" s="127"/>
      <c r="B88" s="129" t="s">
        <v>204</v>
      </c>
      <c r="C88" s="129" t="s">
        <v>205</v>
      </c>
      <c r="D88" s="127" t="s">
        <v>86</v>
      </c>
      <c r="E88" s="133">
        <v>1.05</v>
      </c>
      <c r="F88" s="60">
        <v>170</v>
      </c>
      <c r="G88" s="81">
        <v>400</v>
      </c>
      <c r="H88" s="60">
        <v>15</v>
      </c>
      <c r="I88" s="59">
        <f t="shared" si="8"/>
        <v>117</v>
      </c>
      <c r="J88" s="60">
        <f t="shared" si="9"/>
        <v>63.18</v>
      </c>
      <c r="K88" s="60">
        <f t="shared" si="10"/>
        <v>765.18</v>
      </c>
      <c r="L88" s="60">
        <f t="shared" si="11"/>
        <v>803.439</v>
      </c>
      <c r="M88" s="140"/>
      <c r="N88" s="140"/>
    </row>
    <row r="89" s="114" customFormat="1" ht="55.5" customHeight="1" spans="1:14">
      <c r="A89" s="127"/>
      <c r="B89" s="129" t="s">
        <v>186</v>
      </c>
      <c r="C89" s="129" t="s">
        <v>187</v>
      </c>
      <c r="D89" s="127" t="s">
        <v>109</v>
      </c>
      <c r="E89" s="133">
        <f>0.242-0.106</f>
        <v>0.136</v>
      </c>
      <c r="F89" s="60">
        <v>800</v>
      </c>
      <c r="G89" s="60">
        <v>4000</v>
      </c>
      <c r="H89" s="60">
        <v>50</v>
      </c>
      <c r="I89" s="59">
        <f t="shared" si="8"/>
        <v>970</v>
      </c>
      <c r="J89" s="60">
        <f t="shared" si="9"/>
        <v>523.8</v>
      </c>
      <c r="K89" s="60">
        <f t="shared" si="10"/>
        <v>6343.8</v>
      </c>
      <c r="L89" s="60">
        <f t="shared" si="11"/>
        <v>862.7568</v>
      </c>
      <c r="M89" s="140"/>
      <c r="N89" s="140"/>
    </row>
    <row r="90" s="114" customFormat="1" ht="55.5" customHeight="1" spans="1:14">
      <c r="A90" s="127"/>
      <c r="B90" s="129" t="s">
        <v>186</v>
      </c>
      <c r="C90" s="129" t="s">
        <v>200</v>
      </c>
      <c r="D90" s="127" t="s">
        <v>109</v>
      </c>
      <c r="E90" s="133">
        <v>0.106</v>
      </c>
      <c r="F90" s="60">
        <v>800</v>
      </c>
      <c r="G90" s="60">
        <v>4000</v>
      </c>
      <c r="H90" s="60">
        <v>50</v>
      </c>
      <c r="I90" s="59">
        <f t="shared" si="8"/>
        <v>970</v>
      </c>
      <c r="J90" s="60">
        <f t="shared" si="9"/>
        <v>523.8</v>
      </c>
      <c r="K90" s="60">
        <f t="shared" si="10"/>
        <v>6343.8</v>
      </c>
      <c r="L90" s="60">
        <f t="shared" si="11"/>
        <v>672.4428</v>
      </c>
      <c r="M90" s="140"/>
      <c r="N90" s="140"/>
    </row>
    <row r="91" s="114" customFormat="1" ht="105" customHeight="1" spans="1:14">
      <c r="A91" s="127"/>
      <c r="B91" s="129" t="s">
        <v>206</v>
      </c>
      <c r="C91" s="129" t="s">
        <v>207</v>
      </c>
      <c r="D91" s="127" t="s">
        <v>83</v>
      </c>
      <c r="E91" s="133">
        <f>16.05+11.88-0.24*0.5*6</f>
        <v>27.21</v>
      </c>
      <c r="F91" s="134">
        <v>30</v>
      </c>
      <c r="G91" s="134">
        <v>70</v>
      </c>
      <c r="H91" s="134">
        <v>10</v>
      </c>
      <c r="I91" s="59">
        <f t="shared" si="8"/>
        <v>22</v>
      </c>
      <c r="J91" s="60">
        <f t="shared" si="9"/>
        <v>11.88</v>
      </c>
      <c r="K91" s="60">
        <f t="shared" si="10"/>
        <v>143.88</v>
      </c>
      <c r="L91" s="60">
        <f t="shared" si="11"/>
        <v>3914.9748</v>
      </c>
      <c r="M91" s="140"/>
      <c r="N91" s="140"/>
    </row>
    <row r="92" s="114" customFormat="1" ht="55.5" customHeight="1" spans="1:14">
      <c r="A92" s="127"/>
      <c r="B92" s="129" t="s">
        <v>208</v>
      </c>
      <c r="C92" s="129" t="s">
        <v>209</v>
      </c>
      <c r="D92" s="127" t="s">
        <v>83</v>
      </c>
      <c r="E92" s="133">
        <f>0.13*3</f>
        <v>0.39</v>
      </c>
      <c r="F92" s="134">
        <v>90</v>
      </c>
      <c r="G92" s="134">
        <v>160</v>
      </c>
      <c r="H92" s="134">
        <v>90</v>
      </c>
      <c r="I92" s="59">
        <f t="shared" si="8"/>
        <v>68</v>
      </c>
      <c r="J92" s="60">
        <f t="shared" si="9"/>
        <v>36.72</v>
      </c>
      <c r="K92" s="60">
        <f t="shared" si="10"/>
        <v>444.72</v>
      </c>
      <c r="L92" s="60">
        <f t="shared" si="11"/>
        <v>173.4408</v>
      </c>
      <c r="M92" s="140"/>
      <c r="N92" s="140"/>
    </row>
    <row r="93" s="114" customFormat="1" ht="72" customHeight="1" spans="1:14">
      <c r="A93" s="127"/>
      <c r="B93" s="129" t="s">
        <v>208</v>
      </c>
      <c r="C93" s="129" t="s">
        <v>210</v>
      </c>
      <c r="D93" s="127" t="s">
        <v>83</v>
      </c>
      <c r="E93" s="133">
        <f>1.8*0.1*3</f>
        <v>0.54</v>
      </c>
      <c r="F93" s="134">
        <v>90</v>
      </c>
      <c r="G93" s="134">
        <v>160</v>
      </c>
      <c r="H93" s="134">
        <v>90</v>
      </c>
      <c r="I93" s="59">
        <f t="shared" si="8"/>
        <v>68</v>
      </c>
      <c r="J93" s="60">
        <f t="shared" si="9"/>
        <v>36.72</v>
      </c>
      <c r="K93" s="60">
        <f t="shared" si="10"/>
        <v>444.72</v>
      </c>
      <c r="L93" s="60">
        <f t="shared" si="11"/>
        <v>240.1488</v>
      </c>
      <c r="M93" s="140"/>
      <c r="N93" s="140"/>
    </row>
    <row r="94" s="114" customFormat="1" ht="72" customHeight="1" spans="1:14">
      <c r="A94" s="127"/>
      <c r="B94" s="129" t="s">
        <v>211</v>
      </c>
      <c r="C94" s="129" t="s">
        <v>212</v>
      </c>
      <c r="D94" s="127" t="s">
        <v>83</v>
      </c>
      <c r="E94" s="133">
        <v>4.92</v>
      </c>
      <c r="F94" s="134">
        <v>90</v>
      </c>
      <c r="G94" s="134">
        <v>130</v>
      </c>
      <c r="H94" s="134">
        <v>90</v>
      </c>
      <c r="I94" s="59">
        <f t="shared" si="8"/>
        <v>62</v>
      </c>
      <c r="J94" s="60">
        <f t="shared" si="9"/>
        <v>33.48</v>
      </c>
      <c r="K94" s="60">
        <f t="shared" si="10"/>
        <v>405.48</v>
      </c>
      <c r="L94" s="60">
        <f t="shared" si="11"/>
        <v>1994.9616</v>
      </c>
      <c r="M94" s="140"/>
      <c r="N94" s="140"/>
    </row>
    <row r="95" s="114" customFormat="1" ht="105" customHeight="1" spans="1:14">
      <c r="A95" s="127"/>
      <c r="B95" s="129" t="s">
        <v>213</v>
      </c>
      <c r="C95" s="129" t="s">
        <v>214</v>
      </c>
      <c r="D95" s="127" t="s">
        <v>101</v>
      </c>
      <c r="E95" s="133">
        <v>14.59</v>
      </c>
      <c r="F95" s="134">
        <v>50</v>
      </c>
      <c r="G95" s="134">
        <v>250</v>
      </c>
      <c r="H95" s="134">
        <v>60</v>
      </c>
      <c r="I95" s="59">
        <f t="shared" si="8"/>
        <v>72</v>
      </c>
      <c r="J95" s="60">
        <f t="shared" si="9"/>
        <v>38.88</v>
      </c>
      <c r="K95" s="60">
        <f t="shared" si="10"/>
        <v>470.88</v>
      </c>
      <c r="L95" s="60">
        <f t="shared" si="11"/>
        <v>6870.1392</v>
      </c>
      <c r="M95" s="140"/>
      <c r="N95" s="140"/>
    </row>
    <row r="96" ht="22.5" customHeight="1" spans="1:14">
      <c r="A96" s="142" t="s">
        <v>43</v>
      </c>
      <c r="B96" s="143"/>
      <c r="C96" s="129"/>
      <c r="D96" s="127" t="s">
        <v>215</v>
      </c>
      <c r="E96" s="130"/>
      <c r="F96" s="60"/>
      <c r="G96" s="60"/>
      <c r="H96" s="60"/>
      <c r="I96" s="60"/>
      <c r="J96" s="60"/>
      <c r="K96" s="60"/>
      <c r="L96" s="60">
        <f>SUM(L7:L95)</f>
        <v>653414.94436608</v>
      </c>
      <c r="M96" s="147"/>
      <c r="N96" s="147"/>
    </row>
    <row r="97" ht="88" customHeight="1" spans="1:14">
      <c r="A97" s="144" t="s">
        <v>216</v>
      </c>
      <c r="B97" s="145"/>
      <c r="C97" s="145"/>
      <c r="D97" s="145"/>
      <c r="E97" s="145"/>
      <c r="F97" s="146"/>
      <c r="G97" s="146"/>
      <c r="H97" s="146"/>
      <c r="I97" s="146"/>
      <c r="J97" s="146"/>
      <c r="K97" s="146"/>
      <c r="L97" s="146"/>
      <c r="M97" s="145"/>
      <c r="N97" s="145"/>
    </row>
  </sheetData>
  <sheetProtection selectLockedCells="1"/>
  <autoFilter ref="A5:N97">
    <extLst/>
  </autoFilter>
  <mergeCells count="16">
    <mergeCell ref="A1:N1"/>
    <mergeCell ref="F2:J2"/>
    <mergeCell ref="A96:B96"/>
    <mergeCell ref="A97:N97"/>
    <mergeCell ref="A2:A4"/>
    <mergeCell ref="B2:B4"/>
    <mergeCell ref="C2:C4"/>
    <mergeCell ref="D2:D4"/>
    <mergeCell ref="E2:E4"/>
    <mergeCell ref="F3:F4"/>
    <mergeCell ref="G3:G4"/>
    <mergeCell ref="H3:H4"/>
    <mergeCell ref="K2:K4"/>
    <mergeCell ref="L2:L4"/>
    <mergeCell ref="M2:M4"/>
    <mergeCell ref="N2:N4"/>
  </mergeCells>
  <pageMargins left="0.786805555555556" right="0.196527777777778" top="0.786805555555556" bottom="0.393055555555556" header="0" footer="0"/>
  <pageSetup paperSize="9" scale="91" fitToHeight="0" orientation="landscape"/>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7"/>
  <sheetViews>
    <sheetView zoomScaleSheetLayoutView="130" workbookViewId="0">
      <selection activeCell="E76" sqref="E76"/>
    </sheetView>
  </sheetViews>
  <sheetFormatPr defaultColWidth="10.2857142857143" defaultRowHeight="14.25"/>
  <cols>
    <col min="1" max="1" width="4.42857142857143" style="19" customWidth="1"/>
    <col min="2" max="2" width="6.42857142857143" style="19" customWidth="1"/>
    <col min="3" max="3" width="26" style="19" customWidth="1"/>
    <col min="4" max="4" width="4.42857142857143" style="19" customWidth="1"/>
    <col min="5" max="5" width="8.14285714285714" style="19" customWidth="1"/>
    <col min="6" max="6" width="9.57142857142857" style="19" customWidth="1"/>
    <col min="7" max="7" width="8.14285714285714" style="19" customWidth="1"/>
    <col min="8" max="8" width="7.71428571428571" style="19" customWidth="1"/>
    <col min="9" max="9" width="11.7142857142857" style="19" customWidth="1"/>
    <col min="10" max="10" width="12.5714285714286" style="19" customWidth="1"/>
    <col min="11" max="11" width="13.1428571428571" style="89" customWidth="1"/>
    <col min="12" max="12" width="14.8571428571429" style="19" customWidth="1"/>
    <col min="13" max="13" width="24.8571428571429" style="19" customWidth="1"/>
    <col min="14" max="16384" width="10.2857142857143" style="19"/>
  </cols>
  <sheetData>
    <row r="1" ht="34" customHeight="1" spans="1:10">
      <c r="A1" s="90" t="s">
        <v>217</v>
      </c>
      <c r="B1" s="90"/>
      <c r="C1" s="90"/>
      <c r="D1" s="90"/>
      <c r="E1" s="90"/>
      <c r="F1" s="90"/>
      <c r="G1" s="90"/>
      <c r="H1" s="90"/>
      <c r="I1" s="90"/>
      <c r="J1" s="90"/>
    </row>
    <row r="2" ht="34" customHeight="1" spans="1:13">
      <c r="A2" s="22" t="s">
        <v>11</v>
      </c>
      <c r="B2" s="23" t="s">
        <v>218</v>
      </c>
      <c r="C2" s="23" t="s">
        <v>219</v>
      </c>
      <c r="D2" s="23" t="s">
        <v>54</v>
      </c>
      <c r="E2" s="24" t="s">
        <v>220</v>
      </c>
      <c r="F2" s="25" t="s">
        <v>70</v>
      </c>
      <c r="G2" s="26"/>
      <c r="H2" s="26"/>
      <c r="I2" s="26"/>
      <c r="J2" s="54"/>
      <c r="K2" s="30" t="s">
        <v>71</v>
      </c>
      <c r="L2" s="30" t="s">
        <v>72</v>
      </c>
      <c r="M2" s="30" t="s">
        <v>57</v>
      </c>
    </row>
    <row r="3" ht="34" customHeight="1" spans="1:13">
      <c r="A3" s="27"/>
      <c r="B3" s="28"/>
      <c r="C3" s="28"/>
      <c r="D3" s="28"/>
      <c r="E3" s="29"/>
      <c r="F3" s="30" t="s">
        <v>74</v>
      </c>
      <c r="G3" s="30" t="s">
        <v>75</v>
      </c>
      <c r="H3" s="30" t="s">
        <v>76</v>
      </c>
      <c r="I3" s="55" t="s">
        <v>221</v>
      </c>
      <c r="J3" s="55" t="s">
        <v>78</v>
      </c>
      <c r="K3" s="56"/>
      <c r="L3" s="56"/>
      <c r="M3" s="56"/>
    </row>
    <row r="4" ht="22" customHeight="1" spans="1:13">
      <c r="A4" s="31"/>
      <c r="B4" s="32"/>
      <c r="C4" s="32"/>
      <c r="D4" s="32"/>
      <c r="E4" s="33"/>
      <c r="F4" s="34"/>
      <c r="G4" s="34"/>
      <c r="H4" s="34"/>
      <c r="I4" s="57"/>
      <c r="J4" s="57"/>
      <c r="K4" s="34"/>
      <c r="L4" s="34"/>
      <c r="M4" s="34"/>
    </row>
    <row r="5" spans="1:13">
      <c r="A5" s="39" t="s">
        <v>58</v>
      </c>
      <c r="B5" s="46" t="s">
        <v>222</v>
      </c>
      <c r="C5" s="46"/>
      <c r="D5" s="39"/>
      <c r="E5" s="39"/>
      <c r="F5" s="49"/>
      <c r="G5" s="44"/>
      <c r="H5" s="49"/>
      <c r="I5" s="105"/>
      <c r="J5" s="106"/>
      <c r="K5" s="107"/>
      <c r="L5" s="108"/>
      <c r="M5" s="108"/>
    </row>
    <row r="6" ht="60" spans="1:13">
      <c r="A6" s="39">
        <v>1</v>
      </c>
      <c r="B6" s="40" t="s">
        <v>223</v>
      </c>
      <c r="C6" s="40" t="s">
        <v>224</v>
      </c>
      <c r="D6" s="91" t="s">
        <v>225</v>
      </c>
      <c r="E6" s="92">
        <v>1</v>
      </c>
      <c r="F6" s="49">
        <v>300</v>
      </c>
      <c r="G6" s="44">
        <v>800</v>
      </c>
      <c r="H6" s="49">
        <v>100</v>
      </c>
      <c r="I6" s="59">
        <f>(F6+G6+H6)*0.2</f>
        <v>240</v>
      </c>
      <c r="J6" s="60">
        <f>(F6+G6+H6+I6)*0.09</f>
        <v>129.6</v>
      </c>
      <c r="K6" s="60">
        <f>SUM(F6:J6)</f>
        <v>1569.6</v>
      </c>
      <c r="L6" s="47">
        <f>K6*E6</f>
        <v>1569.6</v>
      </c>
      <c r="M6" s="109"/>
    </row>
    <row r="7" ht="60" spans="1:13">
      <c r="A7" s="39">
        <v>2</v>
      </c>
      <c r="B7" s="46" t="s">
        <v>226</v>
      </c>
      <c r="C7" s="40" t="s">
        <v>227</v>
      </c>
      <c r="D7" s="39" t="s">
        <v>126</v>
      </c>
      <c r="E7" s="39">
        <v>2</v>
      </c>
      <c r="F7" s="49">
        <v>30</v>
      </c>
      <c r="G7" s="44">
        <v>65</v>
      </c>
      <c r="H7" s="49"/>
      <c r="I7" s="59">
        <f t="shared" ref="I7:I38" si="0">(F7+G7+H7)*0.2</f>
        <v>19</v>
      </c>
      <c r="J7" s="60">
        <f t="shared" ref="J7:J38" si="1">(F7+G7+H7+I7)*0.09</f>
        <v>10.26</v>
      </c>
      <c r="K7" s="60">
        <f t="shared" ref="K7:K38" si="2">SUM(F7:J7)</f>
        <v>124.26</v>
      </c>
      <c r="L7" s="47">
        <f>K7*E7</f>
        <v>248.52</v>
      </c>
      <c r="M7" s="109" t="s">
        <v>228</v>
      </c>
    </row>
    <row r="8" ht="60" spans="1:14">
      <c r="A8" s="39">
        <v>3</v>
      </c>
      <c r="B8" s="46" t="s">
        <v>229</v>
      </c>
      <c r="C8" s="40" t="s">
        <v>230</v>
      </c>
      <c r="D8" s="39" t="s">
        <v>126</v>
      </c>
      <c r="E8" s="39">
        <v>1</v>
      </c>
      <c r="F8" s="49">
        <v>10</v>
      </c>
      <c r="G8" s="44">
        <v>12</v>
      </c>
      <c r="H8" s="49"/>
      <c r="I8" s="59">
        <f t="shared" si="0"/>
        <v>4.4</v>
      </c>
      <c r="J8" s="60">
        <f t="shared" si="1"/>
        <v>2.376</v>
      </c>
      <c r="K8" s="60">
        <f t="shared" si="2"/>
        <v>28.776</v>
      </c>
      <c r="L8" s="47">
        <v>28.9</v>
      </c>
      <c r="M8" s="109" t="s">
        <v>231</v>
      </c>
      <c r="N8" s="110"/>
    </row>
    <row r="9" ht="60" spans="1:14">
      <c r="A9" s="39">
        <v>4</v>
      </c>
      <c r="B9" s="46" t="s">
        <v>232</v>
      </c>
      <c r="C9" s="40" t="s">
        <v>233</v>
      </c>
      <c r="D9" s="39" t="s">
        <v>126</v>
      </c>
      <c r="E9" s="39">
        <v>1</v>
      </c>
      <c r="F9" s="49">
        <v>10</v>
      </c>
      <c r="G9" s="44">
        <v>15</v>
      </c>
      <c r="H9" s="49"/>
      <c r="I9" s="59">
        <f t="shared" si="0"/>
        <v>5</v>
      </c>
      <c r="J9" s="60">
        <f t="shared" si="1"/>
        <v>2.7</v>
      </c>
      <c r="K9" s="60">
        <f t="shared" si="2"/>
        <v>32.7</v>
      </c>
      <c r="L9" s="47">
        <f>K9*E9</f>
        <v>32.7</v>
      </c>
      <c r="M9" s="109" t="s">
        <v>234</v>
      </c>
      <c r="N9" s="110"/>
    </row>
    <row r="10" ht="72" spans="1:14">
      <c r="A10" s="39">
        <v>5</v>
      </c>
      <c r="B10" s="46" t="s">
        <v>235</v>
      </c>
      <c r="C10" s="40" t="s">
        <v>236</v>
      </c>
      <c r="D10" s="39" t="s">
        <v>126</v>
      </c>
      <c r="E10" s="39">
        <v>2</v>
      </c>
      <c r="F10" s="49">
        <v>10</v>
      </c>
      <c r="G10" s="44">
        <v>17</v>
      </c>
      <c r="H10" s="49"/>
      <c r="I10" s="59">
        <f t="shared" si="0"/>
        <v>5.4</v>
      </c>
      <c r="J10" s="60">
        <f t="shared" si="1"/>
        <v>2.916</v>
      </c>
      <c r="K10" s="60">
        <f t="shared" si="2"/>
        <v>35.316</v>
      </c>
      <c r="L10" s="47">
        <f>K10*E10</f>
        <v>70.632</v>
      </c>
      <c r="M10" s="109" t="s">
        <v>234</v>
      </c>
      <c r="N10" s="110"/>
    </row>
    <row r="11" ht="48" spans="1:13">
      <c r="A11" s="39">
        <v>6</v>
      </c>
      <c r="B11" s="46" t="s">
        <v>237</v>
      </c>
      <c r="C11" s="40" t="s">
        <v>238</v>
      </c>
      <c r="D11" s="39" t="s">
        <v>239</v>
      </c>
      <c r="E11" s="39">
        <v>4</v>
      </c>
      <c r="F11" s="49">
        <v>120</v>
      </c>
      <c r="G11" s="44">
        <v>260</v>
      </c>
      <c r="H11" s="49">
        <v>20</v>
      </c>
      <c r="I11" s="59">
        <f t="shared" si="0"/>
        <v>80</v>
      </c>
      <c r="J11" s="60">
        <f t="shared" si="1"/>
        <v>43.2</v>
      </c>
      <c r="K11" s="60">
        <f t="shared" si="2"/>
        <v>523.2</v>
      </c>
      <c r="L11" s="47">
        <f>K11*E11</f>
        <v>2092.8</v>
      </c>
      <c r="M11" s="109"/>
    </row>
    <row r="12" ht="60" spans="1:13">
      <c r="A12" s="39">
        <v>7</v>
      </c>
      <c r="B12" s="40" t="s">
        <v>240</v>
      </c>
      <c r="C12" s="40" t="s">
        <v>241</v>
      </c>
      <c r="D12" s="91" t="s">
        <v>101</v>
      </c>
      <c r="E12" s="39">
        <v>93.66</v>
      </c>
      <c r="F12" s="49">
        <v>4</v>
      </c>
      <c r="G12" s="44">
        <v>2</v>
      </c>
      <c r="H12" s="49"/>
      <c r="I12" s="59">
        <f t="shared" si="0"/>
        <v>1.2</v>
      </c>
      <c r="J12" s="60">
        <f t="shared" si="1"/>
        <v>0.648</v>
      </c>
      <c r="K12" s="60">
        <f t="shared" si="2"/>
        <v>7.848</v>
      </c>
      <c r="L12" s="47">
        <f>K12*E12</f>
        <v>735.04368</v>
      </c>
      <c r="M12" s="109" t="s">
        <v>242</v>
      </c>
    </row>
    <row r="13" ht="60" spans="1:13">
      <c r="A13" s="39">
        <v>8</v>
      </c>
      <c r="B13" s="40" t="s">
        <v>240</v>
      </c>
      <c r="C13" s="40" t="s">
        <v>243</v>
      </c>
      <c r="D13" s="91" t="s">
        <v>101</v>
      </c>
      <c r="E13" s="39">
        <f>30.21+42.45</f>
        <v>72.66</v>
      </c>
      <c r="F13" s="49">
        <v>4</v>
      </c>
      <c r="G13" s="44">
        <v>4</v>
      </c>
      <c r="H13" s="49"/>
      <c r="I13" s="59">
        <f t="shared" si="0"/>
        <v>1.6</v>
      </c>
      <c r="J13" s="60">
        <f t="shared" si="1"/>
        <v>0.864</v>
      </c>
      <c r="K13" s="60">
        <f t="shared" si="2"/>
        <v>10.464</v>
      </c>
      <c r="L13" s="47">
        <f>K13*E13</f>
        <v>760.31424</v>
      </c>
      <c r="M13" s="109" t="s">
        <v>242</v>
      </c>
    </row>
    <row r="14" ht="16.5" spans="1:13">
      <c r="A14" s="39" t="s">
        <v>63</v>
      </c>
      <c r="B14" s="46" t="s">
        <v>244</v>
      </c>
      <c r="C14" s="46"/>
      <c r="D14" s="39"/>
      <c r="E14" s="39"/>
      <c r="F14" s="49"/>
      <c r="G14" s="44"/>
      <c r="H14" s="49"/>
      <c r="I14" s="59">
        <f t="shared" si="0"/>
        <v>0</v>
      </c>
      <c r="J14" s="60">
        <f t="shared" si="1"/>
        <v>0</v>
      </c>
      <c r="K14" s="60">
        <f t="shared" si="2"/>
        <v>0</v>
      </c>
      <c r="L14" s="47"/>
      <c r="M14" s="109"/>
    </row>
    <row r="15" ht="60" spans="1:13">
      <c r="A15" s="39">
        <v>1</v>
      </c>
      <c r="B15" s="40" t="s">
        <v>245</v>
      </c>
      <c r="C15" s="40" t="s">
        <v>246</v>
      </c>
      <c r="D15" s="91" t="s">
        <v>101</v>
      </c>
      <c r="E15" s="39">
        <v>22.12</v>
      </c>
      <c r="F15" s="49">
        <v>16</v>
      </c>
      <c r="G15" s="44">
        <v>22</v>
      </c>
      <c r="H15" s="49">
        <v>4</v>
      </c>
      <c r="I15" s="59">
        <f t="shared" si="0"/>
        <v>8.4</v>
      </c>
      <c r="J15" s="60">
        <f t="shared" si="1"/>
        <v>4.536</v>
      </c>
      <c r="K15" s="60">
        <f t="shared" si="2"/>
        <v>54.936</v>
      </c>
      <c r="L15" s="47">
        <f t="shared" ref="L15:L25" si="3">K15*E15</f>
        <v>1215.18432</v>
      </c>
      <c r="M15" s="109" t="s">
        <v>247</v>
      </c>
    </row>
    <row r="16" ht="16.5" spans="1:13">
      <c r="A16" s="39" t="s">
        <v>248</v>
      </c>
      <c r="B16" s="46" t="s">
        <v>249</v>
      </c>
      <c r="C16" s="46"/>
      <c r="D16" s="39"/>
      <c r="E16" s="39"/>
      <c r="F16" s="49"/>
      <c r="G16" s="44"/>
      <c r="H16" s="49"/>
      <c r="I16" s="59">
        <f t="shared" si="0"/>
        <v>0</v>
      </c>
      <c r="J16" s="60">
        <f t="shared" si="1"/>
        <v>0</v>
      </c>
      <c r="K16" s="60">
        <f t="shared" si="2"/>
        <v>0</v>
      </c>
      <c r="L16" s="47">
        <f t="shared" si="3"/>
        <v>0</v>
      </c>
      <c r="M16" s="109"/>
    </row>
    <row r="17" ht="84" spans="1:13">
      <c r="A17" s="39">
        <v>1</v>
      </c>
      <c r="B17" s="40" t="s">
        <v>250</v>
      </c>
      <c r="C17" s="40" t="s">
        <v>251</v>
      </c>
      <c r="D17" s="91" t="s">
        <v>126</v>
      </c>
      <c r="E17" s="92">
        <v>1</v>
      </c>
      <c r="F17" s="93"/>
      <c r="G17" s="47">
        <v>2500</v>
      </c>
      <c r="H17" s="49"/>
      <c r="I17" s="59">
        <f t="shared" si="0"/>
        <v>500</v>
      </c>
      <c r="J17" s="60">
        <f t="shared" si="1"/>
        <v>270</v>
      </c>
      <c r="K17" s="60">
        <f t="shared" si="2"/>
        <v>3270</v>
      </c>
      <c r="L17" s="47">
        <f t="shared" si="3"/>
        <v>3270</v>
      </c>
      <c r="M17" s="109" t="s">
        <v>252</v>
      </c>
    </row>
    <row r="18" ht="84" spans="1:13">
      <c r="A18" s="39">
        <v>2</v>
      </c>
      <c r="B18" s="40" t="s">
        <v>253</v>
      </c>
      <c r="C18" s="40" t="s">
        <v>254</v>
      </c>
      <c r="D18" s="91" t="s">
        <v>126</v>
      </c>
      <c r="E18" s="92">
        <v>1</v>
      </c>
      <c r="F18" s="94"/>
      <c r="G18" s="47">
        <v>800</v>
      </c>
      <c r="H18" s="49"/>
      <c r="I18" s="59">
        <f t="shared" si="0"/>
        <v>160</v>
      </c>
      <c r="J18" s="60">
        <f t="shared" si="1"/>
        <v>86.4</v>
      </c>
      <c r="K18" s="60">
        <f t="shared" si="2"/>
        <v>1046.4</v>
      </c>
      <c r="L18" s="47">
        <f t="shared" si="3"/>
        <v>1046.4</v>
      </c>
      <c r="M18" s="109" t="s">
        <v>255</v>
      </c>
    </row>
    <row r="19" ht="48" spans="1:13">
      <c r="A19" s="39">
        <v>3</v>
      </c>
      <c r="B19" s="40" t="s">
        <v>256</v>
      </c>
      <c r="C19" s="40" t="s">
        <v>257</v>
      </c>
      <c r="D19" s="91" t="s">
        <v>225</v>
      </c>
      <c r="E19" s="92">
        <v>1</v>
      </c>
      <c r="F19" s="93"/>
      <c r="G19" s="47">
        <v>1600</v>
      </c>
      <c r="H19" s="49"/>
      <c r="I19" s="59">
        <f t="shared" si="0"/>
        <v>320</v>
      </c>
      <c r="J19" s="60">
        <f t="shared" si="1"/>
        <v>172.8</v>
      </c>
      <c r="K19" s="60">
        <f t="shared" si="2"/>
        <v>2092.8</v>
      </c>
      <c r="L19" s="47">
        <f t="shared" si="3"/>
        <v>2092.8</v>
      </c>
      <c r="M19" s="109" t="s">
        <v>258</v>
      </c>
    </row>
    <row r="20" ht="60" spans="1:13">
      <c r="A20" s="39">
        <v>4</v>
      </c>
      <c r="B20" s="40" t="s">
        <v>259</v>
      </c>
      <c r="C20" s="40" t="s">
        <v>260</v>
      </c>
      <c r="D20" s="91" t="s">
        <v>126</v>
      </c>
      <c r="E20" s="92">
        <v>1</v>
      </c>
      <c r="F20" s="93"/>
      <c r="G20" s="47">
        <v>260</v>
      </c>
      <c r="H20" s="49"/>
      <c r="I20" s="59">
        <f t="shared" si="0"/>
        <v>52</v>
      </c>
      <c r="J20" s="60">
        <f t="shared" si="1"/>
        <v>28.08</v>
      </c>
      <c r="K20" s="60">
        <f t="shared" si="2"/>
        <v>340.08</v>
      </c>
      <c r="L20" s="47">
        <f t="shared" si="3"/>
        <v>340.08</v>
      </c>
      <c r="M20" s="109" t="s">
        <v>255</v>
      </c>
    </row>
    <row r="21" ht="60" spans="1:13">
      <c r="A21" s="39">
        <v>5</v>
      </c>
      <c r="B21" s="40" t="s">
        <v>261</v>
      </c>
      <c r="C21" s="40" t="s">
        <v>262</v>
      </c>
      <c r="D21" s="91" t="s">
        <v>126</v>
      </c>
      <c r="E21" s="92">
        <v>4</v>
      </c>
      <c r="F21" s="93"/>
      <c r="G21" s="47">
        <v>260</v>
      </c>
      <c r="H21" s="49"/>
      <c r="I21" s="59">
        <f t="shared" si="0"/>
        <v>52</v>
      </c>
      <c r="J21" s="60">
        <f t="shared" si="1"/>
        <v>28.08</v>
      </c>
      <c r="K21" s="60">
        <f t="shared" si="2"/>
        <v>340.08</v>
      </c>
      <c r="L21" s="47">
        <f t="shared" si="3"/>
        <v>1360.32</v>
      </c>
      <c r="M21" s="109" t="s">
        <v>255</v>
      </c>
    </row>
    <row r="22" ht="60" spans="1:13">
      <c r="A22" s="39">
        <v>6</v>
      </c>
      <c r="B22" s="40" t="s">
        <v>263</v>
      </c>
      <c r="C22" s="40" t="s">
        <v>264</v>
      </c>
      <c r="D22" s="91" t="s">
        <v>126</v>
      </c>
      <c r="E22" s="92">
        <v>1</v>
      </c>
      <c r="F22" s="93"/>
      <c r="G22" s="47">
        <v>2800</v>
      </c>
      <c r="H22" s="49"/>
      <c r="I22" s="59">
        <f t="shared" si="0"/>
        <v>560</v>
      </c>
      <c r="J22" s="60">
        <f t="shared" si="1"/>
        <v>302.4</v>
      </c>
      <c r="K22" s="60">
        <f t="shared" si="2"/>
        <v>3662.4</v>
      </c>
      <c r="L22" s="47">
        <f t="shared" si="3"/>
        <v>3662.4</v>
      </c>
      <c r="M22" s="109" t="s">
        <v>255</v>
      </c>
    </row>
    <row r="23" ht="48" spans="1:13">
      <c r="A23" s="39">
        <v>7</v>
      </c>
      <c r="B23" s="40" t="s">
        <v>265</v>
      </c>
      <c r="C23" s="40" t="s">
        <v>266</v>
      </c>
      <c r="D23" s="91" t="s">
        <v>267</v>
      </c>
      <c r="E23" s="92">
        <v>5</v>
      </c>
      <c r="F23" s="93"/>
      <c r="G23" s="47">
        <v>650</v>
      </c>
      <c r="H23" s="49"/>
      <c r="I23" s="59">
        <f t="shared" si="0"/>
        <v>130</v>
      </c>
      <c r="J23" s="60">
        <f t="shared" si="1"/>
        <v>70.2</v>
      </c>
      <c r="K23" s="60">
        <f t="shared" si="2"/>
        <v>850.2</v>
      </c>
      <c r="L23" s="47">
        <f t="shared" si="3"/>
        <v>4251</v>
      </c>
      <c r="M23" s="109" t="s">
        <v>268</v>
      </c>
    </row>
    <row r="24" ht="60" spans="1:13">
      <c r="A24" s="39">
        <v>8</v>
      </c>
      <c r="B24" s="40" t="s">
        <v>269</v>
      </c>
      <c r="C24" s="40" t="s">
        <v>270</v>
      </c>
      <c r="D24" s="91" t="s">
        <v>239</v>
      </c>
      <c r="E24" s="92">
        <v>1</v>
      </c>
      <c r="F24" s="93"/>
      <c r="G24" s="47">
        <v>6500</v>
      </c>
      <c r="H24" s="49"/>
      <c r="I24" s="59">
        <f t="shared" si="0"/>
        <v>1300</v>
      </c>
      <c r="J24" s="60">
        <f t="shared" si="1"/>
        <v>702</v>
      </c>
      <c r="K24" s="60">
        <f t="shared" si="2"/>
        <v>8502</v>
      </c>
      <c r="L24" s="47">
        <f t="shared" si="3"/>
        <v>8502</v>
      </c>
      <c r="M24" s="109" t="s">
        <v>271</v>
      </c>
    </row>
    <row r="25" ht="36" spans="1:13">
      <c r="A25" s="39">
        <v>9</v>
      </c>
      <c r="B25" s="40" t="s">
        <v>272</v>
      </c>
      <c r="C25" s="95" t="s">
        <v>273</v>
      </c>
      <c r="D25" s="44" t="s">
        <v>239</v>
      </c>
      <c r="E25" s="96">
        <v>1</v>
      </c>
      <c r="F25" s="97"/>
      <c r="G25" s="47">
        <v>8000</v>
      </c>
      <c r="H25" s="98"/>
      <c r="I25" s="59">
        <f t="shared" si="0"/>
        <v>1600</v>
      </c>
      <c r="J25" s="60">
        <f t="shared" si="1"/>
        <v>864</v>
      </c>
      <c r="K25" s="60">
        <f t="shared" si="2"/>
        <v>10464</v>
      </c>
      <c r="L25" s="47">
        <f t="shared" si="3"/>
        <v>10464</v>
      </c>
      <c r="M25" s="109" t="s">
        <v>255</v>
      </c>
    </row>
    <row r="26" ht="72" spans="1:13">
      <c r="A26" s="39">
        <v>10</v>
      </c>
      <c r="B26" s="40" t="s">
        <v>274</v>
      </c>
      <c r="C26" s="40" t="s">
        <v>275</v>
      </c>
      <c r="D26" s="91" t="s">
        <v>101</v>
      </c>
      <c r="E26" s="92">
        <v>6</v>
      </c>
      <c r="F26" s="93">
        <v>5</v>
      </c>
      <c r="G26" s="47">
        <v>8</v>
      </c>
      <c r="H26" s="49"/>
      <c r="I26" s="59">
        <f t="shared" si="0"/>
        <v>2.6</v>
      </c>
      <c r="J26" s="60">
        <f t="shared" si="1"/>
        <v>1.404</v>
      </c>
      <c r="K26" s="60">
        <f t="shared" si="2"/>
        <v>17.004</v>
      </c>
      <c r="L26" s="47">
        <f>SUM(E26*K26)</f>
        <v>102.024</v>
      </c>
      <c r="M26" s="109" t="s">
        <v>242</v>
      </c>
    </row>
    <row r="27" ht="60" spans="1:13">
      <c r="A27" s="39">
        <v>11</v>
      </c>
      <c r="B27" s="40" t="s">
        <v>276</v>
      </c>
      <c r="C27" s="40" t="s">
        <v>277</v>
      </c>
      <c r="D27" s="91" t="s">
        <v>101</v>
      </c>
      <c r="E27" s="92">
        <v>10</v>
      </c>
      <c r="F27" s="93">
        <v>2</v>
      </c>
      <c r="G27" s="47">
        <v>5</v>
      </c>
      <c r="H27" s="49"/>
      <c r="I27" s="59">
        <f t="shared" si="0"/>
        <v>1.4</v>
      </c>
      <c r="J27" s="60">
        <f t="shared" si="1"/>
        <v>0.756</v>
      </c>
      <c r="K27" s="60">
        <f t="shared" si="2"/>
        <v>9.156</v>
      </c>
      <c r="L27" s="47">
        <f>SUM(E27*K27)</f>
        <v>91.56</v>
      </c>
      <c r="M27" s="109" t="s">
        <v>255</v>
      </c>
    </row>
    <row r="28" ht="60" spans="1:13">
      <c r="A28" s="39">
        <v>12</v>
      </c>
      <c r="B28" s="40" t="s">
        <v>276</v>
      </c>
      <c r="C28" s="40" t="s">
        <v>278</v>
      </c>
      <c r="D28" s="91" t="s">
        <v>101</v>
      </c>
      <c r="E28" s="92">
        <v>130</v>
      </c>
      <c r="F28" s="93">
        <v>2</v>
      </c>
      <c r="G28" s="47">
        <v>4</v>
      </c>
      <c r="H28" s="49"/>
      <c r="I28" s="59">
        <f t="shared" si="0"/>
        <v>1.2</v>
      </c>
      <c r="J28" s="60">
        <f t="shared" si="1"/>
        <v>0.648</v>
      </c>
      <c r="K28" s="60">
        <f t="shared" si="2"/>
        <v>7.848</v>
      </c>
      <c r="L28" s="47">
        <f>SUM(E28*K28)</f>
        <v>1020.24</v>
      </c>
      <c r="M28" s="109" t="s">
        <v>255</v>
      </c>
    </row>
    <row r="29" ht="16.5" spans="1:13">
      <c r="A29" s="39" t="s">
        <v>279</v>
      </c>
      <c r="B29" s="46" t="s">
        <v>280</v>
      </c>
      <c r="C29" s="46"/>
      <c r="D29" s="39"/>
      <c r="E29" s="39"/>
      <c r="F29" s="49"/>
      <c r="G29" s="47"/>
      <c r="H29" s="49"/>
      <c r="I29" s="59">
        <f t="shared" si="0"/>
        <v>0</v>
      </c>
      <c r="J29" s="60">
        <f t="shared" si="1"/>
        <v>0</v>
      </c>
      <c r="K29" s="60">
        <f t="shared" si="2"/>
        <v>0</v>
      </c>
      <c r="L29" s="47"/>
      <c r="M29" s="109"/>
    </row>
    <row r="30" ht="48" spans="1:13">
      <c r="A30" s="39">
        <v>1</v>
      </c>
      <c r="B30" s="40" t="s">
        <v>281</v>
      </c>
      <c r="C30" s="40" t="s">
        <v>282</v>
      </c>
      <c r="D30" s="91" t="s">
        <v>126</v>
      </c>
      <c r="E30" s="92">
        <v>1</v>
      </c>
      <c r="F30" s="93">
        <v>10</v>
      </c>
      <c r="G30" s="47">
        <v>20</v>
      </c>
      <c r="H30" s="49"/>
      <c r="I30" s="59">
        <f t="shared" si="0"/>
        <v>6</v>
      </c>
      <c r="J30" s="60">
        <f t="shared" si="1"/>
        <v>3.24</v>
      </c>
      <c r="K30" s="60">
        <f t="shared" si="2"/>
        <v>39.24</v>
      </c>
      <c r="L30" s="47">
        <f t="shared" ref="L30:L38" si="4">K30*E30</f>
        <v>39.24</v>
      </c>
      <c r="M30" s="109" t="s">
        <v>283</v>
      </c>
    </row>
    <row r="31" ht="48" spans="1:13">
      <c r="A31" s="39">
        <v>2</v>
      </c>
      <c r="B31" s="40" t="s">
        <v>284</v>
      </c>
      <c r="C31" s="40" t="s">
        <v>285</v>
      </c>
      <c r="D31" s="91" t="s">
        <v>126</v>
      </c>
      <c r="E31" s="92">
        <v>3</v>
      </c>
      <c r="F31" s="93">
        <v>20</v>
      </c>
      <c r="G31" s="47">
        <v>260</v>
      </c>
      <c r="H31" s="49"/>
      <c r="I31" s="59">
        <f t="shared" si="0"/>
        <v>56</v>
      </c>
      <c r="J31" s="60">
        <f t="shared" si="1"/>
        <v>30.24</v>
      </c>
      <c r="K31" s="60">
        <f t="shared" si="2"/>
        <v>366.24</v>
      </c>
      <c r="L31" s="47">
        <f t="shared" si="4"/>
        <v>1098.72</v>
      </c>
      <c r="M31" s="109" t="s">
        <v>286</v>
      </c>
    </row>
    <row r="32" ht="60" spans="1:13">
      <c r="A32" s="39">
        <v>3</v>
      </c>
      <c r="B32" s="40" t="s">
        <v>287</v>
      </c>
      <c r="C32" s="40" t="s">
        <v>288</v>
      </c>
      <c r="D32" s="91" t="s">
        <v>126</v>
      </c>
      <c r="E32" s="92">
        <v>1</v>
      </c>
      <c r="F32" s="93"/>
      <c r="G32" s="47">
        <v>3800</v>
      </c>
      <c r="H32" s="49"/>
      <c r="I32" s="59">
        <f t="shared" si="0"/>
        <v>760</v>
      </c>
      <c r="J32" s="60">
        <f t="shared" si="1"/>
        <v>410.4</v>
      </c>
      <c r="K32" s="60">
        <f t="shared" si="2"/>
        <v>4970.4</v>
      </c>
      <c r="L32" s="47">
        <f t="shared" si="4"/>
        <v>4970.4</v>
      </c>
      <c r="M32" s="109" t="s">
        <v>255</v>
      </c>
    </row>
    <row r="33" ht="72" spans="1:13">
      <c r="A33" s="39">
        <v>4</v>
      </c>
      <c r="B33" s="40" t="s">
        <v>289</v>
      </c>
      <c r="C33" s="40" t="s">
        <v>290</v>
      </c>
      <c r="D33" s="91" t="s">
        <v>126</v>
      </c>
      <c r="E33" s="92">
        <v>1</v>
      </c>
      <c r="F33" s="93"/>
      <c r="G33" s="47">
        <v>230</v>
      </c>
      <c r="H33" s="49"/>
      <c r="I33" s="59">
        <f t="shared" si="0"/>
        <v>46</v>
      </c>
      <c r="J33" s="60">
        <f t="shared" si="1"/>
        <v>24.84</v>
      </c>
      <c r="K33" s="60">
        <f t="shared" si="2"/>
        <v>300.84</v>
      </c>
      <c r="L33" s="47">
        <f t="shared" si="4"/>
        <v>300.84</v>
      </c>
      <c r="M33" s="109" t="s">
        <v>286</v>
      </c>
    </row>
    <row r="34" ht="48" spans="1:13">
      <c r="A34" s="39">
        <v>5</v>
      </c>
      <c r="B34" s="40" t="s">
        <v>291</v>
      </c>
      <c r="C34" s="40" t="s">
        <v>292</v>
      </c>
      <c r="D34" s="91" t="s">
        <v>126</v>
      </c>
      <c r="E34" s="92">
        <f>1*0</f>
        <v>0</v>
      </c>
      <c r="F34" s="93"/>
      <c r="G34" s="47">
        <v>300</v>
      </c>
      <c r="H34" s="49"/>
      <c r="I34" s="59">
        <f t="shared" si="0"/>
        <v>60</v>
      </c>
      <c r="J34" s="60">
        <f t="shared" si="1"/>
        <v>32.4</v>
      </c>
      <c r="K34" s="60">
        <f t="shared" si="2"/>
        <v>392.4</v>
      </c>
      <c r="L34" s="47">
        <f t="shared" si="4"/>
        <v>0</v>
      </c>
      <c r="M34" s="109" t="s">
        <v>286</v>
      </c>
    </row>
    <row r="35" ht="36" spans="1:13">
      <c r="A35" s="39">
        <v>6</v>
      </c>
      <c r="B35" s="40" t="s">
        <v>293</v>
      </c>
      <c r="C35" s="40" t="s">
        <v>294</v>
      </c>
      <c r="D35" s="91" t="s">
        <v>239</v>
      </c>
      <c r="E35" s="92">
        <f>1*0</f>
        <v>0</v>
      </c>
      <c r="F35" s="93"/>
      <c r="G35" s="47">
        <v>5000</v>
      </c>
      <c r="H35" s="49"/>
      <c r="I35" s="59">
        <f t="shared" si="0"/>
        <v>1000</v>
      </c>
      <c r="J35" s="60">
        <f t="shared" si="1"/>
        <v>540</v>
      </c>
      <c r="K35" s="60">
        <f t="shared" si="2"/>
        <v>6540</v>
      </c>
      <c r="L35" s="47">
        <f t="shared" si="4"/>
        <v>0</v>
      </c>
      <c r="M35" s="109" t="s">
        <v>255</v>
      </c>
    </row>
    <row r="36" ht="60" spans="1:13">
      <c r="A36" s="39">
        <v>7</v>
      </c>
      <c r="B36" s="40" t="s">
        <v>276</v>
      </c>
      <c r="C36" s="40" t="s">
        <v>278</v>
      </c>
      <c r="D36" s="91" t="s">
        <v>101</v>
      </c>
      <c r="E36" s="92">
        <v>8.86</v>
      </c>
      <c r="F36" s="93">
        <v>2</v>
      </c>
      <c r="G36" s="47">
        <v>4</v>
      </c>
      <c r="H36" s="49"/>
      <c r="I36" s="59">
        <f t="shared" si="0"/>
        <v>1.2</v>
      </c>
      <c r="J36" s="60">
        <f t="shared" si="1"/>
        <v>0.648</v>
      </c>
      <c r="K36" s="60">
        <f t="shared" si="2"/>
        <v>7.848</v>
      </c>
      <c r="L36" s="47">
        <f t="shared" si="4"/>
        <v>69.53328</v>
      </c>
      <c r="M36" s="109" t="s">
        <v>255</v>
      </c>
    </row>
    <row r="37" ht="60" spans="1:13">
      <c r="A37" s="39">
        <v>8</v>
      </c>
      <c r="B37" s="40" t="s">
        <v>295</v>
      </c>
      <c r="C37" s="40" t="s">
        <v>296</v>
      </c>
      <c r="D37" s="91" t="s">
        <v>101</v>
      </c>
      <c r="E37" s="92">
        <v>20</v>
      </c>
      <c r="F37" s="93">
        <v>2</v>
      </c>
      <c r="G37" s="47">
        <v>4</v>
      </c>
      <c r="H37" s="49"/>
      <c r="I37" s="59">
        <f t="shared" si="0"/>
        <v>1.2</v>
      </c>
      <c r="J37" s="60">
        <f t="shared" si="1"/>
        <v>0.648</v>
      </c>
      <c r="K37" s="60">
        <f t="shared" si="2"/>
        <v>7.848</v>
      </c>
      <c r="L37" s="47">
        <f t="shared" si="4"/>
        <v>156.96</v>
      </c>
      <c r="M37" s="109"/>
    </row>
    <row r="38" ht="16.5" spans="1:13">
      <c r="A38" s="39" t="s">
        <v>297</v>
      </c>
      <c r="B38" s="46" t="s">
        <v>298</v>
      </c>
      <c r="C38" s="46"/>
      <c r="D38" s="39"/>
      <c r="E38" s="39"/>
      <c r="F38" s="49"/>
      <c r="G38" s="47"/>
      <c r="H38" s="49"/>
      <c r="I38" s="59">
        <f t="shared" si="0"/>
        <v>0</v>
      </c>
      <c r="J38" s="60">
        <f t="shared" si="1"/>
        <v>0</v>
      </c>
      <c r="K38" s="60">
        <f t="shared" si="2"/>
        <v>0</v>
      </c>
      <c r="L38" s="47">
        <f t="shared" si="4"/>
        <v>0</v>
      </c>
      <c r="M38" s="109"/>
    </row>
    <row r="39" ht="96" spans="1:13">
      <c r="A39" s="39">
        <v>1</v>
      </c>
      <c r="B39" s="40" t="s">
        <v>299</v>
      </c>
      <c r="C39" s="40" t="s">
        <v>300</v>
      </c>
      <c r="D39" s="91" t="s">
        <v>239</v>
      </c>
      <c r="E39" s="92">
        <v>2</v>
      </c>
      <c r="F39" s="93">
        <v>500</v>
      </c>
      <c r="G39" s="47">
        <v>10000</v>
      </c>
      <c r="H39" s="49"/>
      <c r="I39" s="59">
        <f t="shared" ref="I39:I76" si="5">(F39+G39+H39)*0.2</f>
        <v>2100</v>
      </c>
      <c r="J39" s="60">
        <f t="shared" ref="J39:J76" si="6">(F39+G39+H39+I39)*0.09</f>
        <v>1134</v>
      </c>
      <c r="K39" s="60">
        <f t="shared" ref="K39:K76" si="7">SUM(F39:J39)</f>
        <v>13734</v>
      </c>
      <c r="L39" s="47">
        <f>SUM(E39*K39)</f>
        <v>27468</v>
      </c>
      <c r="M39" s="109" t="s">
        <v>255</v>
      </c>
    </row>
    <row r="40" ht="60" spans="1:13">
      <c r="A40" s="39">
        <v>2</v>
      </c>
      <c r="B40" s="40" t="s">
        <v>301</v>
      </c>
      <c r="C40" s="40" t="s">
        <v>302</v>
      </c>
      <c r="D40" s="91" t="s">
        <v>239</v>
      </c>
      <c r="E40" s="92">
        <v>2</v>
      </c>
      <c r="F40" s="93">
        <v>500</v>
      </c>
      <c r="G40" s="47">
        <v>3200</v>
      </c>
      <c r="H40" s="49"/>
      <c r="I40" s="59">
        <f t="shared" si="5"/>
        <v>740</v>
      </c>
      <c r="J40" s="60">
        <f t="shared" si="6"/>
        <v>399.6</v>
      </c>
      <c r="K40" s="60">
        <f t="shared" si="7"/>
        <v>4839.6</v>
      </c>
      <c r="L40" s="47">
        <f t="shared" ref="L40:L46" si="8">K40*E40</f>
        <v>9679.2</v>
      </c>
      <c r="M40" s="109" t="s">
        <v>255</v>
      </c>
    </row>
    <row r="41" ht="48" spans="1:13">
      <c r="A41" s="39">
        <v>3</v>
      </c>
      <c r="B41" s="40" t="s">
        <v>303</v>
      </c>
      <c r="C41" s="40" t="s">
        <v>304</v>
      </c>
      <c r="D41" s="91" t="s">
        <v>126</v>
      </c>
      <c r="E41" s="92">
        <v>2</v>
      </c>
      <c r="F41" s="93"/>
      <c r="G41" s="47">
        <v>500</v>
      </c>
      <c r="H41" s="49"/>
      <c r="I41" s="59">
        <f t="shared" si="5"/>
        <v>100</v>
      </c>
      <c r="J41" s="60">
        <f t="shared" si="6"/>
        <v>54</v>
      </c>
      <c r="K41" s="60">
        <f t="shared" si="7"/>
        <v>654</v>
      </c>
      <c r="L41" s="47">
        <f t="shared" si="8"/>
        <v>1308</v>
      </c>
      <c r="M41" s="109" t="s">
        <v>255</v>
      </c>
    </row>
    <row r="42" ht="60" spans="1:13">
      <c r="A42" s="39">
        <v>4</v>
      </c>
      <c r="B42" s="40" t="s">
        <v>305</v>
      </c>
      <c r="C42" s="40" t="s">
        <v>306</v>
      </c>
      <c r="D42" s="91" t="s">
        <v>126</v>
      </c>
      <c r="E42" s="92">
        <v>2</v>
      </c>
      <c r="F42" s="93"/>
      <c r="G42" s="47">
        <v>220</v>
      </c>
      <c r="H42" s="49"/>
      <c r="I42" s="59">
        <f t="shared" si="5"/>
        <v>44</v>
      </c>
      <c r="J42" s="60">
        <f t="shared" si="6"/>
        <v>23.76</v>
      </c>
      <c r="K42" s="60">
        <f t="shared" si="7"/>
        <v>287.76</v>
      </c>
      <c r="L42" s="47">
        <f t="shared" si="8"/>
        <v>575.52</v>
      </c>
      <c r="M42" s="109" t="s">
        <v>255</v>
      </c>
    </row>
    <row r="43" ht="36" spans="1:13">
      <c r="A43" s="39">
        <v>5</v>
      </c>
      <c r="B43" s="46" t="s">
        <v>307</v>
      </c>
      <c r="C43" s="40" t="s">
        <v>308</v>
      </c>
      <c r="D43" s="91" t="s">
        <v>239</v>
      </c>
      <c r="E43" s="92">
        <v>1</v>
      </c>
      <c r="F43" s="93"/>
      <c r="G43" s="47">
        <v>5000</v>
      </c>
      <c r="H43" s="49"/>
      <c r="I43" s="59">
        <f t="shared" si="5"/>
        <v>1000</v>
      </c>
      <c r="J43" s="60">
        <f t="shared" si="6"/>
        <v>540</v>
      </c>
      <c r="K43" s="60">
        <f t="shared" si="7"/>
        <v>6540</v>
      </c>
      <c r="L43" s="47">
        <f t="shared" si="8"/>
        <v>6540</v>
      </c>
      <c r="M43" s="109" t="s">
        <v>255</v>
      </c>
    </row>
    <row r="44" ht="48" spans="1:13">
      <c r="A44" s="39">
        <v>6</v>
      </c>
      <c r="B44" s="40" t="s">
        <v>309</v>
      </c>
      <c r="C44" s="40" t="s">
        <v>310</v>
      </c>
      <c r="D44" s="91" t="s">
        <v>101</v>
      </c>
      <c r="E44" s="92">
        <v>40</v>
      </c>
      <c r="F44" s="93">
        <v>12</v>
      </c>
      <c r="G44" s="47">
        <v>2.5</v>
      </c>
      <c r="H44" s="49">
        <v>1</v>
      </c>
      <c r="I44" s="59">
        <f t="shared" si="5"/>
        <v>3.1</v>
      </c>
      <c r="J44" s="60">
        <f t="shared" si="6"/>
        <v>1.674</v>
      </c>
      <c r="K44" s="60">
        <f t="shared" si="7"/>
        <v>20.274</v>
      </c>
      <c r="L44" s="47">
        <f t="shared" si="8"/>
        <v>810.96</v>
      </c>
      <c r="M44" s="109"/>
    </row>
    <row r="45" ht="72" spans="1:13">
      <c r="A45" s="39">
        <v>7</v>
      </c>
      <c r="B45" s="40" t="s">
        <v>274</v>
      </c>
      <c r="C45" s="40" t="s">
        <v>311</v>
      </c>
      <c r="D45" s="91" t="s">
        <v>101</v>
      </c>
      <c r="E45" s="92">
        <v>20.58</v>
      </c>
      <c r="F45" s="93">
        <v>2</v>
      </c>
      <c r="G45" s="47">
        <v>7</v>
      </c>
      <c r="H45" s="49">
        <v>1</v>
      </c>
      <c r="I45" s="59">
        <f t="shared" si="5"/>
        <v>2</v>
      </c>
      <c r="J45" s="60">
        <f t="shared" si="6"/>
        <v>1.08</v>
      </c>
      <c r="K45" s="60">
        <f t="shared" si="7"/>
        <v>13.08</v>
      </c>
      <c r="L45" s="47">
        <f t="shared" si="8"/>
        <v>269.1864</v>
      </c>
      <c r="M45" s="109" t="s">
        <v>242</v>
      </c>
    </row>
    <row r="46" ht="60" spans="1:13">
      <c r="A46" s="39">
        <v>8</v>
      </c>
      <c r="B46" s="40" t="s">
        <v>276</v>
      </c>
      <c r="C46" s="40" t="s">
        <v>278</v>
      </c>
      <c r="D46" s="91" t="s">
        <v>101</v>
      </c>
      <c r="E46" s="92">
        <v>31.98</v>
      </c>
      <c r="F46" s="99"/>
      <c r="G46" s="100">
        <v>4</v>
      </c>
      <c r="H46" s="101"/>
      <c r="I46" s="59">
        <f t="shared" si="5"/>
        <v>0.8</v>
      </c>
      <c r="J46" s="60">
        <f t="shared" si="6"/>
        <v>0.432</v>
      </c>
      <c r="K46" s="60">
        <f t="shared" si="7"/>
        <v>5.232</v>
      </c>
      <c r="L46" s="47">
        <f t="shared" si="8"/>
        <v>167.31936</v>
      </c>
      <c r="M46" s="109"/>
    </row>
    <row r="47" ht="16.5" spans="1:13">
      <c r="A47" s="39" t="s">
        <v>312</v>
      </c>
      <c r="B47" s="46" t="s">
        <v>313</v>
      </c>
      <c r="C47" s="46"/>
      <c r="D47" s="39"/>
      <c r="E47" s="39"/>
      <c r="F47" s="93"/>
      <c r="G47" s="47"/>
      <c r="H47" s="49"/>
      <c r="I47" s="59">
        <f t="shared" si="5"/>
        <v>0</v>
      </c>
      <c r="J47" s="60">
        <f t="shared" si="6"/>
        <v>0</v>
      </c>
      <c r="K47" s="60">
        <f t="shared" si="7"/>
        <v>0</v>
      </c>
      <c r="L47" s="47"/>
      <c r="M47" s="109"/>
    </row>
    <row r="48" ht="60" spans="1:13">
      <c r="A48" s="39">
        <v>1</v>
      </c>
      <c r="B48" s="46" t="s">
        <v>314</v>
      </c>
      <c r="C48" s="40" t="s">
        <v>315</v>
      </c>
      <c r="D48" s="39" t="s">
        <v>239</v>
      </c>
      <c r="E48" s="39">
        <v>18</v>
      </c>
      <c r="F48" s="93">
        <v>30</v>
      </c>
      <c r="G48" s="102">
        <v>130</v>
      </c>
      <c r="H48" s="49">
        <v>5</v>
      </c>
      <c r="I48" s="59">
        <f t="shared" si="5"/>
        <v>33</v>
      </c>
      <c r="J48" s="60">
        <f t="shared" si="6"/>
        <v>17.82</v>
      </c>
      <c r="K48" s="60">
        <f t="shared" si="7"/>
        <v>215.82</v>
      </c>
      <c r="L48" s="47">
        <f t="shared" ref="L47:L65" si="9">K48*E48</f>
        <v>3884.76</v>
      </c>
      <c r="M48" s="109"/>
    </row>
    <row r="49" ht="60" spans="1:13">
      <c r="A49" s="39">
        <v>2</v>
      </c>
      <c r="B49" s="40" t="s">
        <v>309</v>
      </c>
      <c r="C49" s="40" t="s">
        <v>316</v>
      </c>
      <c r="D49" s="91" t="s">
        <v>101</v>
      </c>
      <c r="E49" s="39">
        <v>73.36</v>
      </c>
      <c r="F49" s="93">
        <v>12</v>
      </c>
      <c r="G49" s="47">
        <v>2.5</v>
      </c>
      <c r="H49" s="49">
        <v>1</v>
      </c>
      <c r="I49" s="59">
        <f t="shared" si="5"/>
        <v>3.1</v>
      </c>
      <c r="J49" s="60">
        <f t="shared" si="6"/>
        <v>1.674</v>
      </c>
      <c r="K49" s="60">
        <f t="shared" si="7"/>
        <v>20.274</v>
      </c>
      <c r="L49" s="47">
        <f t="shared" si="9"/>
        <v>1487.30064</v>
      </c>
      <c r="M49" s="109" t="s">
        <v>247</v>
      </c>
    </row>
    <row r="50" ht="60" spans="1:13">
      <c r="A50" s="39">
        <v>3</v>
      </c>
      <c r="B50" s="40" t="s">
        <v>274</v>
      </c>
      <c r="C50" s="40" t="s">
        <v>317</v>
      </c>
      <c r="D50" s="91" t="s">
        <v>101</v>
      </c>
      <c r="E50" s="39">
        <v>75.19</v>
      </c>
      <c r="F50" s="93">
        <v>2</v>
      </c>
      <c r="G50" s="47">
        <v>7</v>
      </c>
      <c r="H50" s="49">
        <v>1</v>
      </c>
      <c r="I50" s="59">
        <f t="shared" si="5"/>
        <v>2</v>
      </c>
      <c r="J50" s="60">
        <f t="shared" si="6"/>
        <v>1.08</v>
      </c>
      <c r="K50" s="60">
        <f t="shared" si="7"/>
        <v>13.08</v>
      </c>
      <c r="L50" s="47">
        <f t="shared" si="9"/>
        <v>983.4852</v>
      </c>
      <c r="M50" s="109" t="s">
        <v>242</v>
      </c>
    </row>
    <row r="51" ht="60" spans="1:13">
      <c r="A51" s="39">
        <v>4</v>
      </c>
      <c r="B51" s="46" t="s">
        <v>318</v>
      </c>
      <c r="C51" s="40" t="s">
        <v>319</v>
      </c>
      <c r="D51" s="39" t="s">
        <v>320</v>
      </c>
      <c r="E51" s="39">
        <f>2*0</f>
        <v>0</v>
      </c>
      <c r="F51" s="93"/>
      <c r="G51" s="102"/>
      <c r="H51" s="49"/>
      <c r="I51" s="59">
        <f t="shared" si="5"/>
        <v>0</v>
      </c>
      <c r="J51" s="60">
        <f t="shared" si="6"/>
        <v>0</v>
      </c>
      <c r="K51" s="60">
        <f t="shared" si="7"/>
        <v>0</v>
      </c>
      <c r="L51" s="47">
        <f t="shared" si="9"/>
        <v>0</v>
      </c>
      <c r="M51" s="109"/>
    </row>
    <row r="52" ht="16.5" spans="1:13">
      <c r="A52" s="39" t="s">
        <v>321</v>
      </c>
      <c r="B52" s="46" t="s">
        <v>322</v>
      </c>
      <c r="C52" s="46"/>
      <c r="D52" s="39"/>
      <c r="E52" s="39"/>
      <c r="F52" s="93"/>
      <c r="G52" s="102"/>
      <c r="H52" s="49"/>
      <c r="I52" s="59">
        <f t="shared" si="5"/>
        <v>0</v>
      </c>
      <c r="J52" s="60">
        <f t="shared" si="6"/>
        <v>0</v>
      </c>
      <c r="K52" s="60">
        <f t="shared" si="7"/>
        <v>0</v>
      </c>
      <c r="L52" s="47">
        <f t="shared" si="9"/>
        <v>0</v>
      </c>
      <c r="M52" s="109"/>
    </row>
    <row r="53" ht="36" spans="1:13">
      <c r="A53" s="39">
        <v>1</v>
      </c>
      <c r="B53" s="95" t="s">
        <v>169</v>
      </c>
      <c r="C53" s="95" t="s">
        <v>323</v>
      </c>
      <c r="D53" s="95" t="s">
        <v>86</v>
      </c>
      <c r="E53" s="39">
        <v>3.84</v>
      </c>
      <c r="F53" s="60">
        <v>5</v>
      </c>
      <c r="G53" s="81">
        <v>0</v>
      </c>
      <c r="H53" s="60">
        <v>25</v>
      </c>
      <c r="I53" s="59">
        <f t="shared" si="5"/>
        <v>6</v>
      </c>
      <c r="J53" s="60">
        <f t="shared" si="6"/>
        <v>3.24</v>
      </c>
      <c r="K53" s="60">
        <f t="shared" si="7"/>
        <v>39.24</v>
      </c>
      <c r="L53" s="47">
        <f t="shared" si="9"/>
        <v>150.6816</v>
      </c>
      <c r="M53" s="109"/>
    </row>
    <row r="54" ht="36" spans="1:13">
      <c r="A54" s="39">
        <v>2</v>
      </c>
      <c r="B54" s="95" t="s">
        <v>324</v>
      </c>
      <c r="C54" s="95" t="s">
        <v>325</v>
      </c>
      <c r="D54" s="95" t="s">
        <v>86</v>
      </c>
      <c r="E54" s="39">
        <v>3.84</v>
      </c>
      <c r="F54" s="60">
        <v>5</v>
      </c>
      <c r="G54" s="81">
        <v>0</v>
      </c>
      <c r="H54" s="60">
        <v>25</v>
      </c>
      <c r="I54" s="59">
        <f t="shared" si="5"/>
        <v>6</v>
      </c>
      <c r="J54" s="60">
        <f t="shared" si="6"/>
        <v>3.24</v>
      </c>
      <c r="K54" s="60">
        <f t="shared" si="7"/>
        <v>39.24</v>
      </c>
      <c r="L54" s="47">
        <f t="shared" si="9"/>
        <v>150.6816</v>
      </c>
      <c r="M54" s="109"/>
    </row>
    <row r="55" ht="84" spans="1:13">
      <c r="A55" s="39">
        <v>3</v>
      </c>
      <c r="B55" s="95" t="s">
        <v>326</v>
      </c>
      <c r="C55" s="95" t="s">
        <v>327</v>
      </c>
      <c r="D55" s="95" t="s">
        <v>101</v>
      </c>
      <c r="E55" s="39">
        <v>65</v>
      </c>
      <c r="F55" s="93">
        <v>10</v>
      </c>
      <c r="G55" s="102">
        <v>16</v>
      </c>
      <c r="H55" s="49">
        <v>6</v>
      </c>
      <c r="I55" s="59">
        <f t="shared" si="5"/>
        <v>6.4</v>
      </c>
      <c r="J55" s="60">
        <f t="shared" si="6"/>
        <v>3.456</v>
      </c>
      <c r="K55" s="60">
        <f t="shared" si="7"/>
        <v>41.856</v>
      </c>
      <c r="L55" s="47">
        <f t="shared" si="9"/>
        <v>2720.64</v>
      </c>
      <c r="M55" s="109"/>
    </row>
    <row r="56" ht="84" spans="1:13">
      <c r="A56" s="39">
        <v>4</v>
      </c>
      <c r="B56" s="95" t="s">
        <v>326</v>
      </c>
      <c r="C56" s="95" t="s">
        <v>328</v>
      </c>
      <c r="D56" s="95" t="s">
        <v>101</v>
      </c>
      <c r="E56" s="39">
        <v>3</v>
      </c>
      <c r="F56" s="93">
        <v>10</v>
      </c>
      <c r="G56" s="102">
        <v>26</v>
      </c>
      <c r="H56" s="49">
        <v>6</v>
      </c>
      <c r="I56" s="59">
        <f t="shared" si="5"/>
        <v>8.4</v>
      </c>
      <c r="J56" s="60">
        <f t="shared" si="6"/>
        <v>4.536</v>
      </c>
      <c r="K56" s="60">
        <f t="shared" si="7"/>
        <v>54.936</v>
      </c>
      <c r="L56" s="47">
        <f t="shared" si="9"/>
        <v>164.808</v>
      </c>
      <c r="M56" s="109"/>
    </row>
    <row r="57" ht="72" spans="1:13">
      <c r="A57" s="39">
        <v>5</v>
      </c>
      <c r="B57" s="103" t="s">
        <v>329</v>
      </c>
      <c r="C57" s="103" t="s">
        <v>330</v>
      </c>
      <c r="D57" s="103" t="s">
        <v>126</v>
      </c>
      <c r="E57" s="39">
        <v>80</v>
      </c>
      <c r="F57" s="93">
        <v>2</v>
      </c>
      <c r="G57" s="102">
        <v>9</v>
      </c>
      <c r="H57" s="49"/>
      <c r="I57" s="59">
        <f t="shared" si="5"/>
        <v>2.2</v>
      </c>
      <c r="J57" s="60">
        <f t="shared" si="6"/>
        <v>1.188</v>
      </c>
      <c r="K57" s="60">
        <f t="shared" si="7"/>
        <v>14.388</v>
      </c>
      <c r="L57" s="47">
        <f t="shared" si="9"/>
        <v>1151.04</v>
      </c>
      <c r="M57" s="109"/>
    </row>
    <row r="58" ht="60" spans="1:13">
      <c r="A58" s="39">
        <v>6</v>
      </c>
      <c r="B58" s="103" t="s">
        <v>331</v>
      </c>
      <c r="C58" s="95" t="s">
        <v>332</v>
      </c>
      <c r="D58" s="103" t="s">
        <v>225</v>
      </c>
      <c r="E58" s="39">
        <v>1</v>
      </c>
      <c r="F58" s="93">
        <v>600</v>
      </c>
      <c r="G58" s="102">
        <v>12000</v>
      </c>
      <c r="H58" s="49">
        <v>200</v>
      </c>
      <c r="I58" s="59">
        <f t="shared" si="5"/>
        <v>2560</v>
      </c>
      <c r="J58" s="60">
        <f t="shared" si="6"/>
        <v>1382.4</v>
      </c>
      <c r="K58" s="60">
        <f t="shared" si="7"/>
        <v>16742.4</v>
      </c>
      <c r="L58" s="47">
        <f t="shared" si="9"/>
        <v>16742.4</v>
      </c>
      <c r="M58" s="109"/>
    </row>
    <row r="59" ht="16.5" spans="1:13">
      <c r="A59" s="39" t="s">
        <v>333</v>
      </c>
      <c r="B59" s="46" t="s">
        <v>334</v>
      </c>
      <c r="C59" s="46"/>
      <c r="D59" s="39"/>
      <c r="E59" s="39"/>
      <c r="F59" s="93"/>
      <c r="G59" s="102"/>
      <c r="H59" s="49"/>
      <c r="I59" s="59">
        <f t="shared" si="5"/>
        <v>0</v>
      </c>
      <c r="J59" s="60">
        <f t="shared" si="6"/>
        <v>0</v>
      </c>
      <c r="K59" s="60">
        <f t="shared" si="7"/>
        <v>0</v>
      </c>
      <c r="L59" s="47">
        <f t="shared" si="9"/>
        <v>0</v>
      </c>
      <c r="M59" s="109"/>
    </row>
    <row r="60" ht="96" spans="1:13">
      <c r="A60" s="44">
        <v>1</v>
      </c>
      <c r="B60" s="95" t="s">
        <v>335</v>
      </c>
      <c r="C60" s="95" t="s">
        <v>336</v>
      </c>
      <c r="D60" s="44" t="s">
        <v>101</v>
      </c>
      <c r="E60" s="39">
        <v>11.77</v>
      </c>
      <c r="F60" s="49">
        <v>16</v>
      </c>
      <c r="G60" s="44">
        <v>20</v>
      </c>
      <c r="H60" s="49">
        <v>4</v>
      </c>
      <c r="I60" s="59">
        <f t="shared" si="5"/>
        <v>8</v>
      </c>
      <c r="J60" s="60">
        <f t="shared" si="6"/>
        <v>4.32</v>
      </c>
      <c r="K60" s="60">
        <f t="shared" si="7"/>
        <v>52.32</v>
      </c>
      <c r="L60" s="47">
        <f t="shared" si="9"/>
        <v>615.8064</v>
      </c>
      <c r="M60" s="109" t="s">
        <v>247</v>
      </c>
    </row>
    <row r="61" ht="36" spans="1:13">
      <c r="A61" s="44">
        <v>2</v>
      </c>
      <c r="B61" s="95" t="s">
        <v>169</v>
      </c>
      <c r="C61" s="95" t="s">
        <v>323</v>
      </c>
      <c r="D61" s="95" t="s">
        <v>86</v>
      </c>
      <c r="E61" s="39">
        <v>1.88</v>
      </c>
      <c r="F61" s="60">
        <v>5</v>
      </c>
      <c r="G61" s="81">
        <v>0</v>
      </c>
      <c r="H61" s="60">
        <v>25</v>
      </c>
      <c r="I61" s="59">
        <f t="shared" si="5"/>
        <v>6</v>
      </c>
      <c r="J61" s="60">
        <f t="shared" si="6"/>
        <v>3.24</v>
      </c>
      <c r="K61" s="60">
        <f t="shared" si="7"/>
        <v>39.24</v>
      </c>
      <c r="L61" s="47">
        <f t="shared" si="9"/>
        <v>73.7712</v>
      </c>
      <c r="M61" s="109"/>
    </row>
    <row r="62" ht="36" spans="1:13">
      <c r="A62" s="44">
        <v>3</v>
      </c>
      <c r="B62" s="95" t="s">
        <v>324</v>
      </c>
      <c r="C62" s="95" t="s">
        <v>325</v>
      </c>
      <c r="D62" s="95" t="s">
        <v>86</v>
      </c>
      <c r="E62" s="39">
        <v>1.88</v>
      </c>
      <c r="F62" s="60">
        <v>5</v>
      </c>
      <c r="G62" s="81">
        <v>0</v>
      </c>
      <c r="H62" s="60">
        <v>25</v>
      </c>
      <c r="I62" s="59">
        <f t="shared" si="5"/>
        <v>6</v>
      </c>
      <c r="J62" s="60">
        <f t="shared" si="6"/>
        <v>3.24</v>
      </c>
      <c r="K62" s="60">
        <f t="shared" si="7"/>
        <v>39.24</v>
      </c>
      <c r="L62" s="47">
        <f t="shared" si="9"/>
        <v>73.7712</v>
      </c>
      <c r="M62" s="109"/>
    </row>
    <row r="63" ht="16.5" spans="1:13">
      <c r="A63" s="39" t="s">
        <v>337</v>
      </c>
      <c r="B63" s="46" t="s">
        <v>338</v>
      </c>
      <c r="C63" s="46"/>
      <c r="D63" s="39"/>
      <c r="E63" s="39"/>
      <c r="F63" s="93"/>
      <c r="G63" s="102"/>
      <c r="H63" s="49"/>
      <c r="I63" s="59">
        <f t="shared" si="5"/>
        <v>0</v>
      </c>
      <c r="J63" s="60">
        <f t="shared" si="6"/>
        <v>0</v>
      </c>
      <c r="K63" s="60">
        <f t="shared" si="7"/>
        <v>0</v>
      </c>
      <c r="L63" s="47">
        <f t="shared" si="9"/>
        <v>0</v>
      </c>
      <c r="M63" s="109"/>
    </row>
    <row r="64" ht="132" spans="1:14">
      <c r="A64" s="39">
        <v>1</v>
      </c>
      <c r="B64" s="39" t="s">
        <v>339</v>
      </c>
      <c r="C64" s="104" t="s">
        <v>340</v>
      </c>
      <c r="D64" s="95" t="s">
        <v>101</v>
      </c>
      <c r="E64" s="39">
        <f>(53.83-4*0.7)*0</f>
        <v>0</v>
      </c>
      <c r="F64" s="93">
        <v>30</v>
      </c>
      <c r="G64" s="102">
        <v>46</v>
      </c>
      <c r="H64" s="49">
        <v>10</v>
      </c>
      <c r="I64" s="59">
        <f t="shared" si="5"/>
        <v>17.2</v>
      </c>
      <c r="J64" s="60">
        <f t="shared" si="6"/>
        <v>9.288</v>
      </c>
      <c r="K64" s="60">
        <f t="shared" si="7"/>
        <v>112.488</v>
      </c>
      <c r="L64" s="47">
        <f t="shared" si="9"/>
        <v>0</v>
      </c>
      <c r="M64" s="109"/>
      <c r="N64" s="110"/>
    </row>
    <row r="65" ht="132" spans="1:14">
      <c r="A65" s="39">
        <v>2</v>
      </c>
      <c r="B65" s="39" t="s">
        <v>339</v>
      </c>
      <c r="C65" s="104" t="s">
        <v>341</v>
      </c>
      <c r="D65" s="95" t="s">
        <v>101</v>
      </c>
      <c r="E65" s="39">
        <f>4.28*0</f>
        <v>0</v>
      </c>
      <c r="F65" s="93">
        <v>30</v>
      </c>
      <c r="G65" s="102">
        <v>14</v>
      </c>
      <c r="H65" s="49">
        <v>8</v>
      </c>
      <c r="I65" s="59">
        <f t="shared" si="5"/>
        <v>10.4</v>
      </c>
      <c r="J65" s="60">
        <f t="shared" si="6"/>
        <v>5.616</v>
      </c>
      <c r="K65" s="60">
        <f t="shared" si="7"/>
        <v>68.016</v>
      </c>
      <c r="L65" s="47">
        <f t="shared" si="9"/>
        <v>0</v>
      </c>
      <c r="M65" s="109"/>
      <c r="N65" s="110"/>
    </row>
    <row r="66" ht="120" spans="1:13">
      <c r="A66" s="39">
        <v>3</v>
      </c>
      <c r="B66" s="39" t="s">
        <v>342</v>
      </c>
      <c r="C66" s="104" t="s">
        <v>343</v>
      </c>
      <c r="D66" s="95" t="s">
        <v>101</v>
      </c>
      <c r="E66" s="39">
        <v>0.99</v>
      </c>
      <c r="F66" s="93">
        <v>20</v>
      </c>
      <c r="G66" s="102">
        <v>32</v>
      </c>
      <c r="H66" s="49">
        <v>10</v>
      </c>
      <c r="I66" s="59">
        <f t="shared" si="5"/>
        <v>12.4</v>
      </c>
      <c r="J66" s="60">
        <f t="shared" si="6"/>
        <v>6.696</v>
      </c>
      <c r="K66" s="60">
        <f t="shared" si="7"/>
        <v>81.096</v>
      </c>
      <c r="L66" s="47">
        <f t="shared" ref="L64:L77" si="10">K66*E66</f>
        <v>80.28504</v>
      </c>
      <c r="M66" s="109" t="s">
        <v>247</v>
      </c>
    </row>
    <row r="67" ht="132" spans="1:14">
      <c r="A67" s="39">
        <v>4</v>
      </c>
      <c r="B67" s="39" t="s">
        <v>339</v>
      </c>
      <c r="C67" s="104" t="s">
        <v>344</v>
      </c>
      <c r="D67" s="95" t="s">
        <v>101</v>
      </c>
      <c r="E67" s="39">
        <f>(58.37-0.7*3)*0</f>
        <v>0</v>
      </c>
      <c r="F67" s="93">
        <v>50</v>
      </c>
      <c r="G67" s="102">
        <v>52</v>
      </c>
      <c r="H67" s="49">
        <v>10</v>
      </c>
      <c r="I67" s="59">
        <f t="shared" si="5"/>
        <v>22.4</v>
      </c>
      <c r="J67" s="60">
        <f t="shared" si="6"/>
        <v>12.096</v>
      </c>
      <c r="K67" s="60">
        <f t="shared" si="7"/>
        <v>146.496</v>
      </c>
      <c r="L67" s="47">
        <f t="shared" si="10"/>
        <v>0</v>
      </c>
      <c r="M67" s="109"/>
      <c r="N67" s="110"/>
    </row>
    <row r="68" ht="132" spans="1:14">
      <c r="A68" s="39">
        <v>5</v>
      </c>
      <c r="B68" s="39" t="s">
        <v>339</v>
      </c>
      <c r="C68" s="104" t="s">
        <v>345</v>
      </c>
      <c r="D68" s="95" t="s">
        <v>101</v>
      </c>
      <c r="E68" s="39">
        <f>(19.08-0.7)*0</f>
        <v>0</v>
      </c>
      <c r="F68" s="93">
        <v>30</v>
      </c>
      <c r="G68" s="102">
        <v>26</v>
      </c>
      <c r="H68" s="49">
        <v>10</v>
      </c>
      <c r="I68" s="59">
        <f t="shared" si="5"/>
        <v>13.2</v>
      </c>
      <c r="J68" s="60">
        <f t="shared" si="6"/>
        <v>7.128</v>
      </c>
      <c r="K68" s="60">
        <f t="shared" si="7"/>
        <v>86.328</v>
      </c>
      <c r="L68" s="47">
        <f t="shared" si="10"/>
        <v>0</v>
      </c>
      <c r="M68" s="109"/>
      <c r="N68" s="110"/>
    </row>
    <row r="69" ht="60" spans="1:13">
      <c r="A69" s="39">
        <v>6</v>
      </c>
      <c r="B69" s="39" t="s">
        <v>346</v>
      </c>
      <c r="C69" s="104" t="s">
        <v>347</v>
      </c>
      <c r="D69" s="95" t="s">
        <v>320</v>
      </c>
      <c r="E69" s="39">
        <v>8</v>
      </c>
      <c r="F69" s="93"/>
      <c r="G69" s="102">
        <v>110</v>
      </c>
      <c r="H69" s="49"/>
      <c r="I69" s="59">
        <f t="shared" si="5"/>
        <v>22</v>
      </c>
      <c r="J69" s="60">
        <f t="shared" si="6"/>
        <v>11.88</v>
      </c>
      <c r="K69" s="60">
        <f t="shared" si="7"/>
        <v>143.88</v>
      </c>
      <c r="L69" s="47">
        <f>SUM(E69*K69)</f>
        <v>1151.04</v>
      </c>
      <c r="M69" s="109"/>
    </row>
    <row r="70" ht="60" spans="1:13">
      <c r="A70" s="39">
        <v>7</v>
      </c>
      <c r="B70" s="39" t="s">
        <v>348</v>
      </c>
      <c r="C70" s="104" t="s">
        <v>349</v>
      </c>
      <c r="D70" s="95" t="s">
        <v>320</v>
      </c>
      <c r="E70" s="39">
        <v>2</v>
      </c>
      <c r="F70" s="93"/>
      <c r="G70" s="102"/>
      <c r="H70" s="49"/>
      <c r="I70" s="59">
        <f t="shared" si="5"/>
        <v>0</v>
      </c>
      <c r="J70" s="60">
        <f t="shared" si="6"/>
        <v>0</v>
      </c>
      <c r="K70" s="60">
        <f t="shared" si="7"/>
        <v>0</v>
      </c>
      <c r="L70" s="47">
        <f>K70*E70</f>
        <v>0</v>
      </c>
      <c r="M70" s="109"/>
    </row>
    <row r="71" ht="36" spans="1:13">
      <c r="A71" s="39">
        <v>8</v>
      </c>
      <c r="B71" s="95" t="s">
        <v>169</v>
      </c>
      <c r="C71" s="95" t="s">
        <v>323</v>
      </c>
      <c r="D71" s="95" t="s">
        <v>86</v>
      </c>
      <c r="E71" s="39">
        <f>20.8*0</f>
        <v>0</v>
      </c>
      <c r="F71" s="60">
        <v>5</v>
      </c>
      <c r="G71" s="81">
        <v>0</v>
      </c>
      <c r="H71" s="60">
        <v>25</v>
      </c>
      <c r="I71" s="59">
        <f t="shared" si="5"/>
        <v>6</v>
      </c>
      <c r="J71" s="60">
        <f t="shared" si="6"/>
        <v>3.24</v>
      </c>
      <c r="K71" s="60">
        <f t="shared" si="7"/>
        <v>39.24</v>
      </c>
      <c r="L71" s="47">
        <f t="shared" si="10"/>
        <v>0</v>
      </c>
      <c r="M71" s="109"/>
    </row>
    <row r="72" ht="36" spans="1:13">
      <c r="A72" s="39">
        <v>9</v>
      </c>
      <c r="B72" s="95" t="s">
        <v>324</v>
      </c>
      <c r="C72" s="95" t="s">
        <v>325</v>
      </c>
      <c r="D72" s="95" t="s">
        <v>86</v>
      </c>
      <c r="E72" s="39">
        <f>20.8*0</f>
        <v>0</v>
      </c>
      <c r="F72" s="60">
        <v>5</v>
      </c>
      <c r="G72" s="81">
        <v>0</v>
      </c>
      <c r="H72" s="60">
        <v>25</v>
      </c>
      <c r="I72" s="59">
        <f t="shared" si="5"/>
        <v>6</v>
      </c>
      <c r="J72" s="60">
        <f t="shared" si="6"/>
        <v>3.24</v>
      </c>
      <c r="K72" s="60">
        <f t="shared" si="7"/>
        <v>39.24</v>
      </c>
      <c r="L72" s="47">
        <f t="shared" si="10"/>
        <v>0</v>
      </c>
      <c r="M72" s="109"/>
    </row>
    <row r="73" ht="16.5" spans="1:13">
      <c r="A73" s="39" t="s">
        <v>350</v>
      </c>
      <c r="B73" s="46" t="s">
        <v>351</v>
      </c>
      <c r="C73" s="46"/>
      <c r="D73" s="39"/>
      <c r="E73" s="39"/>
      <c r="F73" s="93"/>
      <c r="G73" s="102"/>
      <c r="H73" s="49"/>
      <c r="I73" s="59">
        <f t="shared" si="5"/>
        <v>0</v>
      </c>
      <c r="J73" s="60">
        <f t="shared" si="6"/>
        <v>0</v>
      </c>
      <c r="K73" s="60">
        <f t="shared" si="7"/>
        <v>0</v>
      </c>
      <c r="L73" s="47"/>
      <c r="M73" s="109"/>
    </row>
    <row r="74" ht="72" spans="1:13">
      <c r="A74" s="39">
        <v>1</v>
      </c>
      <c r="B74" s="95" t="s">
        <v>352</v>
      </c>
      <c r="C74" s="40" t="s">
        <v>353</v>
      </c>
      <c r="D74" s="91" t="s">
        <v>101</v>
      </c>
      <c r="E74" s="39">
        <v>80</v>
      </c>
      <c r="F74" s="93">
        <v>10</v>
      </c>
      <c r="G74" s="102">
        <v>20</v>
      </c>
      <c r="H74" s="49">
        <v>6</v>
      </c>
      <c r="I74" s="59">
        <f t="shared" si="5"/>
        <v>7.2</v>
      </c>
      <c r="J74" s="60">
        <f t="shared" si="6"/>
        <v>3.888</v>
      </c>
      <c r="K74" s="60">
        <f t="shared" si="7"/>
        <v>47.088</v>
      </c>
      <c r="L74" s="47">
        <f t="shared" si="10"/>
        <v>3767.04</v>
      </c>
      <c r="M74" s="109" t="s">
        <v>242</v>
      </c>
    </row>
    <row r="75" ht="84" spans="1:13">
      <c r="A75" s="39">
        <v>2</v>
      </c>
      <c r="B75" s="95" t="s">
        <v>223</v>
      </c>
      <c r="C75" s="40" t="s">
        <v>354</v>
      </c>
      <c r="D75" s="95" t="s">
        <v>225</v>
      </c>
      <c r="E75" s="39">
        <v>1</v>
      </c>
      <c r="F75" s="49">
        <v>300</v>
      </c>
      <c r="G75" s="44">
        <v>500</v>
      </c>
      <c r="H75" s="49">
        <v>100</v>
      </c>
      <c r="I75" s="59">
        <f t="shared" si="5"/>
        <v>180</v>
      </c>
      <c r="J75" s="60">
        <f t="shared" si="6"/>
        <v>97.2</v>
      </c>
      <c r="K75" s="60">
        <f t="shared" si="7"/>
        <v>1177.2</v>
      </c>
      <c r="L75" s="47">
        <f t="shared" si="10"/>
        <v>1177.2</v>
      </c>
      <c r="M75" s="109"/>
    </row>
    <row r="76" ht="96" spans="1:13">
      <c r="A76" s="39">
        <v>3</v>
      </c>
      <c r="B76" s="95" t="s">
        <v>335</v>
      </c>
      <c r="C76" s="95" t="s">
        <v>336</v>
      </c>
      <c r="D76" s="44" t="s">
        <v>101</v>
      </c>
      <c r="E76" s="39">
        <v>50</v>
      </c>
      <c r="F76" s="93">
        <v>20</v>
      </c>
      <c r="G76" s="102">
        <v>3.6</v>
      </c>
      <c r="H76" s="49">
        <v>1</v>
      </c>
      <c r="I76" s="59">
        <f t="shared" si="5"/>
        <v>4.92</v>
      </c>
      <c r="J76" s="60">
        <f t="shared" si="6"/>
        <v>2.6568</v>
      </c>
      <c r="K76" s="60">
        <f t="shared" si="7"/>
        <v>32.1768</v>
      </c>
      <c r="L76" s="47">
        <f t="shared" si="10"/>
        <v>1608.84</v>
      </c>
      <c r="M76" s="109" t="s">
        <v>247</v>
      </c>
    </row>
    <row r="77" ht="12.75" spans="1:13">
      <c r="A77" s="111" t="s">
        <v>355</v>
      </c>
      <c r="B77" s="111"/>
      <c r="C77" s="111"/>
      <c r="D77" s="111"/>
      <c r="E77" s="111"/>
      <c r="F77" s="111"/>
      <c r="G77" s="111"/>
      <c r="H77" s="49"/>
      <c r="I77" s="105"/>
      <c r="J77" s="106"/>
      <c r="K77" s="47"/>
      <c r="L77" s="47">
        <f>SUM(L6:L76)</f>
        <v>132393.94816</v>
      </c>
      <c r="M77" s="109"/>
    </row>
    <row r="78" ht="69" customHeight="1" spans="1:13">
      <c r="A78" s="53" t="s">
        <v>356</v>
      </c>
      <c r="B78" s="53"/>
      <c r="C78" s="53"/>
      <c r="D78" s="53"/>
      <c r="E78" s="53"/>
      <c r="F78" s="53"/>
      <c r="G78" s="53"/>
      <c r="H78" s="53"/>
      <c r="I78" s="53"/>
      <c r="J78" s="53"/>
      <c r="K78" s="62"/>
      <c r="L78" s="53"/>
      <c r="M78" s="53"/>
    </row>
    <row r="85" spans="5:5">
      <c r="E85" s="112"/>
    </row>
    <row r="86" spans="5:5">
      <c r="E86" s="112"/>
    </row>
    <row r="87" spans="5:5">
      <c r="E87" s="112"/>
    </row>
  </sheetData>
  <mergeCells count="25">
    <mergeCell ref="A1:J1"/>
    <mergeCell ref="F2:J2"/>
    <mergeCell ref="B5:C5"/>
    <mergeCell ref="B14:C14"/>
    <mergeCell ref="B16:C16"/>
    <mergeCell ref="B29:C29"/>
    <mergeCell ref="B38:C38"/>
    <mergeCell ref="B47:C47"/>
    <mergeCell ref="B52:C52"/>
    <mergeCell ref="B59:C59"/>
    <mergeCell ref="B63:C63"/>
    <mergeCell ref="B73:C73"/>
    <mergeCell ref="A77:G77"/>
    <mergeCell ref="A78:M78"/>
    <mergeCell ref="A2:A4"/>
    <mergeCell ref="B2:B4"/>
    <mergeCell ref="C2:C4"/>
    <mergeCell ref="D2:D4"/>
    <mergeCell ref="E2:E4"/>
    <mergeCell ref="F3:F4"/>
    <mergeCell ref="G3:G4"/>
    <mergeCell ref="H3:H4"/>
    <mergeCell ref="K2:K4"/>
    <mergeCell ref="L2:L4"/>
    <mergeCell ref="M2:M4"/>
  </mergeCells>
  <pageMargins left="0.75" right="0.75" top="1" bottom="1" header="0.5" footer="0.5"/>
  <pageSetup paperSize="9" scale="6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6"/>
  <sheetViews>
    <sheetView topLeftCell="A37" workbookViewId="0">
      <selection activeCell="F36" sqref="F36"/>
    </sheetView>
  </sheetViews>
  <sheetFormatPr defaultColWidth="10.2857142857143" defaultRowHeight="13.5"/>
  <cols>
    <col min="1" max="1" width="8.12380952380952" style="65" customWidth="1"/>
    <col min="2" max="2" width="10.4285714285714" style="63" customWidth="1"/>
    <col min="3" max="3" width="18.7142857142857" style="63" customWidth="1"/>
    <col min="4" max="4" width="5.71428571428571" style="65" customWidth="1"/>
    <col min="5" max="5" width="5.42857142857143" style="66" customWidth="1"/>
    <col min="6" max="6" width="7" style="66" customWidth="1"/>
    <col min="7" max="7" width="7.57142857142857" style="66" customWidth="1"/>
    <col min="8" max="8" width="6.14285714285714" style="66" customWidth="1"/>
    <col min="9" max="10" width="6.28571428571429" style="66" customWidth="1"/>
    <col min="11" max="11" width="9.14285714285714" style="66" customWidth="1"/>
    <col min="12" max="12" width="10" style="66" customWidth="1"/>
    <col min="13" max="13" width="8" style="65" customWidth="1"/>
    <col min="14" max="14" width="24.6095238095238" style="63" customWidth="1"/>
    <col min="15" max="15" width="14.8285714285714" style="65" customWidth="1"/>
    <col min="16" max="19" width="14.4380952380952" style="63"/>
    <col min="20" max="16384" width="10.2857142857143" style="63"/>
  </cols>
  <sheetData>
    <row r="1" s="63" customFormat="1" ht="35" customHeight="1" spans="1:15">
      <c r="A1" s="67" t="s">
        <v>357</v>
      </c>
      <c r="B1" s="68"/>
      <c r="C1" s="67"/>
      <c r="D1" s="67"/>
      <c r="E1" s="69"/>
      <c r="F1" s="69"/>
      <c r="G1" s="69"/>
      <c r="H1" s="69"/>
      <c r="I1" s="69"/>
      <c r="J1" s="69"/>
      <c r="K1" s="69"/>
      <c r="L1" s="69"/>
      <c r="M1" s="67"/>
      <c r="O1" s="65"/>
    </row>
    <row r="2" s="19" customFormat="1" ht="34" customHeight="1" spans="1:13">
      <c r="A2" s="70" t="s">
        <v>11</v>
      </c>
      <c r="B2" s="70" t="s">
        <v>218</v>
      </c>
      <c r="C2" s="70" t="s">
        <v>219</v>
      </c>
      <c r="D2" s="70" t="s">
        <v>54</v>
      </c>
      <c r="E2" s="71" t="s">
        <v>220</v>
      </c>
      <c r="F2" s="55" t="s">
        <v>70</v>
      </c>
      <c r="G2" s="55"/>
      <c r="H2" s="55"/>
      <c r="I2" s="55"/>
      <c r="J2" s="55"/>
      <c r="K2" s="55" t="s">
        <v>71</v>
      </c>
      <c r="L2" s="55" t="s">
        <v>72</v>
      </c>
      <c r="M2" s="55" t="s">
        <v>57</v>
      </c>
    </row>
    <row r="3" s="19" customFormat="1" ht="34" customHeight="1" spans="1:13">
      <c r="A3" s="70"/>
      <c r="B3" s="70"/>
      <c r="C3" s="70"/>
      <c r="D3" s="70"/>
      <c r="E3" s="71"/>
      <c r="F3" s="55" t="s">
        <v>74</v>
      </c>
      <c r="G3" s="55" t="s">
        <v>75</v>
      </c>
      <c r="H3" s="55" t="s">
        <v>76</v>
      </c>
      <c r="I3" s="55" t="s">
        <v>221</v>
      </c>
      <c r="J3" s="55" t="s">
        <v>78</v>
      </c>
      <c r="K3" s="55"/>
      <c r="L3" s="55"/>
      <c r="M3" s="55"/>
    </row>
    <row r="4" s="19" customFormat="1" ht="22" customHeight="1" spans="1:13">
      <c r="A4" s="70"/>
      <c r="B4" s="70"/>
      <c r="C4" s="70"/>
      <c r="D4" s="70"/>
      <c r="E4" s="71"/>
      <c r="F4" s="55"/>
      <c r="G4" s="55"/>
      <c r="H4" s="55"/>
      <c r="I4" s="57"/>
      <c r="J4" s="57"/>
      <c r="K4" s="55"/>
      <c r="L4" s="55"/>
      <c r="M4" s="55"/>
    </row>
    <row r="5" s="18" customFormat="1" ht="29" customHeight="1" spans="1:19">
      <c r="A5" s="70" t="s">
        <v>58</v>
      </c>
      <c r="B5" s="70" t="s">
        <v>163</v>
      </c>
      <c r="C5" s="70"/>
      <c r="D5" s="70"/>
      <c r="E5" s="71"/>
      <c r="F5" s="55"/>
      <c r="G5" s="55"/>
      <c r="H5" s="55"/>
      <c r="I5" s="55"/>
      <c r="J5" s="55"/>
      <c r="K5" s="55"/>
      <c r="L5" s="55"/>
      <c r="M5" s="55"/>
      <c r="O5" s="65"/>
      <c r="P5" s="63"/>
      <c r="Q5" s="63"/>
      <c r="R5" s="63"/>
      <c r="S5" s="63"/>
    </row>
    <row r="6" s="18" customFormat="1" ht="101.25" spans="1:19">
      <c r="A6" s="70">
        <v>1</v>
      </c>
      <c r="B6" s="70" t="s">
        <v>358</v>
      </c>
      <c r="C6" s="72" t="s">
        <v>359</v>
      </c>
      <c r="D6" s="70" t="s">
        <v>83</v>
      </c>
      <c r="E6" s="71">
        <v>24.5</v>
      </c>
      <c r="F6" s="73">
        <v>45</v>
      </c>
      <c r="G6" s="73">
        <v>60</v>
      </c>
      <c r="H6" s="73">
        <v>25</v>
      </c>
      <c r="I6" s="59">
        <f>(F6+G6+H6)*0.2</f>
        <v>26</v>
      </c>
      <c r="J6" s="60">
        <f>(F6+G6+H6+I6)*0.09</f>
        <v>14.04</v>
      </c>
      <c r="K6" s="60">
        <f>SUM(F6:J6)</f>
        <v>170.04</v>
      </c>
      <c r="L6" s="55">
        <f>E6*K6</f>
        <v>4165.98</v>
      </c>
      <c r="M6" s="87" t="s">
        <v>360</v>
      </c>
      <c r="O6" s="65"/>
      <c r="P6" s="63"/>
      <c r="Q6" s="63"/>
      <c r="R6" s="63"/>
      <c r="S6" s="63"/>
    </row>
    <row r="7" s="18" customFormat="1" ht="79" customHeight="1" spans="1:19">
      <c r="A7" s="70">
        <v>2</v>
      </c>
      <c r="B7" s="70" t="s">
        <v>361</v>
      </c>
      <c r="C7" s="72" t="s">
        <v>362</v>
      </c>
      <c r="D7" s="70" t="s">
        <v>83</v>
      </c>
      <c r="E7" s="71">
        <f>0.45+0.239+0.246</f>
        <v>0.935</v>
      </c>
      <c r="F7" s="55">
        <v>50</v>
      </c>
      <c r="G7" s="55">
        <v>120</v>
      </c>
      <c r="H7" s="55">
        <v>20</v>
      </c>
      <c r="I7" s="59">
        <f t="shared" ref="I7:I44" si="0">(F7+G7+H7)*0.2</f>
        <v>38</v>
      </c>
      <c r="J7" s="60">
        <f t="shared" ref="J7:J44" si="1">(F7+G7+H7+I7)*0.09</f>
        <v>20.52</v>
      </c>
      <c r="K7" s="60">
        <f t="shared" ref="K7:K44" si="2">SUM(F7:J7)</f>
        <v>248.52</v>
      </c>
      <c r="L7" s="55">
        <f>E7*K7</f>
        <v>232.3662</v>
      </c>
      <c r="M7" s="55"/>
      <c r="O7" s="65"/>
      <c r="P7" s="63"/>
      <c r="Q7" s="63"/>
      <c r="R7" s="63"/>
      <c r="S7" s="63"/>
    </row>
    <row r="8" s="18" customFormat="1" ht="26" customHeight="1" spans="1:19">
      <c r="A8" s="70" t="s">
        <v>63</v>
      </c>
      <c r="B8" s="70" t="s">
        <v>165</v>
      </c>
      <c r="C8" s="70"/>
      <c r="D8" s="70"/>
      <c r="E8" s="71"/>
      <c r="F8" s="55"/>
      <c r="G8" s="55"/>
      <c r="H8" s="55"/>
      <c r="I8" s="59">
        <f t="shared" si="0"/>
        <v>0</v>
      </c>
      <c r="J8" s="60">
        <f t="shared" si="1"/>
        <v>0</v>
      </c>
      <c r="K8" s="60">
        <f t="shared" si="2"/>
        <v>0</v>
      </c>
      <c r="L8" s="55">
        <f>E8*K8</f>
        <v>0</v>
      </c>
      <c r="M8" s="55"/>
      <c r="O8" s="65"/>
      <c r="P8" s="63"/>
      <c r="Q8" s="63"/>
      <c r="R8" s="63"/>
      <c r="S8" s="63"/>
    </row>
    <row r="9" s="63" customFormat="1" ht="78" customHeight="1" spans="1:15">
      <c r="A9" s="70">
        <v>1</v>
      </c>
      <c r="B9" s="74" t="s">
        <v>363</v>
      </c>
      <c r="C9" s="75" t="s">
        <v>364</v>
      </c>
      <c r="D9" s="70" t="s">
        <v>83</v>
      </c>
      <c r="E9" s="71">
        <f>0.64+0.582+0.64+1.81+0.526+3.995-1.673+(1.9)*0.2+(1.2+1.4)*2*0.1+10.743+5.64-2.44+17.828-2.6-2.71+8.084-1.4+5.64-2.44</f>
        <v>43.765</v>
      </c>
      <c r="F9" s="73">
        <v>45</v>
      </c>
      <c r="G9" s="73">
        <v>50</v>
      </c>
      <c r="H9" s="73">
        <v>25</v>
      </c>
      <c r="I9" s="59">
        <f t="shared" si="0"/>
        <v>24</v>
      </c>
      <c r="J9" s="60">
        <f t="shared" si="1"/>
        <v>12.96</v>
      </c>
      <c r="K9" s="60">
        <f t="shared" si="2"/>
        <v>156.96</v>
      </c>
      <c r="L9" s="55">
        <f>E9*K9</f>
        <v>6869.3544</v>
      </c>
      <c r="M9" s="88" t="s">
        <v>360</v>
      </c>
      <c r="N9" s="18"/>
      <c r="O9" s="65"/>
    </row>
    <row r="10" s="18" customFormat="1" ht="85" customHeight="1" spans="1:19">
      <c r="A10" s="70">
        <v>2</v>
      </c>
      <c r="B10" s="70" t="s">
        <v>365</v>
      </c>
      <c r="C10" s="76" t="s">
        <v>366</v>
      </c>
      <c r="D10" s="70" t="s">
        <v>83</v>
      </c>
      <c r="E10" s="71">
        <f>2*2.9+1.1*2.1</f>
        <v>8.11</v>
      </c>
      <c r="F10" s="77">
        <v>60</v>
      </c>
      <c r="G10" s="77">
        <v>480</v>
      </c>
      <c r="H10" s="78">
        <v>60</v>
      </c>
      <c r="I10" s="59">
        <f t="shared" si="0"/>
        <v>120</v>
      </c>
      <c r="J10" s="60">
        <f t="shared" si="1"/>
        <v>64.8</v>
      </c>
      <c r="K10" s="60">
        <f t="shared" si="2"/>
        <v>784.8</v>
      </c>
      <c r="L10" s="55">
        <f t="shared" ref="L7:L44" si="3">E10*K10</f>
        <v>6364.728</v>
      </c>
      <c r="M10" s="55"/>
      <c r="O10" s="65"/>
      <c r="P10" s="63"/>
      <c r="Q10" s="63"/>
      <c r="R10" s="63"/>
      <c r="S10" s="63"/>
    </row>
    <row r="11" s="18" customFormat="1" ht="75" customHeight="1" spans="1:19">
      <c r="A11" s="70">
        <v>3</v>
      </c>
      <c r="B11" s="70" t="s">
        <v>367</v>
      </c>
      <c r="C11" s="72" t="s">
        <v>368</v>
      </c>
      <c r="D11" s="70" t="s">
        <v>369</v>
      </c>
      <c r="E11" s="71">
        <v>2</v>
      </c>
      <c r="F11" s="77">
        <v>150</v>
      </c>
      <c r="G11" s="77">
        <v>340</v>
      </c>
      <c r="H11" s="78">
        <v>60</v>
      </c>
      <c r="I11" s="59">
        <f t="shared" si="0"/>
        <v>110</v>
      </c>
      <c r="J11" s="60">
        <f t="shared" si="1"/>
        <v>59.4</v>
      </c>
      <c r="K11" s="60">
        <f t="shared" si="2"/>
        <v>719.4</v>
      </c>
      <c r="L11" s="55">
        <f t="shared" si="3"/>
        <v>1438.8</v>
      </c>
      <c r="M11" s="55"/>
      <c r="O11" s="65"/>
      <c r="P11" s="63"/>
      <c r="Q11" s="63"/>
      <c r="R11" s="63"/>
      <c r="S11" s="63"/>
    </row>
    <row r="12" s="18" customFormat="1" ht="57" customHeight="1" spans="1:19">
      <c r="A12" s="70">
        <v>4</v>
      </c>
      <c r="B12" s="70" t="s">
        <v>370</v>
      </c>
      <c r="C12" s="72" t="s">
        <v>371</v>
      </c>
      <c r="D12" s="70" t="s">
        <v>101</v>
      </c>
      <c r="E12" s="71">
        <f>2.35*2</f>
        <v>4.7</v>
      </c>
      <c r="F12" s="77">
        <v>13</v>
      </c>
      <c r="G12" s="79">
        <v>26</v>
      </c>
      <c r="H12" s="78">
        <v>6</v>
      </c>
      <c r="I12" s="59">
        <f t="shared" si="0"/>
        <v>9</v>
      </c>
      <c r="J12" s="60">
        <f t="shared" si="1"/>
        <v>4.86</v>
      </c>
      <c r="K12" s="60">
        <f t="shared" si="2"/>
        <v>58.86</v>
      </c>
      <c r="L12" s="55">
        <f t="shared" si="3"/>
        <v>276.642</v>
      </c>
      <c r="M12" s="55"/>
      <c r="O12" s="65"/>
      <c r="P12" s="63"/>
      <c r="Q12" s="63"/>
      <c r="R12" s="63"/>
      <c r="S12" s="63"/>
    </row>
    <row r="13" s="18" customFormat="1" ht="30" customHeight="1" spans="1:19">
      <c r="A13" s="70" t="s">
        <v>248</v>
      </c>
      <c r="B13" s="70" t="s">
        <v>372</v>
      </c>
      <c r="C13" s="70"/>
      <c r="D13" s="70"/>
      <c r="E13" s="71"/>
      <c r="F13" s="55"/>
      <c r="G13" s="55"/>
      <c r="H13" s="55"/>
      <c r="I13" s="59">
        <f t="shared" si="0"/>
        <v>0</v>
      </c>
      <c r="J13" s="60">
        <f t="shared" si="1"/>
        <v>0</v>
      </c>
      <c r="K13" s="60">
        <f t="shared" si="2"/>
        <v>0</v>
      </c>
      <c r="L13" s="55">
        <f t="shared" si="3"/>
        <v>0</v>
      </c>
      <c r="M13" s="55"/>
      <c r="O13" s="65"/>
      <c r="P13" s="63"/>
      <c r="Q13" s="63"/>
      <c r="R13" s="63"/>
      <c r="S13" s="63"/>
    </row>
    <row r="14" s="18" customFormat="1" ht="99" customHeight="1" spans="1:19">
      <c r="A14" s="70">
        <v>1</v>
      </c>
      <c r="B14" s="70" t="s">
        <v>373</v>
      </c>
      <c r="C14" s="72" t="s">
        <v>374</v>
      </c>
      <c r="D14" s="70" t="s">
        <v>375</v>
      </c>
      <c r="E14" s="71">
        <f>6.92</f>
        <v>6.92</v>
      </c>
      <c r="F14" s="73">
        <v>50</v>
      </c>
      <c r="G14" s="73">
        <v>90</v>
      </c>
      <c r="H14" s="73">
        <v>15</v>
      </c>
      <c r="I14" s="59">
        <f t="shared" si="0"/>
        <v>31</v>
      </c>
      <c r="J14" s="60">
        <f t="shared" si="1"/>
        <v>16.74</v>
      </c>
      <c r="K14" s="60">
        <f t="shared" si="2"/>
        <v>202.74</v>
      </c>
      <c r="L14" s="55">
        <f t="shared" si="3"/>
        <v>1402.9608</v>
      </c>
      <c r="M14" s="55" t="s">
        <v>376</v>
      </c>
      <c r="O14" s="65"/>
      <c r="P14" s="63"/>
      <c r="Q14" s="63"/>
      <c r="R14" s="63"/>
      <c r="S14" s="63"/>
    </row>
    <row r="15" s="18" customFormat="1" ht="52" customHeight="1" spans="1:19">
      <c r="A15" s="70">
        <v>2</v>
      </c>
      <c r="B15" s="70" t="s">
        <v>377</v>
      </c>
      <c r="C15" s="72" t="s">
        <v>378</v>
      </c>
      <c r="D15" s="70" t="s">
        <v>101</v>
      </c>
      <c r="E15" s="71">
        <f>7.66</f>
        <v>7.66</v>
      </c>
      <c r="F15" s="77">
        <v>13</v>
      </c>
      <c r="G15" s="79">
        <v>26</v>
      </c>
      <c r="H15" s="78">
        <v>6</v>
      </c>
      <c r="I15" s="59">
        <f t="shared" si="0"/>
        <v>9</v>
      </c>
      <c r="J15" s="60">
        <f t="shared" si="1"/>
        <v>4.86</v>
      </c>
      <c r="K15" s="60">
        <f t="shared" si="2"/>
        <v>58.86</v>
      </c>
      <c r="L15" s="55">
        <f t="shared" si="3"/>
        <v>450.8676</v>
      </c>
      <c r="M15" s="55"/>
      <c r="O15" s="65"/>
      <c r="P15" s="63"/>
      <c r="Q15" s="63"/>
      <c r="R15" s="63"/>
      <c r="S15" s="63"/>
    </row>
    <row r="16" s="18" customFormat="1" ht="67.5" spans="1:19">
      <c r="A16" s="70">
        <v>3</v>
      </c>
      <c r="B16" s="70" t="s">
        <v>379</v>
      </c>
      <c r="C16" s="72" t="s">
        <v>380</v>
      </c>
      <c r="D16" s="70" t="s">
        <v>375</v>
      </c>
      <c r="E16" s="71">
        <v>6.92</v>
      </c>
      <c r="F16" s="55">
        <v>12</v>
      </c>
      <c r="G16" s="55">
        <v>25</v>
      </c>
      <c r="H16" s="55">
        <v>5</v>
      </c>
      <c r="I16" s="59">
        <f t="shared" si="0"/>
        <v>8.4</v>
      </c>
      <c r="J16" s="60">
        <f t="shared" si="1"/>
        <v>4.536</v>
      </c>
      <c r="K16" s="60">
        <f t="shared" si="2"/>
        <v>54.936</v>
      </c>
      <c r="L16" s="55">
        <f t="shared" si="3"/>
        <v>380.15712</v>
      </c>
      <c r="M16" s="55"/>
      <c r="O16" s="65"/>
      <c r="P16" s="63"/>
      <c r="Q16" s="63"/>
      <c r="R16" s="63"/>
      <c r="S16" s="63"/>
    </row>
    <row r="17" s="18" customFormat="1" ht="168.75" spans="1:19">
      <c r="A17" s="70">
        <v>4</v>
      </c>
      <c r="B17" s="70" t="s">
        <v>381</v>
      </c>
      <c r="C17" s="72" t="s">
        <v>382</v>
      </c>
      <c r="D17" s="70" t="s">
        <v>83</v>
      </c>
      <c r="E17" s="71">
        <v>9.56</v>
      </c>
      <c r="F17" s="73">
        <v>50</v>
      </c>
      <c r="G17" s="73">
        <v>120</v>
      </c>
      <c r="H17" s="73">
        <v>15</v>
      </c>
      <c r="I17" s="59">
        <f t="shared" si="0"/>
        <v>37</v>
      </c>
      <c r="J17" s="60">
        <f t="shared" si="1"/>
        <v>19.98</v>
      </c>
      <c r="K17" s="60">
        <f t="shared" si="2"/>
        <v>241.98</v>
      </c>
      <c r="L17" s="55">
        <f t="shared" si="3"/>
        <v>2313.3288</v>
      </c>
      <c r="M17" s="55" t="s">
        <v>376</v>
      </c>
      <c r="O17" s="65"/>
      <c r="P17" s="63"/>
      <c r="Q17" s="63"/>
      <c r="R17" s="63"/>
      <c r="S17" s="63"/>
    </row>
    <row r="18" s="18" customFormat="1" ht="67.5" spans="1:19">
      <c r="A18" s="70">
        <v>5</v>
      </c>
      <c r="B18" s="70" t="s">
        <v>383</v>
      </c>
      <c r="C18" s="72" t="s">
        <v>384</v>
      </c>
      <c r="D18" s="70" t="s">
        <v>83</v>
      </c>
      <c r="E18" s="71">
        <v>9.56</v>
      </c>
      <c r="F18" s="55">
        <v>12</v>
      </c>
      <c r="G18" s="55">
        <v>25</v>
      </c>
      <c r="H18" s="55">
        <v>5</v>
      </c>
      <c r="I18" s="59">
        <f t="shared" si="0"/>
        <v>8.4</v>
      </c>
      <c r="J18" s="60">
        <f t="shared" si="1"/>
        <v>4.536</v>
      </c>
      <c r="K18" s="60">
        <f t="shared" si="2"/>
        <v>54.936</v>
      </c>
      <c r="L18" s="55">
        <f t="shared" si="3"/>
        <v>525.18816</v>
      </c>
      <c r="M18" s="55"/>
      <c r="O18" s="65"/>
      <c r="P18" s="63"/>
      <c r="Q18" s="63"/>
      <c r="R18" s="63"/>
      <c r="S18" s="63"/>
    </row>
    <row r="19" s="18" customFormat="1" ht="60" customHeight="1" spans="1:19">
      <c r="A19" s="70">
        <v>6</v>
      </c>
      <c r="B19" s="70" t="s">
        <v>385</v>
      </c>
      <c r="C19" s="72" t="s">
        <v>386</v>
      </c>
      <c r="D19" s="70" t="s">
        <v>83</v>
      </c>
      <c r="E19" s="71">
        <v>1.59</v>
      </c>
      <c r="F19" s="55">
        <v>12</v>
      </c>
      <c r="G19" s="55">
        <v>25</v>
      </c>
      <c r="H19" s="55">
        <v>5</v>
      </c>
      <c r="I19" s="59">
        <f t="shared" si="0"/>
        <v>8.4</v>
      </c>
      <c r="J19" s="60">
        <f t="shared" si="1"/>
        <v>4.536</v>
      </c>
      <c r="K19" s="60">
        <f t="shared" si="2"/>
        <v>54.936</v>
      </c>
      <c r="L19" s="55">
        <f t="shared" si="3"/>
        <v>87.34824</v>
      </c>
      <c r="M19" s="55"/>
      <c r="O19" s="65"/>
      <c r="P19" s="63"/>
      <c r="Q19" s="63"/>
      <c r="R19" s="63"/>
      <c r="S19" s="63"/>
    </row>
    <row r="20" s="18" customFormat="1" ht="66" customHeight="1" spans="1:19">
      <c r="A20" s="70">
        <v>7</v>
      </c>
      <c r="B20" s="70" t="s">
        <v>385</v>
      </c>
      <c r="C20" s="72" t="s">
        <v>387</v>
      </c>
      <c r="D20" s="70" t="s">
        <v>83</v>
      </c>
      <c r="E20" s="71">
        <f>3.54+2.92</f>
        <v>6.46</v>
      </c>
      <c r="F20" s="55">
        <v>12</v>
      </c>
      <c r="G20" s="55">
        <v>25</v>
      </c>
      <c r="H20" s="55">
        <v>5</v>
      </c>
      <c r="I20" s="59">
        <f t="shared" si="0"/>
        <v>8.4</v>
      </c>
      <c r="J20" s="60">
        <f t="shared" si="1"/>
        <v>4.536</v>
      </c>
      <c r="K20" s="60">
        <f t="shared" si="2"/>
        <v>54.936</v>
      </c>
      <c r="L20" s="55">
        <f t="shared" si="3"/>
        <v>354.88656</v>
      </c>
      <c r="M20" s="55"/>
      <c r="O20" s="65"/>
      <c r="P20" s="63"/>
      <c r="Q20" s="63"/>
      <c r="R20" s="63"/>
      <c r="S20" s="63"/>
    </row>
    <row r="21" s="18" customFormat="1" ht="85" customHeight="1" spans="1:19">
      <c r="A21" s="70">
        <v>8</v>
      </c>
      <c r="B21" s="70" t="s">
        <v>388</v>
      </c>
      <c r="C21" s="72" t="s">
        <v>389</v>
      </c>
      <c r="D21" s="70" t="s">
        <v>83</v>
      </c>
      <c r="E21" s="71">
        <f>0.35*(7.62+7.02)</f>
        <v>5.124</v>
      </c>
      <c r="F21" s="55">
        <v>60</v>
      </c>
      <c r="G21" s="55">
        <v>160</v>
      </c>
      <c r="H21" s="55">
        <v>16</v>
      </c>
      <c r="I21" s="59">
        <f t="shared" si="0"/>
        <v>47.2</v>
      </c>
      <c r="J21" s="60">
        <f t="shared" si="1"/>
        <v>25.488</v>
      </c>
      <c r="K21" s="60">
        <f t="shared" si="2"/>
        <v>308.688</v>
      </c>
      <c r="L21" s="55">
        <f t="shared" si="3"/>
        <v>1581.717312</v>
      </c>
      <c r="M21" s="55" t="s">
        <v>376</v>
      </c>
      <c r="O21" s="65"/>
      <c r="P21" s="63"/>
      <c r="Q21" s="63"/>
      <c r="R21" s="63"/>
      <c r="S21" s="63"/>
    </row>
    <row r="22" s="18" customFormat="1" ht="22.5" spans="1:19">
      <c r="A22" s="70" t="s">
        <v>279</v>
      </c>
      <c r="B22" s="23" t="s">
        <v>390</v>
      </c>
      <c r="D22" s="23"/>
      <c r="E22" s="24"/>
      <c r="F22" s="30"/>
      <c r="G22" s="30"/>
      <c r="H22" s="30"/>
      <c r="I22" s="59">
        <f t="shared" si="0"/>
        <v>0</v>
      </c>
      <c r="J22" s="60">
        <f t="shared" si="1"/>
        <v>0</v>
      </c>
      <c r="K22" s="60">
        <f t="shared" si="2"/>
        <v>0</v>
      </c>
      <c r="L22" s="55">
        <f t="shared" si="3"/>
        <v>0</v>
      </c>
      <c r="M22" s="55"/>
      <c r="O22" s="65"/>
      <c r="P22" s="63"/>
      <c r="Q22" s="63"/>
      <c r="R22" s="63"/>
      <c r="S22" s="63"/>
    </row>
    <row r="23" s="18" customFormat="1" ht="68" customHeight="1" spans="1:19">
      <c r="A23" s="70">
        <v>1</v>
      </c>
      <c r="B23" s="70" t="s">
        <v>81</v>
      </c>
      <c r="C23" s="72" t="s">
        <v>82</v>
      </c>
      <c r="D23" s="70" t="s">
        <v>83</v>
      </c>
      <c r="E23" s="80">
        <f>26.5/2</f>
        <v>13.25</v>
      </c>
      <c r="F23" s="60">
        <v>2</v>
      </c>
      <c r="G23" s="81">
        <v>0</v>
      </c>
      <c r="H23" s="60">
        <v>2</v>
      </c>
      <c r="I23" s="59">
        <f t="shared" si="0"/>
        <v>0.8</v>
      </c>
      <c r="J23" s="60">
        <f t="shared" si="1"/>
        <v>0.432</v>
      </c>
      <c r="K23" s="60">
        <f t="shared" si="2"/>
        <v>5.232</v>
      </c>
      <c r="L23" s="55">
        <f t="shared" si="3"/>
        <v>69.324</v>
      </c>
      <c r="M23" s="55"/>
      <c r="O23" s="65"/>
      <c r="P23" s="63"/>
      <c r="Q23" s="63"/>
      <c r="R23" s="63"/>
      <c r="S23" s="63"/>
    </row>
    <row r="24" s="18" customFormat="1" ht="22.5" spans="1:19">
      <c r="A24" s="70">
        <v>2</v>
      </c>
      <c r="B24" s="70" t="s">
        <v>391</v>
      </c>
      <c r="C24" s="72" t="s">
        <v>392</v>
      </c>
      <c r="D24" s="70" t="s">
        <v>86</v>
      </c>
      <c r="E24" s="80">
        <f>26.5*0.15/2</f>
        <v>1.9875</v>
      </c>
      <c r="F24" s="73">
        <v>18</v>
      </c>
      <c r="G24" s="78">
        <v>60</v>
      </c>
      <c r="H24" s="73">
        <v>12</v>
      </c>
      <c r="I24" s="59">
        <f t="shared" si="0"/>
        <v>18</v>
      </c>
      <c r="J24" s="60">
        <f t="shared" si="1"/>
        <v>9.72</v>
      </c>
      <c r="K24" s="60">
        <f t="shared" si="2"/>
        <v>117.72</v>
      </c>
      <c r="L24" s="55">
        <f t="shared" si="3"/>
        <v>233.9685</v>
      </c>
      <c r="M24" s="55"/>
      <c r="O24" s="65"/>
      <c r="P24" s="63"/>
      <c r="Q24" s="63"/>
      <c r="R24" s="63"/>
      <c r="S24" s="63"/>
    </row>
    <row r="25" s="18" customFormat="1" ht="36" customHeight="1" spans="1:19">
      <c r="A25" s="70">
        <v>3</v>
      </c>
      <c r="B25" s="70" t="s">
        <v>393</v>
      </c>
      <c r="C25" s="72" t="s">
        <v>394</v>
      </c>
      <c r="D25" s="70" t="s">
        <v>86</v>
      </c>
      <c r="E25" s="71">
        <f>26.5*0.1/2</f>
        <v>1.325</v>
      </c>
      <c r="F25" s="73">
        <v>170</v>
      </c>
      <c r="G25" s="78">
        <v>420</v>
      </c>
      <c r="H25" s="73">
        <v>15</v>
      </c>
      <c r="I25" s="59">
        <f t="shared" si="0"/>
        <v>121</v>
      </c>
      <c r="J25" s="60">
        <f t="shared" si="1"/>
        <v>65.34</v>
      </c>
      <c r="K25" s="60">
        <f t="shared" si="2"/>
        <v>791.34</v>
      </c>
      <c r="L25" s="55">
        <f t="shared" si="3"/>
        <v>1048.5255</v>
      </c>
      <c r="M25" s="55"/>
      <c r="O25" s="65"/>
      <c r="P25" s="63"/>
      <c r="Q25" s="63"/>
      <c r="R25" s="63"/>
      <c r="S25" s="63"/>
    </row>
    <row r="26" s="18" customFormat="1" ht="68" customHeight="1" spans="1:19">
      <c r="A26" s="70">
        <v>4</v>
      </c>
      <c r="B26" s="82" t="s">
        <v>93</v>
      </c>
      <c r="C26" s="82" t="s">
        <v>395</v>
      </c>
      <c r="D26" s="83" t="s">
        <v>83</v>
      </c>
      <c r="E26" s="71">
        <f>3.98/2</f>
        <v>1.99</v>
      </c>
      <c r="F26" s="81">
        <v>40</v>
      </c>
      <c r="G26" s="60">
        <v>80</v>
      </c>
      <c r="H26" s="78">
        <v>20</v>
      </c>
      <c r="I26" s="59">
        <f t="shared" si="0"/>
        <v>28</v>
      </c>
      <c r="J26" s="60">
        <f t="shared" si="1"/>
        <v>15.12</v>
      </c>
      <c r="K26" s="60">
        <f t="shared" si="2"/>
        <v>183.12</v>
      </c>
      <c r="L26" s="55">
        <f t="shared" si="3"/>
        <v>364.4088</v>
      </c>
      <c r="M26" s="55"/>
      <c r="O26" s="65"/>
      <c r="P26" s="63"/>
      <c r="Q26" s="63"/>
      <c r="R26" s="63"/>
      <c r="S26" s="63"/>
    </row>
    <row r="27" s="18" customFormat="1" ht="68" customHeight="1" spans="1:19">
      <c r="A27" s="70">
        <v>5</v>
      </c>
      <c r="B27" s="82" t="s">
        <v>95</v>
      </c>
      <c r="C27" s="82" t="s">
        <v>396</v>
      </c>
      <c r="D27" s="83" t="s">
        <v>83</v>
      </c>
      <c r="E27" s="71">
        <f>1.87/2</f>
        <v>0.935</v>
      </c>
      <c r="F27" s="81">
        <v>40</v>
      </c>
      <c r="G27" s="60">
        <v>80</v>
      </c>
      <c r="H27" s="78">
        <v>20</v>
      </c>
      <c r="I27" s="59">
        <f t="shared" si="0"/>
        <v>28</v>
      </c>
      <c r="J27" s="60">
        <f t="shared" si="1"/>
        <v>15.12</v>
      </c>
      <c r="K27" s="60">
        <f t="shared" si="2"/>
        <v>183.12</v>
      </c>
      <c r="L27" s="55">
        <f t="shared" si="3"/>
        <v>171.2172</v>
      </c>
      <c r="M27" s="55"/>
      <c r="O27" s="65"/>
      <c r="P27" s="63"/>
      <c r="Q27" s="63"/>
      <c r="R27" s="63"/>
      <c r="S27" s="63"/>
    </row>
    <row r="28" s="18" customFormat="1" ht="68" customHeight="1" spans="1:19">
      <c r="A28" s="70">
        <v>6</v>
      </c>
      <c r="B28" s="82" t="s">
        <v>91</v>
      </c>
      <c r="C28" s="82" t="s">
        <v>397</v>
      </c>
      <c r="D28" s="83" t="s">
        <v>83</v>
      </c>
      <c r="E28" s="71">
        <f>(13.499+3.9598)/2</f>
        <v>8.7294</v>
      </c>
      <c r="F28" s="81">
        <v>40</v>
      </c>
      <c r="G28" s="60">
        <v>80</v>
      </c>
      <c r="H28" s="78">
        <v>20</v>
      </c>
      <c r="I28" s="59">
        <f t="shared" si="0"/>
        <v>28</v>
      </c>
      <c r="J28" s="60">
        <f t="shared" si="1"/>
        <v>15.12</v>
      </c>
      <c r="K28" s="60">
        <f t="shared" si="2"/>
        <v>183.12</v>
      </c>
      <c r="L28" s="55">
        <f t="shared" si="3"/>
        <v>1598.527728</v>
      </c>
      <c r="M28" s="55"/>
      <c r="O28" s="65"/>
      <c r="P28" s="63"/>
      <c r="Q28" s="63"/>
      <c r="R28" s="63"/>
      <c r="S28" s="63"/>
    </row>
    <row r="29" s="18" customFormat="1" ht="68" customHeight="1" spans="1:19">
      <c r="A29" s="70">
        <v>7</v>
      </c>
      <c r="B29" s="82" t="s">
        <v>93</v>
      </c>
      <c r="C29" s="82" t="s">
        <v>398</v>
      </c>
      <c r="D29" s="83" t="s">
        <v>83</v>
      </c>
      <c r="E29" s="71">
        <f>1.44/2</f>
        <v>0.72</v>
      </c>
      <c r="F29" s="81">
        <v>40</v>
      </c>
      <c r="G29" s="60">
        <v>80</v>
      </c>
      <c r="H29" s="78">
        <v>20</v>
      </c>
      <c r="I29" s="59">
        <f t="shared" si="0"/>
        <v>28</v>
      </c>
      <c r="J29" s="60">
        <f t="shared" si="1"/>
        <v>15.12</v>
      </c>
      <c r="K29" s="60">
        <f t="shared" si="2"/>
        <v>183.12</v>
      </c>
      <c r="L29" s="55">
        <f t="shared" si="3"/>
        <v>131.8464</v>
      </c>
      <c r="M29" s="55"/>
      <c r="O29" s="65"/>
      <c r="P29" s="63"/>
      <c r="Q29" s="63"/>
      <c r="R29" s="63"/>
      <c r="S29" s="63"/>
    </row>
    <row r="30" s="18" customFormat="1" ht="68" customHeight="1" spans="1:19">
      <c r="A30" s="70">
        <v>8</v>
      </c>
      <c r="B30" s="82" t="s">
        <v>91</v>
      </c>
      <c r="C30" s="82" t="s">
        <v>399</v>
      </c>
      <c r="D30" s="83" t="s">
        <v>83</v>
      </c>
      <c r="E30" s="71">
        <f>1.766/2</f>
        <v>0.883</v>
      </c>
      <c r="F30" s="81">
        <v>40</v>
      </c>
      <c r="G30" s="60">
        <v>80</v>
      </c>
      <c r="H30" s="78">
        <v>20</v>
      </c>
      <c r="I30" s="59">
        <f t="shared" si="0"/>
        <v>28</v>
      </c>
      <c r="J30" s="60">
        <f t="shared" si="1"/>
        <v>15.12</v>
      </c>
      <c r="K30" s="60">
        <f t="shared" si="2"/>
        <v>183.12</v>
      </c>
      <c r="L30" s="55">
        <f t="shared" si="3"/>
        <v>161.69496</v>
      </c>
      <c r="M30" s="55"/>
      <c r="O30" s="65"/>
      <c r="P30" s="63"/>
      <c r="Q30" s="63"/>
      <c r="R30" s="63"/>
      <c r="S30" s="63"/>
    </row>
    <row r="31" s="18" customFormat="1" ht="16.5" spans="1:19">
      <c r="A31" s="70" t="s">
        <v>297</v>
      </c>
      <c r="B31" s="82" t="s">
        <v>400</v>
      </c>
      <c r="C31" s="82"/>
      <c r="D31" s="83"/>
      <c r="E31" s="71"/>
      <c r="F31" s="55"/>
      <c r="G31" s="55"/>
      <c r="H31" s="55"/>
      <c r="I31" s="59">
        <f t="shared" si="0"/>
        <v>0</v>
      </c>
      <c r="J31" s="60">
        <f t="shared" si="1"/>
        <v>0</v>
      </c>
      <c r="K31" s="60">
        <f t="shared" si="2"/>
        <v>0</v>
      </c>
      <c r="L31" s="55">
        <f t="shared" si="3"/>
        <v>0</v>
      </c>
      <c r="M31" s="55"/>
      <c r="O31" s="65"/>
      <c r="P31" s="63"/>
      <c r="Q31" s="63"/>
      <c r="R31" s="63"/>
      <c r="S31" s="63"/>
    </row>
    <row r="32" s="18" customFormat="1" ht="112.5" spans="1:19">
      <c r="A32" s="70">
        <v>1</v>
      </c>
      <c r="B32" s="82" t="s">
        <v>401</v>
      </c>
      <c r="C32" s="82" t="s">
        <v>402</v>
      </c>
      <c r="D32" s="83" t="s">
        <v>109</v>
      </c>
      <c r="E32" s="71">
        <f>门头钢结构工程量计算!F22/1000/2</f>
        <v>0.91684054</v>
      </c>
      <c r="F32" s="73">
        <v>2800</v>
      </c>
      <c r="G32" s="73">
        <v>4600</v>
      </c>
      <c r="H32" s="73">
        <v>50</v>
      </c>
      <c r="I32" s="59">
        <f t="shared" si="0"/>
        <v>1490</v>
      </c>
      <c r="J32" s="60">
        <f t="shared" si="1"/>
        <v>804.6</v>
      </c>
      <c r="K32" s="60">
        <f t="shared" si="2"/>
        <v>9744.6</v>
      </c>
      <c r="L32" s="55">
        <f t="shared" si="3"/>
        <v>8934.244326084</v>
      </c>
      <c r="M32" s="55"/>
      <c r="O32" s="65"/>
      <c r="P32" s="63"/>
      <c r="Q32" s="63"/>
      <c r="R32" s="63"/>
      <c r="S32" s="63"/>
    </row>
    <row r="33" s="18" customFormat="1" ht="68" customHeight="1" spans="1:19">
      <c r="A33" s="70">
        <v>2</v>
      </c>
      <c r="B33" s="82" t="s">
        <v>403</v>
      </c>
      <c r="C33" s="12" t="s">
        <v>404</v>
      </c>
      <c r="D33" s="84" t="s">
        <v>239</v>
      </c>
      <c r="E33" s="14">
        <v>2</v>
      </c>
      <c r="F33" s="55">
        <v>20</v>
      </c>
      <c r="G33" s="55">
        <v>65</v>
      </c>
      <c r="H33" s="55"/>
      <c r="I33" s="59">
        <f t="shared" si="0"/>
        <v>17</v>
      </c>
      <c r="J33" s="60">
        <f t="shared" si="1"/>
        <v>9.18</v>
      </c>
      <c r="K33" s="60">
        <f t="shared" si="2"/>
        <v>111.18</v>
      </c>
      <c r="L33" s="55">
        <f t="shared" si="3"/>
        <v>222.36</v>
      </c>
      <c r="M33" s="55"/>
      <c r="O33" s="65"/>
      <c r="P33" s="63"/>
      <c r="Q33" s="63"/>
      <c r="R33" s="63"/>
      <c r="S33" s="63"/>
    </row>
    <row r="34" s="18" customFormat="1" ht="68" customHeight="1" spans="1:19">
      <c r="A34" s="70">
        <v>3</v>
      </c>
      <c r="B34" s="82" t="s">
        <v>403</v>
      </c>
      <c r="C34" s="82" t="s">
        <v>405</v>
      </c>
      <c r="D34" s="83" t="s">
        <v>239</v>
      </c>
      <c r="E34" s="71">
        <v>97</v>
      </c>
      <c r="F34" s="55">
        <v>15</v>
      </c>
      <c r="G34" s="55">
        <v>35</v>
      </c>
      <c r="H34" s="55"/>
      <c r="I34" s="59">
        <f t="shared" si="0"/>
        <v>10</v>
      </c>
      <c r="J34" s="60">
        <f t="shared" si="1"/>
        <v>5.4</v>
      </c>
      <c r="K34" s="60">
        <f t="shared" si="2"/>
        <v>65.4</v>
      </c>
      <c r="L34" s="55">
        <f t="shared" si="3"/>
        <v>6343.8</v>
      </c>
      <c r="M34" s="55"/>
      <c r="O34" s="65"/>
      <c r="P34" s="63"/>
      <c r="Q34" s="63"/>
      <c r="R34" s="63"/>
      <c r="S34" s="63"/>
    </row>
    <row r="35" s="18" customFormat="1" ht="68" customHeight="1" spans="1:19">
      <c r="A35" s="70">
        <v>4</v>
      </c>
      <c r="B35" s="82" t="s">
        <v>406</v>
      </c>
      <c r="C35" s="82" t="s">
        <v>407</v>
      </c>
      <c r="D35" s="83" t="s">
        <v>83</v>
      </c>
      <c r="E35" s="71">
        <f>(2.35*4.118*2-2.9+7.8*0.2)*0</f>
        <v>0</v>
      </c>
      <c r="F35" s="77">
        <v>120</v>
      </c>
      <c r="G35" s="77">
        <v>180</v>
      </c>
      <c r="H35" s="78">
        <v>50</v>
      </c>
      <c r="I35" s="59">
        <f t="shared" si="0"/>
        <v>70</v>
      </c>
      <c r="J35" s="60">
        <f t="shared" si="1"/>
        <v>37.8</v>
      </c>
      <c r="K35" s="60">
        <f t="shared" si="2"/>
        <v>457.8</v>
      </c>
      <c r="L35" s="55">
        <f t="shared" si="3"/>
        <v>0</v>
      </c>
      <c r="M35" s="55"/>
      <c r="O35" s="65"/>
      <c r="P35" s="63"/>
      <c r="Q35" s="63"/>
      <c r="R35" s="63"/>
      <c r="S35" s="63"/>
    </row>
    <row r="36" s="18" customFormat="1" ht="68" customHeight="1" spans="1:19">
      <c r="A36" s="70">
        <v>5</v>
      </c>
      <c r="B36" s="82" t="s">
        <v>408</v>
      </c>
      <c r="C36" s="82" t="s">
        <v>409</v>
      </c>
      <c r="D36" s="83" t="s">
        <v>83</v>
      </c>
      <c r="E36" s="71">
        <f>2.659*4.118*2</f>
        <v>21.899524</v>
      </c>
      <c r="F36" s="77">
        <v>120</v>
      </c>
      <c r="G36" s="77">
        <v>180</v>
      </c>
      <c r="H36" s="78">
        <v>50</v>
      </c>
      <c r="I36" s="59">
        <f t="shared" si="0"/>
        <v>70</v>
      </c>
      <c r="J36" s="60">
        <f t="shared" si="1"/>
        <v>37.8</v>
      </c>
      <c r="K36" s="60">
        <f t="shared" si="2"/>
        <v>457.8</v>
      </c>
      <c r="L36" s="55">
        <f t="shared" si="3"/>
        <v>10025.6020872</v>
      </c>
      <c r="M36" s="55"/>
      <c r="O36" s="65"/>
      <c r="P36" s="63"/>
      <c r="Q36" s="63"/>
      <c r="R36" s="63"/>
      <c r="S36" s="63"/>
    </row>
    <row r="37" s="18" customFormat="1" ht="68" customHeight="1" spans="1:19">
      <c r="A37" s="70">
        <v>6</v>
      </c>
      <c r="B37" s="82" t="s">
        <v>410</v>
      </c>
      <c r="C37" s="82" t="s">
        <v>411</v>
      </c>
      <c r="D37" s="83" t="s">
        <v>83</v>
      </c>
      <c r="E37" s="71">
        <f>1.729*(1.5+1.7+1.55)-2+3.45*1.31+4.626*3.939+1.442*1.838+(0.25+0.15+0.04+0.04+0.17+0.04+0.04)*3.04+(0.04*3+0.17+0.15+0.05)*3.04</f>
        <v>35.31326</v>
      </c>
      <c r="F37" s="85">
        <v>90</v>
      </c>
      <c r="G37" s="86">
        <v>240</v>
      </c>
      <c r="H37" s="81">
        <v>50</v>
      </c>
      <c r="I37" s="59">
        <f t="shared" si="0"/>
        <v>76</v>
      </c>
      <c r="J37" s="60">
        <f t="shared" si="1"/>
        <v>41.04</v>
      </c>
      <c r="K37" s="60">
        <f t="shared" si="2"/>
        <v>497.04</v>
      </c>
      <c r="L37" s="55">
        <f t="shared" si="3"/>
        <v>17552.1027504</v>
      </c>
      <c r="M37" s="55"/>
      <c r="O37" s="65"/>
      <c r="P37" s="63"/>
      <c r="Q37" s="63"/>
      <c r="R37" s="63"/>
      <c r="S37" s="63"/>
    </row>
    <row r="38" s="18" customFormat="1" ht="68" customHeight="1" spans="1:19">
      <c r="A38" s="70">
        <v>7</v>
      </c>
      <c r="B38" s="82" t="s">
        <v>412</v>
      </c>
      <c r="C38" s="82" t="s">
        <v>413</v>
      </c>
      <c r="D38" s="83" t="s">
        <v>83</v>
      </c>
      <c r="E38" s="71">
        <f>22.51+(3.7+2.538)*0.18+(1.3+2.54)*0.15+2*0.43+9.12</f>
        <v>34.18884</v>
      </c>
      <c r="F38" s="85">
        <v>90</v>
      </c>
      <c r="G38" s="86">
        <v>240</v>
      </c>
      <c r="H38" s="81">
        <v>50</v>
      </c>
      <c r="I38" s="59">
        <f t="shared" si="0"/>
        <v>76</v>
      </c>
      <c r="J38" s="60">
        <f t="shared" si="1"/>
        <v>41.04</v>
      </c>
      <c r="K38" s="60">
        <f t="shared" si="2"/>
        <v>497.04</v>
      </c>
      <c r="L38" s="55">
        <f t="shared" si="3"/>
        <v>16993.2210336</v>
      </c>
      <c r="M38" s="55"/>
      <c r="O38" s="65"/>
      <c r="P38" s="63"/>
      <c r="Q38" s="63"/>
      <c r="R38" s="63"/>
      <c r="S38" s="63"/>
    </row>
    <row r="39" s="18" customFormat="1" ht="68" customHeight="1" spans="1:19">
      <c r="A39" s="70">
        <v>8</v>
      </c>
      <c r="B39" s="82" t="s">
        <v>414</v>
      </c>
      <c r="C39" s="82" t="s">
        <v>415</v>
      </c>
      <c r="D39" s="83" t="s">
        <v>83</v>
      </c>
      <c r="E39" s="71">
        <v>9.12</v>
      </c>
      <c r="F39" s="73">
        <v>30</v>
      </c>
      <c r="G39" s="73">
        <v>70</v>
      </c>
      <c r="H39" s="73">
        <v>10</v>
      </c>
      <c r="I39" s="59">
        <f t="shared" si="0"/>
        <v>22</v>
      </c>
      <c r="J39" s="60">
        <f t="shared" si="1"/>
        <v>11.88</v>
      </c>
      <c r="K39" s="60">
        <f t="shared" si="2"/>
        <v>143.88</v>
      </c>
      <c r="L39" s="55">
        <f t="shared" si="3"/>
        <v>1312.1856</v>
      </c>
      <c r="M39" s="55"/>
      <c r="O39" s="65"/>
      <c r="P39" s="63"/>
      <c r="Q39" s="63"/>
      <c r="R39" s="63"/>
      <c r="S39" s="63"/>
    </row>
    <row r="40" s="18" customFormat="1" ht="45" spans="1:19">
      <c r="A40" s="70">
        <v>9</v>
      </c>
      <c r="B40" s="82" t="s">
        <v>416</v>
      </c>
      <c r="C40" s="82" t="s">
        <v>417</v>
      </c>
      <c r="D40" s="83" t="s">
        <v>83</v>
      </c>
      <c r="E40" s="71">
        <f>0</f>
        <v>0</v>
      </c>
      <c r="F40" s="55">
        <v>20</v>
      </c>
      <c r="G40" s="55">
        <v>40</v>
      </c>
      <c r="H40" s="55">
        <v>4</v>
      </c>
      <c r="I40" s="59">
        <f t="shared" si="0"/>
        <v>12.8</v>
      </c>
      <c r="J40" s="60">
        <f t="shared" si="1"/>
        <v>6.912</v>
      </c>
      <c r="K40" s="60">
        <f t="shared" si="2"/>
        <v>83.712</v>
      </c>
      <c r="L40" s="55">
        <f t="shared" si="3"/>
        <v>0</v>
      </c>
      <c r="M40" s="55"/>
      <c r="O40" s="65"/>
      <c r="P40" s="63"/>
      <c r="Q40" s="63"/>
      <c r="R40" s="63"/>
      <c r="S40" s="63"/>
    </row>
    <row r="41" s="18" customFormat="1" ht="33.75" spans="1:19">
      <c r="A41" s="70">
        <v>10</v>
      </c>
      <c r="B41" s="82" t="s">
        <v>418</v>
      </c>
      <c r="C41" s="82" t="s">
        <v>419</v>
      </c>
      <c r="D41" s="83" t="s">
        <v>101</v>
      </c>
      <c r="E41" s="71">
        <f>5.45*2+0.34*22</f>
        <v>18.38</v>
      </c>
      <c r="F41" s="55">
        <v>10</v>
      </c>
      <c r="G41" s="55">
        <v>30</v>
      </c>
      <c r="H41" s="55">
        <v>4</v>
      </c>
      <c r="I41" s="59">
        <f t="shared" si="0"/>
        <v>8.8</v>
      </c>
      <c r="J41" s="60">
        <f t="shared" si="1"/>
        <v>4.752</v>
      </c>
      <c r="K41" s="60">
        <f t="shared" si="2"/>
        <v>57.552</v>
      </c>
      <c r="L41" s="55">
        <f t="shared" si="3"/>
        <v>1057.80576</v>
      </c>
      <c r="M41" s="55"/>
      <c r="O41" s="65"/>
      <c r="P41" s="63"/>
      <c r="Q41" s="63"/>
      <c r="R41" s="63"/>
      <c r="S41" s="63"/>
    </row>
    <row r="42" s="18" customFormat="1" ht="45" spans="1:19">
      <c r="A42" s="70">
        <v>11</v>
      </c>
      <c r="B42" s="82" t="s">
        <v>420</v>
      </c>
      <c r="C42" s="82" t="s">
        <v>421</v>
      </c>
      <c r="D42" s="83" t="s">
        <v>83</v>
      </c>
      <c r="E42" s="71">
        <f>1.05+0.181*2</f>
        <v>1.412</v>
      </c>
      <c r="F42" s="55">
        <v>120</v>
      </c>
      <c r="G42" s="55">
        <v>420</v>
      </c>
      <c r="H42" s="55">
        <v>60</v>
      </c>
      <c r="I42" s="59">
        <f t="shared" si="0"/>
        <v>120</v>
      </c>
      <c r="J42" s="60">
        <f t="shared" si="1"/>
        <v>64.8</v>
      </c>
      <c r="K42" s="60">
        <f t="shared" si="2"/>
        <v>784.8</v>
      </c>
      <c r="L42" s="55">
        <f t="shared" si="3"/>
        <v>1108.1376</v>
      </c>
      <c r="M42" s="55"/>
      <c r="O42" s="65"/>
      <c r="P42" s="63"/>
      <c r="Q42" s="63"/>
      <c r="R42" s="63"/>
      <c r="S42" s="63"/>
    </row>
    <row r="43" s="18" customFormat="1" ht="33.75" spans="1:19">
      <c r="A43" s="70">
        <v>12</v>
      </c>
      <c r="B43" s="82" t="s">
        <v>422</v>
      </c>
      <c r="C43" s="82" t="s">
        <v>423</v>
      </c>
      <c r="D43" s="83" t="s">
        <v>126</v>
      </c>
      <c r="E43" s="71">
        <v>2</v>
      </c>
      <c r="F43" s="55">
        <v>140</v>
      </c>
      <c r="G43" s="55">
        <v>560</v>
      </c>
      <c r="H43" s="55">
        <v>60</v>
      </c>
      <c r="I43" s="59">
        <f t="shared" si="0"/>
        <v>152</v>
      </c>
      <c r="J43" s="60">
        <f t="shared" si="1"/>
        <v>82.08</v>
      </c>
      <c r="K43" s="60">
        <f t="shared" si="2"/>
        <v>994.08</v>
      </c>
      <c r="L43" s="55">
        <f t="shared" si="3"/>
        <v>1988.16</v>
      </c>
      <c r="M43" s="55" t="s">
        <v>424</v>
      </c>
      <c r="O43" s="65"/>
      <c r="P43" s="63"/>
      <c r="Q43" s="63"/>
      <c r="R43" s="63"/>
      <c r="S43" s="63"/>
    </row>
    <row r="44" s="18" customFormat="1" ht="68" customHeight="1" spans="1:19">
      <c r="A44" s="70">
        <v>13</v>
      </c>
      <c r="B44" s="82" t="s">
        <v>425</v>
      </c>
      <c r="C44" s="82" t="s">
        <v>426</v>
      </c>
      <c r="D44" s="83" t="s">
        <v>126</v>
      </c>
      <c r="E44" s="71">
        <v>1</v>
      </c>
      <c r="F44" s="55">
        <v>400</v>
      </c>
      <c r="G44" s="55">
        <v>2200</v>
      </c>
      <c r="H44" s="55"/>
      <c r="I44" s="59">
        <f t="shared" si="0"/>
        <v>520</v>
      </c>
      <c r="J44" s="60">
        <f t="shared" si="1"/>
        <v>280.8</v>
      </c>
      <c r="K44" s="60">
        <f t="shared" si="2"/>
        <v>3400.8</v>
      </c>
      <c r="L44" s="55">
        <f t="shared" si="3"/>
        <v>3400.8</v>
      </c>
      <c r="M44" s="55"/>
      <c r="O44" s="65"/>
      <c r="P44" s="63"/>
      <c r="Q44" s="63"/>
      <c r="R44" s="63"/>
      <c r="S44" s="63"/>
    </row>
    <row r="45" s="18" customFormat="1" ht="39" customHeight="1" spans="1:19">
      <c r="A45" s="70" t="s">
        <v>312</v>
      </c>
      <c r="B45" s="70" t="s">
        <v>427</v>
      </c>
      <c r="C45" s="70"/>
      <c r="D45" s="70" t="s">
        <v>215</v>
      </c>
      <c r="E45" s="71"/>
      <c r="F45" s="55"/>
      <c r="G45" s="55"/>
      <c r="H45" s="55"/>
      <c r="I45" s="55"/>
      <c r="J45" s="55"/>
      <c r="K45" s="55"/>
      <c r="L45" s="55">
        <f>SUM(L6:L44)</f>
        <v>99162.257437284</v>
      </c>
      <c r="M45" s="55"/>
      <c r="O45" s="65"/>
      <c r="P45" s="63"/>
      <c r="Q45" s="63"/>
      <c r="R45" s="63"/>
      <c r="S45" s="63"/>
    </row>
    <row r="46" s="64" customFormat="1" ht="69" customHeight="1" spans="1:13">
      <c r="A46" s="53" t="s">
        <v>356</v>
      </c>
      <c r="B46" s="53"/>
      <c r="C46" s="53"/>
      <c r="D46" s="53"/>
      <c r="E46" s="53"/>
      <c r="F46" s="53"/>
      <c r="G46" s="53"/>
      <c r="H46" s="53"/>
      <c r="I46" s="53"/>
      <c r="J46" s="53"/>
      <c r="K46" s="62"/>
      <c r="L46" s="53"/>
      <c r="M46" s="53"/>
    </row>
  </sheetData>
  <autoFilter ref="A4:S46">
    <extLst/>
  </autoFilter>
  <mergeCells count="15">
    <mergeCell ref="A1:M1"/>
    <mergeCell ref="F2:J2"/>
    <mergeCell ref="B45:C45"/>
    <mergeCell ref="A46:M46"/>
    <mergeCell ref="A2:A4"/>
    <mergeCell ref="B2:B4"/>
    <mergeCell ref="C2:C4"/>
    <mergeCell ref="D2:D4"/>
    <mergeCell ref="E2:E4"/>
    <mergeCell ref="F3:F4"/>
    <mergeCell ref="G3:G4"/>
    <mergeCell ref="H3:H4"/>
    <mergeCell ref="K2:K4"/>
    <mergeCell ref="L2:L4"/>
    <mergeCell ref="M2:M4"/>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
  <sheetViews>
    <sheetView topLeftCell="A13" workbookViewId="0">
      <selection activeCell="H9" sqref="H9"/>
    </sheetView>
  </sheetViews>
  <sheetFormatPr defaultColWidth="10.2857142857143" defaultRowHeight="13.5"/>
  <cols>
    <col min="1" max="1" width="8.28571428571429" style="18" customWidth="1"/>
    <col min="2" max="2" width="12.1428571428571" style="18" customWidth="1"/>
    <col min="3" max="3" width="17.5714285714286" style="18" customWidth="1"/>
    <col min="4" max="4" width="2.57142857142857" style="18" customWidth="1"/>
    <col min="5" max="5" width="6.71428571428571" style="18" customWidth="1"/>
    <col min="6" max="6" width="7.71428571428571" style="20" customWidth="1"/>
    <col min="7" max="7" width="8.85714285714286" style="20" customWidth="1"/>
    <col min="8" max="8" width="8.71428571428571" style="18" customWidth="1"/>
    <col min="9" max="10" width="7.28571428571429" style="18" customWidth="1"/>
    <col min="11" max="12" width="8.57142857142857" style="18" customWidth="1"/>
    <col min="13" max="13" width="3.85714285714286" style="18" customWidth="1"/>
    <col min="14" max="14" width="11.6571428571429" style="18" customWidth="1"/>
    <col min="15" max="16384" width="10.2857142857143" style="18"/>
  </cols>
  <sheetData>
    <row r="1" s="18" customFormat="1" ht="27" customHeight="1" spans="1:13">
      <c r="A1" s="21" t="s">
        <v>428</v>
      </c>
      <c r="B1" s="21"/>
      <c r="C1" s="21"/>
      <c r="D1" s="21"/>
      <c r="E1" s="21"/>
      <c r="F1" s="21"/>
      <c r="G1" s="21"/>
      <c r="H1" s="21"/>
      <c r="I1" s="21"/>
      <c r="J1" s="21"/>
      <c r="K1" s="21"/>
      <c r="L1" s="21"/>
      <c r="M1" s="21"/>
    </row>
    <row r="2" s="19" customFormat="1" ht="34" customHeight="1" spans="1:13">
      <c r="A2" s="22" t="s">
        <v>11</v>
      </c>
      <c r="B2" s="23" t="s">
        <v>218</v>
      </c>
      <c r="C2" s="23" t="s">
        <v>219</v>
      </c>
      <c r="D2" s="23" t="s">
        <v>54</v>
      </c>
      <c r="E2" s="24" t="s">
        <v>220</v>
      </c>
      <c r="F2" s="25" t="s">
        <v>70</v>
      </c>
      <c r="G2" s="26"/>
      <c r="H2" s="26"/>
      <c r="I2" s="26"/>
      <c r="J2" s="54"/>
      <c r="K2" s="30" t="s">
        <v>71</v>
      </c>
      <c r="L2" s="30" t="s">
        <v>72</v>
      </c>
      <c r="M2" s="55" t="s">
        <v>57</v>
      </c>
    </row>
    <row r="3" s="19" customFormat="1" ht="34" customHeight="1" spans="1:13">
      <c r="A3" s="27"/>
      <c r="B3" s="28"/>
      <c r="C3" s="28"/>
      <c r="D3" s="28"/>
      <c r="E3" s="29"/>
      <c r="F3" s="30" t="s">
        <v>74</v>
      </c>
      <c r="G3" s="30" t="s">
        <v>75</v>
      </c>
      <c r="H3" s="30" t="s">
        <v>76</v>
      </c>
      <c r="I3" s="55" t="s">
        <v>221</v>
      </c>
      <c r="J3" s="55" t="s">
        <v>78</v>
      </c>
      <c r="K3" s="56"/>
      <c r="L3" s="56"/>
      <c r="M3" s="55"/>
    </row>
    <row r="4" s="19" customFormat="1" ht="22" customHeight="1" spans="1:13">
      <c r="A4" s="31"/>
      <c r="B4" s="32"/>
      <c r="C4" s="32"/>
      <c r="D4" s="32"/>
      <c r="E4" s="33"/>
      <c r="F4" s="34"/>
      <c r="G4" s="34"/>
      <c r="H4" s="34"/>
      <c r="I4" s="57"/>
      <c r="J4" s="57"/>
      <c r="K4" s="34"/>
      <c r="L4" s="34"/>
      <c r="M4" s="55"/>
    </row>
    <row r="5" s="18" customFormat="1" ht="18" customHeight="1" spans="1:13">
      <c r="A5" s="35" t="s">
        <v>58</v>
      </c>
      <c r="B5" s="36" t="s">
        <v>429</v>
      </c>
      <c r="C5" s="37"/>
      <c r="D5" s="38" t="s">
        <v>430</v>
      </c>
      <c r="E5" s="38"/>
      <c r="F5" s="38"/>
      <c r="G5" s="38"/>
      <c r="H5" s="38"/>
      <c r="I5" s="58"/>
      <c r="J5" s="58"/>
      <c r="K5" s="38"/>
      <c r="L5" s="38"/>
      <c r="M5" s="38"/>
    </row>
    <row r="6" s="18" customFormat="1" ht="60" spans="1:13">
      <c r="A6" s="35">
        <v>1</v>
      </c>
      <c r="B6" s="39" t="s">
        <v>431</v>
      </c>
      <c r="C6" s="40" t="s">
        <v>432</v>
      </c>
      <c r="D6" s="39" t="s">
        <v>126</v>
      </c>
      <c r="E6" s="38">
        <f>4/2</f>
        <v>2</v>
      </c>
      <c r="F6" s="38">
        <v>30</v>
      </c>
      <c r="G6" s="38">
        <v>60</v>
      </c>
      <c r="H6" s="38"/>
      <c r="I6" s="59">
        <f>(F6+G6+H6)*0.2</f>
        <v>18</v>
      </c>
      <c r="J6" s="60">
        <f>(F6+G6+H6+I6)*0.09</f>
        <v>9.72</v>
      </c>
      <c r="K6" s="60">
        <f>SUM(F6:J6)</f>
        <v>117.72</v>
      </c>
      <c r="L6" s="38">
        <f>K6*E6</f>
        <v>235.44</v>
      </c>
      <c r="M6" s="38"/>
    </row>
    <row r="7" s="18" customFormat="1" ht="60" spans="1:13">
      <c r="A7" s="35">
        <v>2</v>
      </c>
      <c r="B7" s="39" t="s">
        <v>433</v>
      </c>
      <c r="C7" s="40" t="s">
        <v>434</v>
      </c>
      <c r="D7" s="39" t="s">
        <v>126</v>
      </c>
      <c r="E7" s="38">
        <f>16/2</f>
        <v>8</v>
      </c>
      <c r="F7" s="38">
        <v>10</v>
      </c>
      <c r="G7" s="38">
        <v>15</v>
      </c>
      <c r="H7" s="38"/>
      <c r="I7" s="59">
        <f t="shared" ref="I7:I18" si="0">(F7+G7+H7)*0.2</f>
        <v>5</v>
      </c>
      <c r="J7" s="60">
        <f t="shared" ref="J7:J18" si="1">(F7+G7+H7+I7)*0.09</f>
        <v>2.7</v>
      </c>
      <c r="K7" s="60">
        <f t="shared" ref="K7:K18" si="2">SUM(F7:J7)</f>
        <v>32.7</v>
      </c>
      <c r="L7" s="38">
        <f>K7*E7</f>
        <v>261.6</v>
      </c>
      <c r="M7" s="38"/>
    </row>
    <row r="8" s="18" customFormat="1" ht="60" spans="1:13">
      <c r="A8" s="35">
        <v>3</v>
      </c>
      <c r="B8" s="39" t="s">
        <v>435</v>
      </c>
      <c r="C8" s="40" t="s">
        <v>436</v>
      </c>
      <c r="D8" s="39" t="s">
        <v>126</v>
      </c>
      <c r="E8" s="41">
        <f>10/2</f>
        <v>5</v>
      </c>
      <c r="F8" s="38">
        <v>10</v>
      </c>
      <c r="G8" s="38">
        <v>15</v>
      </c>
      <c r="H8" s="38"/>
      <c r="I8" s="59">
        <f t="shared" si="0"/>
        <v>5</v>
      </c>
      <c r="J8" s="60">
        <f t="shared" si="1"/>
        <v>2.7</v>
      </c>
      <c r="K8" s="60">
        <f t="shared" si="2"/>
        <v>32.7</v>
      </c>
      <c r="L8" s="38">
        <f t="shared" ref="L6:L18" si="3">K8*E8</f>
        <v>163.5</v>
      </c>
      <c r="M8" s="38"/>
    </row>
    <row r="9" s="18" customFormat="1" ht="72" spans="1:13">
      <c r="A9" s="35">
        <v>4</v>
      </c>
      <c r="B9" s="42" t="s">
        <v>437</v>
      </c>
      <c r="C9" s="40" t="s">
        <v>438</v>
      </c>
      <c r="D9" s="39" t="s">
        <v>126</v>
      </c>
      <c r="E9" s="41">
        <f>2/2</f>
        <v>1</v>
      </c>
      <c r="F9" s="43">
        <v>134.46</v>
      </c>
      <c r="G9" s="38">
        <v>800</v>
      </c>
      <c r="H9" s="43">
        <v>20</v>
      </c>
      <c r="I9" s="59">
        <f t="shared" si="0"/>
        <v>190.892</v>
      </c>
      <c r="J9" s="60">
        <f t="shared" si="1"/>
        <v>103.08168</v>
      </c>
      <c r="K9" s="60">
        <f t="shared" si="2"/>
        <v>1248.43368</v>
      </c>
      <c r="L9" s="38">
        <f t="shared" si="3"/>
        <v>1248.43368</v>
      </c>
      <c r="M9" s="38"/>
    </row>
    <row r="10" s="18" customFormat="1" ht="60" spans="1:13">
      <c r="A10" s="35">
        <v>5</v>
      </c>
      <c r="B10" s="42" t="s">
        <v>439</v>
      </c>
      <c r="C10" s="40" t="s">
        <v>440</v>
      </c>
      <c r="D10" s="44" t="s">
        <v>101</v>
      </c>
      <c r="E10" s="45">
        <f>17.31/2</f>
        <v>8.655</v>
      </c>
      <c r="F10" s="38">
        <v>10</v>
      </c>
      <c r="G10" s="38">
        <v>15</v>
      </c>
      <c r="H10" s="38"/>
      <c r="I10" s="59">
        <f t="shared" si="0"/>
        <v>5</v>
      </c>
      <c r="J10" s="60">
        <f t="shared" si="1"/>
        <v>2.7</v>
      </c>
      <c r="K10" s="60">
        <f t="shared" si="2"/>
        <v>32.7</v>
      </c>
      <c r="L10" s="38">
        <f t="shared" si="3"/>
        <v>283.0185</v>
      </c>
      <c r="M10" s="47"/>
    </row>
    <row r="11" s="18" customFormat="1" ht="81" customHeight="1" spans="1:13">
      <c r="A11" s="35">
        <v>6</v>
      </c>
      <c r="B11" s="46" t="s">
        <v>441</v>
      </c>
      <c r="C11" s="40" t="s">
        <v>442</v>
      </c>
      <c r="D11" s="39" t="s">
        <v>126</v>
      </c>
      <c r="E11" s="47">
        <f>4/2</f>
        <v>2</v>
      </c>
      <c r="F11" s="38">
        <v>10</v>
      </c>
      <c r="G11" s="38">
        <v>15</v>
      </c>
      <c r="H11" s="38"/>
      <c r="I11" s="59">
        <f t="shared" si="0"/>
        <v>5</v>
      </c>
      <c r="J11" s="60">
        <f t="shared" si="1"/>
        <v>2.7</v>
      </c>
      <c r="K11" s="60">
        <f t="shared" si="2"/>
        <v>32.7</v>
      </c>
      <c r="L11" s="38">
        <f t="shared" si="3"/>
        <v>65.4</v>
      </c>
      <c r="M11" s="38"/>
    </row>
    <row r="12" s="18" customFormat="1" ht="60" spans="1:13">
      <c r="A12" s="35">
        <v>7</v>
      </c>
      <c r="B12" s="46" t="s">
        <v>443</v>
      </c>
      <c r="C12" s="40" t="s">
        <v>444</v>
      </c>
      <c r="D12" s="39" t="s">
        <v>126</v>
      </c>
      <c r="E12" s="38">
        <f>2/2</f>
        <v>1</v>
      </c>
      <c r="F12" s="38">
        <v>10</v>
      </c>
      <c r="G12" s="38">
        <v>35</v>
      </c>
      <c r="H12" s="38"/>
      <c r="I12" s="59">
        <f t="shared" si="0"/>
        <v>9</v>
      </c>
      <c r="J12" s="60">
        <f t="shared" si="1"/>
        <v>4.86</v>
      </c>
      <c r="K12" s="60">
        <f t="shared" si="2"/>
        <v>58.86</v>
      </c>
      <c r="L12" s="38">
        <f t="shared" si="3"/>
        <v>58.86</v>
      </c>
      <c r="M12" s="38"/>
    </row>
    <row r="13" s="18" customFormat="1" ht="60" spans="1:13">
      <c r="A13" s="35">
        <v>8</v>
      </c>
      <c r="B13" s="46" t="s">
        <v>445</v>
      </c>
      <c r="C13" s="40" t="s">
        <v>446</v>
      </c>
      <c r="D13" s="39" t="s">
        <v>126</v>
      </c>
      <c r="E13" s="38">
        <f>4/2</f>
        <v>2</v>
      </c>
      <c r="F13" s="48">
        <v>10</v>
      </c>
      <c r="G13" s="38">
        <v>40</v>
      </c>
      <c r="H13" s="48"/>
      <c r="I13" s="59">
        <f t="shared" si="0"/>
        <v>10</v>
      </c>
      <c r="J13" s="60">
        <f t="shared" si="1"/>
        <v>5.4</v>
      </c>
      <c r="K13" s="60">
        <f t="shared" si="2"/>
        <v>65.4</v>
      </c>
      <c r="L13" s="38">
        <f t="shared" si="3"/>
        <v>130.8</v>
      </c>
      <c r="M13" s="38"/>
    </row>
    <row r="14" s="18" customFormat="1" ht="72" spans="1:13">
      <c r="A14" s="35">
        <v>9</v>
      </c>
      <c r="B14" s="46" t="s">
        <v>309</v>
      </c>
      <c r="C14" s="40" t="s">
        <v>447</v>
      </c>
      <c r="D14" s="38" t="s">
        <v>101</v>
      </c>
      <c r="E14" s="49">
        <f>18.88/2</f>
        <v>9.44</v>
      </c>
      <c r="F14" s="48">
        <v>10</v>
      </c>
      <c r="G14" s="38">
        <v>2</v>
      </c>
      <c r="H14" s="48"/>
      <c r="I14" s="59">
        <f t="shared" si="0"/>
        <v>2.4</v>
      </c>
      <c r="J14" s="60">
        <f t="shared" si="1"/>
        <v>1.296</v>
      </c>
      <c r="K14" s="60">
        <f t="shared" si="2"/>
        <v>15.696</v>
      </c>
      <c r="L14" s="38">
        <f t="shared" si="3"/>
        <v>148.17024</v>
      </c>
      <c r="M14" s="61"/>
    </row>
    <row r="15" s="18" customFormat="1" ht="72" spans="1:13">
      <c r="A15" s="35">
        <v>10</v>
      </c>
      <c r="B15" s="46" t="s">
        <v>309</v>
      </c>
      <c r="C15" s="40" t="s">
        <v>448</v>
      </c>
      <c r="D15" s="38" t="s">
        <v>101</v>
      </c>
      <c r="E15" s="49">
        <f>60.71/2</f>
        <v>30.355</v>
      </c>
      <c r="F15" s="48">
        <v>10</v>
      </c>
      <c r="G15" s="38">
        <v>1.8</v>
      </c>
      <c r="H15" s="48"/>
      <c r="I15" s="59">
        <f t="shared" si="0"/>
        <v>2.36</v>
      </c>
      <c r="J15" s="60">
        <f t="shared" si="1"/>
        <v>1.2744</v>
      </c>
      <c r="K15" s="60">
        <f t="shared" si="2"/>
        <v>15.4344</v>
      </c>
      <c r="L15" s="38">
        <f t="shared" si="3"/>
        <v>468.511212</v>
      </c>
      <c r="M15" s="61"/>
    </row>
    <row r="16" s="18" customFormat="1" ht="60" spans="1:13">
      <c r="A16" s="35">
        <v>11</v>
      </c>
      <c r="B16" s="46" t="s">
        <v>276</v>
      </c>
      <c r="C16" s="40" t="s">
        <v>449</v>
      </c>
      <c r="D16" s="38" t="s">
        <v>101</v>
      </c>
      <c r="E16" s="49">
        <f>21.85/2</f>
        <v>10.925</v>
      </c>
      <c r="F16" s="48">
        <v>2</v>
      </c>
      <c r="G16" s="38">
        <v>6</v>
      </c>
      <c r="H16" s="48"/>
      <c r="I16" s="59">
        <f t="shared" si="0"/>
        <v>1.6</v>
      </c>
      <c r="J16" s="60">
        <f t="shared" si="1"/>
        <v>0.864</v>
      </c>
      <c r="K16" s="60">
        <f t="shared" si="2"/>
        <v>10.464</v>
      </c>
      <c r="L16" s="38">
        <f t="shared" si="3"/>
        <v>114.3192</v>
      </c>
      <c r="M16" s="38"/>
    </row>
    <row r="17" s="18" customFormat="1" ht="60" spans="1:13">
      <c r="A17" s="35">
        <v>12</v>
      </c>
      <c r="B17" s="46" t="s">
        <v>295</v>
      </c>
      <c r="C17" s="40" t="s">
        <v>450</v>
      </c>
      <c r="D17" s="38" t="s">
        <v>101</v>
      </c>
      <c r="E17" s="49">
        <f>56.64/2</f>
        <v>28.32</v>
      </c>
      <c r="F17" s="48">
        <v>2</v>
      </c>
      <c r="G17" s="38">
        <v>4</v>
      </c>
      <c r="H17" s="48"/>
      <c r="I17" s="59">
        <f t="shared" si="0"/>
        <v>1.2</v>
      </c>
      <c r="J17" s="60">
        <f t="shared" si="1"/>
        <v>0.648</v>
      </c>
      <c r="K17" s="60">
        <f t="shared" si="2"/>
        <v>7.848</v>
      </c>
      <c r="L17" s="38">
        <f t="shared" si="3"/>
        <v>222.25536</v>
      </c>
      <c r="M17" s="38"/>
    </row>
    <row r="18" s="18" customFormat="1" ht="60" spans="1:13">
      <c r="A18" s="35">
        <v>13</v>
      </c>
      <c r="B18" s="46" t="s">
        <v>295</v>
      </c>
      <c r="C18" s="40" t="s">
        <v>451</v>
      </c>
      <c r="D18" s="38" t="s">
        <v>101</v>
      </c>
      <c r="E18" s="49">
        <f>182.14/2</f>
        <v>91.07</v>
      </c>
      <c r="F18" s="48">
        <v>2</v>
      </c>
      <c r="G18" s="38">
        <v>3</v>
      </c>
      <c r="H18" s="48"/>
      <c r="I18" s="59">
        <f t="shared" si="0"/>
        <v>1</v>
      </c>
      <c r="J18" s="60">
        <f t="shared" si="1"/>
        <v>0.54</v>
      </c>
      <c r="K18" s="60">
        <f t="shared" si="2"/>
        <v>6.54</v>
      </c>
      <c r="L18" s="38">
        <f t="shared" si="3"/>
        <v>595.5978</v>
      </c>
      <c r="M18" s="38"/>
    </row>
    <row r="19" s="18" customFormat="1" ht="22" customHeight="1" spans="1:13">
      <c r="A19" s="35">
        <v>14</v>
      </c>
      <c r="B19" s="50" t="s">
        <v>427</v>
      </c>
      <c r="C19" s="50"/>
      <c r="D19" s="51" t="s">
        <v>215</v>
      </c>
      <c r="E19" s="50"/>
      <c r="F19" s="52"/>
      <c r="G19" s="52"/>
      <c r="H19" s="50"/>
      <c r="I19" s="50"/>
      <c r="J19" s="50"/>
      <c r="K19" s="50"/>
      <c r="L19" s="51">
        <f>SUM(L6:L18)</f>
        <v>3995.905992</v>
      </c>
      <c r="M19" s="50"/>
    </row>
    <row r="20" s="19" customFormat="1" ht="69" customHeight="1" spans="1:13">
      <c r="A20" s="53" t="s">
        <v>356</v>
      </c>
      <c r="B20" s="53"/>
      <c r="C20" s="53"/>
      <c r="D20" s="53"/>
      <c r="E20" s="53"/>
      <c r="F20" s="53"/>
      <c r="G20" s="53"/>
      <c r="H20" s="53"/>
      <c r="I20" s="53"/>
      <c r="J20" s="53"/>
      <c r="K20" s="62"/>
      <c r="L20" s="53"/>
      <c r="M20" s="53"/>
    </row>
  </sheetData>
  <mergeCells count="15">
    <mergeCell ref="A1:M1"/>
    <mergeCell ref="F2:J2"/>
    <mergeCell ref="B5:C5"/>
    <mergeCell ref="A20:M20"/>
    <mergeCell ref="A2:A4"/>
    <mergeCell ref="B2:B4"/>
    <mergeCell ref="C2:C4"/>
    <mergeCell ref="D2:D4"/>
    <mergeCell ref="E2:E4"/>
    <mergeCell ref="F3:F4"/>
    <mergeCell ref="G3:G4"/>
    <mergeCell ref="H3:H4"/>
    <mergeCell ref="K2:K4"/>
    <mergeCell ref="L2:L4"/>
    <mergeCell ref="M2:M4"/>
  </mergeCells>
  <conditionalFormatting sqref="D6">
    <cfRule type="cellIs" dxfId="0" priority="5" operator="equal">
      <formula>0</formula>
    </cfRule>
  </conditionalFormatting>
  <conditionalFormatting sqref="D7">
    <cfRule type="cellIs" dxfId="0" priority="4" operator="equal">
      <formula>0</formula>
    </cfRule>
  </conditionalFormatting>
  <conditionalFormatting sqref="D8">
    <cfRule type="cellIs" dxfId="0" priority="3" operator="equal">
      <formula>0</formula>
    </cfRule>
  </conditionalFormatting>
  <conditionalFormatting sqref="D9">
    <cfRule type="cellIs" dxfId="0" priority="2" operator="equal">
      <formula>0</formula>
    </cfRule>
  </conditionalFormatting>
  <conditionalFormatting sqref="D10">
    <cfRule type="cellIs" dxfId="0" priority="1" operator="equal">
      <formula>0</formula>
    </cfRule>
  </conditionalFormatting>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opLeftCell="A4" workbookViewId="0">
      <selection activeCell="H12" sqref="H12"/>
    </sheetView>
  </sheetViews>
  <sheetFormatPr defaultColWidth="9.14285714285714" defaultRowHeight="12.75" outlineLevelCol="6"/>
  <cols>
    <col min="1" max="1" width="8" style="3" customWidth="1"/>
    <col min="2" max="2" width="27.1428571428571" style="4" customWidth="1"/>
    <col min="4" max="4" width="12.4285714285714" customWidth="1"/>
    <col min="5" max="6" width="13.2857142857143" customWidth="1"/>
    <col min="7" max="7" width="12.5714285714286" customWidth="1"/>
  </cols>
  <sheetData>
    <row r="1" ht="41" customHeight="1" spans="1:7">
      <c r="A1" s="5" t="s">
        <v>452</v>
      </c>
      <c r="B1" s="6"/>
      <c r="C1" s="5"/>
      <c r="D1" s="5"/>
      <c r="E1" s="5"/>
      <c r="F1" s="5"/>
      <c r="G1" s="5"/>
    </row>
    <row r="2" s="1" customFormat="1" ht="38" customHeight="1" spans="1:7">
      <c r="A2" s="7" t="s">
        <v>11</v>
      </c>
      <c r="B2" s="8" t="s">
        <v>53</v>
      </c>
      <c r="C2" s="7" t="s">
        <v>54</v>
      </c>
      <c r="D2" s="7" t="s">
        <v>55</v>
      </c>
      <c r="E2" s="7" t="s">
        <v>453</v>
      </c>
      <c r="F2" s="7" t="s">
        <v>43</v>
      </c>
      <c r="G2" s="7" t="s">
        <v>57</v>
      </c>
    </row>
    <row r="3" s="2" customFormat="1" ht="38" customHeight="1" spans="1:7">
      <c r="A3" s="7"/>
      <c r="B3" s="9" t="s">
        <v>454</v>
      </c>
      <c r="C3" s="10"/>
      <c r="D3" s="10"/>
      <c r="E3" s="10"/>
      <c r="F3" s="10"/>
      <c r="G3" s="10"/>
    </row>
    <row r="4" ht="49" customHeight="1" spans="1:7">
      <c r="A4" s="11">
        <v>1</v>
      </c>
      <c r="B4" s="12" t="s">
        <v>455</v>
      </c>
      <c r="C4" s="13" t="s">
        <v>267</v>
      </c>
      <c r="D4" s="14">
        <v>2</v>
      </c>
      <c r="E4" s="14"/>
      <c r="F4" s="14"/>
      <c r="G4" s="14"/>
    </row>
    <row r="5" ht="49" customHeight="1" spans="1:7">
      <c r="A5" s="11">
        <v>3</v>
      </c>
      <c r="B5" s="15" t="s">
        <v>456</v>
      </c>
      <c r="C5" s="14" t="s">
        <v>101</v>
      </c>
      <c r="D5" s="14">
        <f>5.17*2</f>
        <v>10.34</v>
      </c>
      <c r="E5" s="14">
        <v>30.62</v>
      </c>
      <c r="F5" s="14">
        <f>E5*D5</f>
        <v>316.6108</v>
      </c>
      <c r="G5" s="14"/>
    </row>
    <row r="6" ht="49" customHeight="1" spans="1:7">
      <c r="A6" s="11">
        <v>4</v>
      </c>
      <c r="B6" s="15" t="s">
        <v>457</v>
      </c>
      <c r="C6" s="14" t="s">
        <v>101</v>
      </c>
      <c r="D6" s="14">
        <f>5.17*15</f>
        <v>77.55</v>
      </c>
      <c r="E6" s="14">
        <v>8</v>
      </c>
      <c r="F6" s="14">
        <f>E6*D6</f>
        <v>620.4</v>
      </c>
      <c r="G6" s="14"/>
    </row>
    <row r="7" ht="49" customHeight="1" spans="1:7">
      <c r="A7" s="11">
        <v>5</v>
      </c>
      <c r="B7" s="15" t="s">
        <v>458</v>
      </c>
      <c r="C7" s="14" t="s">
        <v>101</v>
      </c>
      <c r="D7" s="14">
        <f>(0.575+0.495+0.858+0.11+0.19+2.44+0.787+0.148+0.148+0.475+0.675+0.495+0.855)*6+3*5.17+1.078*7</f>
        <v>72.562</v>
      </c>
      <c r="E7" s="14">
        <v>3.06</v>
      </c>
      <c r="F7" s="14">
        <f t="shared" ref="F7:F21" si="0">E7*D7</f>
        <v>222.03972</v>
      </c>
      <c r="G7" s="14"/>
    </row>
    <row r="8" ht="49" customHeight="1" spans="1:7">
      <c r="A8" s="11">
        <v>6</v>
      </c>
      <c r="B8" s="15" t="s">
        <v>459</v>
      </c>
      <c r="C8" s="14" t="s">
        <v>101</v>
      </c>
      <c r="D8" s="14">
        <f>(0.185*2+0.085*2+0.11*2+0.135+0.102*2*7+0.11*2+0.185*2+0.085*2+0.135)*6</f>
        <v>19.308</v>
      </c>
      <c r="E8" s="14">
        <v>10</v>
      </c>
      <c r="F8" s="14">
        <f t="shared" si="0"/>
        <v>193.08</v>
      </c>
      <c r="G8" s="14"/>
    </row>
    <row r="9" ht="78" customHeight="1" spans="1:7">
      <c r="A9" s="11">
        <v>7</v>
      </c>
      <c r="B9" s="12" t="s">
        <v>460</v>
      </c>
      <c r="C9" s="13" t="s">
        <v>267</v>
      </c>
      <c r="D9" s="14">
        <f>6*11</f>
        <v>66</v>
      </c>
      <c r="E9" s="14"/>
      <c r="F9" s="14">
        <f t="shared" si="0"/>
        <v>0</v>
      </c>
      <c r="G9" s="14"/>
    </row>
    <row r="10" ht="78" customHeight="1" spans="1:7">
      <c r="A10" s="11"/>
      <c r="B10" s="12" t="s">
        <v>461</v>
      </c>
      <c r="C10" s="13"/>
      <c r="D10" s="14">
        <f>0.21*7</f>
        <v>1.47</v>
      </c>
      <c r="E10" s="14">
        <v>3.06</v>
      </c>
      <c r="F10" s="14">
        <f t="shared" si="0"/>
        <v>4.4982</v>
      </c>
      <c r="G10" s="14"/>
    </row>
    <row r="11" ht="42" customHeight="1" spans="1:7">
      <c r="A11" s="11"/>
      <c r="B11" s="16" t="s">
        <v>462</v>
      </c>
      <c r="C11" s="13"/>
      <c r="D11" s="14"/>
      <c r="E11" s="14"/>
      <c r="F11" s="14">
        <f t="shared" si="0"/>
        <v>0</v>
      </c>
      <c r="G11" s="14"/>
    </row>
    <row r="12" ht="49" customHeight="1" spans="1:7">
      <c r="A12" s="11">
        <v>1</v>
      </c>
      <c r="B12" s="15" t="s">
        <v>458</v>
      </c>
      <c r="C12" s="14" t="s">
        <v>101</v>
      </c>
      <c r="D12" s="14">
        <f>(0.547+0.156+0.686+1.112+1.137)*2+1.13*4+(0.547+0.156+0.686)*3*2+(1.55+1.7+1.055)*3</f>
        <v>33.045</v>
      </c>
      <c r="E12" s="14"/>
      <c r="F12" s="14">
        <f t="shared" si="0"/>
        <v>0</v>
      </c>
      <c r="G12" s="14"/>
    </row>
    <row r="13" ht="49" customHeight="1" spans="1:7">
      <c r="A13" s="11"/>
      <c r="B13" s="12" t="s">
        <v>463</v>
      </c>
      <c r="C13" s="13" t="s">
        <v>267</v>
      </c>
      <c r="D13" s="14">
        <f>3*2</f>
        <v>6</v>
      </c>
      <c r="E13" s="14"/>
      <c r="F13" s="14">
        <f t="shared" si="0"/>
        <v>0</v>
      </c>
      <c r="G13" s="14"/>
    </row>
    <row r="14" ht="49" customHeight="1" spans="1:7">
      <c r="A14" s="11"/>
      <c r="B14" s="16" t="s">
        <v>464</v>
      </c>
      <c r="C14" s="14"/>
      <c r="D14" s="14"/>
      <c r="E14" s="14"/>
      <c r="F14" s="14">
        <f t="shared" si="0"/>
        <v>0</v>
      </c>
      <c r="G14" s="14"/>
    </row>
    <row r="15" ht="49" customHeight="1" spans="1:7">
      <c r="A15" s="11"/>
      <c r="B15" s="15" t="s">
        <v>458</v>
      </c>
      <c r="C15" s="14" t="s">
        <v>101</v>
      </c>
      <c r="D15" s="14">
        <f>(0.543+0.156+0.686+1.112+1.133*2+0.296*3)*3+3.98*3+(1.55+1.7+1.055)*3</f>
        <v>41.808</v>
      </c>
      <c r="E15" s="14">
        <v>3.06</v>
      </c>
      <c r="F15" s="14">
        <f t="shared" si="0"/>
        <v>127.93248</v>
      </c>
      <c r="G15" s="14"/>
    </row>
    <row r="16" ht="49" customHeight="1" spans="1:7">
      <c r="A16" s="11"/>
      <c r="B16" s="12" t="s">
        <v>465</v>
      </c>
      <c r="C16" s="13" t="s">
        <v>267</v>
      </c>
      <c r="D16" s="14">
        <f>5*3</f>
        <v>15</v>
      </c>
      <c r="E16" s="14"/>
      <c r="F16" s="14">
        <f t="shared" si="0"/>
        <v>0</v>
      </c>
      <c r="G16" s="14"/>
    </row>
    <row r="17" ht="49" customHeight="1" spans="1:7">
      <c r="A17" s="11"/>
      <c r="B17" s="17" t="s">
        <v>466</v>
      </c>
      <c r="C17" s="14"/>
      <c r="D17" s="14"/>
      <c r="E17" s="14"/>
      <c r="F17" s="14">
        <f t="shared" si="0"/>
        <v>0</v>
      </c>
      <c r="G17" s="14"/>
    </row>
    <row r="18" ht="49" customHeight="1" spans="1:7">
      <c r="A18" s="11">
        <v>1</v>
      </c>
      <c r="B18" s="12" t="s">
        <v>467</v>
      </c>
      <c r="C18" s="14" t="s">
        <v>101</v>
      </c>
      <c r="D18" s="14">
        <f>2.55*4*2</f>
        <v>20.4</v>
      </c>
      <c r="E18" s="14">
        <v>10.21</v>
      </c>
      <c r="F18" s="14">
        <f t="shared" si="0"/>
        <v>208.284</v>
      </c>
      <c r="G18" s="14"/>
    </row>
    <row r="19" ht="49" customHeight="1" spans="1:7">
      <c r="A19" s="11">
        <v>2</v>
      </c>
      <c r="B19" s="12" t="s">
        <v>468</v>
      </c>
      <c r="C19" s="14"/>
      <c r="D19" s="14">
        <f>3.568*3*2+2.55*4+0.17*6*4</f>
        <v>35.688</v>
      </c>
      <c r="E19" s="14">
        <v>3.06</v>
      </c>
      <c r="F19" s="14">
        <f t="shared" si="0"/>
        <v>109.20528</v>
      </c>
      <c r="G19" s="14"/>
    </row>
    <row r="20" ht="93" customHeight="1" spans="1:7">
      <c r="A20" s="11">
        <v>3</v>
      </c>
      <c r="B20" s="12" t="s">
        <v>469</v>
      </c>
      <c r="C20" s="13" t="s">
        <v>267</v>
      </c>
      <c r="D20" s="14">
        <f>4*2+2</f>
        <v>10</v>
      </c>
      <c r="E20" s="14"/>
      <c r="F20" s="14">
        <f t="shared" si="0"/>
        <v>0</v>
      </c>
      <c r="G20" s="14"/>
    </row>
    <row r="21" ht="44" customHeight="1" spans="1:7">
      <c r="A21" s="11"/>
      <c r="B21" s="15" t="s">
        <v>470</v>
      </c>
      <c r="C21" s="14" t="s">
        <v>101</v>
      </c>
      <c r="D21" s="14">
        <f>(23.77-6)*2</f>
        <v>35.54</v>
      </c>
      <c r="E21" s="14">
        <v>0.89</v>
      </c>
      <c r="F21" s="14">
        <f t="shared" si="0"/>
        <v>31.6306</v>
      </c>
      <c r="G21" s="14"/>
    </row>
    <row r="22" ht="26" customHeight="1" spans="1:7">
      <c r="A22" s="11"/>
      <c r="B22" s="17" t="s">
        <v>43</v>
      </c>
      <c r="C22" s="14" t="s">
        <v>471</v>
      </c>
      <c r="D22" s="14"/>
      <c r="E22" s="14"/>
      <c r="F22" s="14">
        <f>SUM(F3:F21)</f>
        <v>1833.68108</v>
      </c>
      <c r="G22" s="14"/>
    </row>
    <row r="26" ht="11" customHeight="1"/>
    <row r="27" hidden="1"/>
  </sheetData>
  <autoFilter ref="A2:G22">
    <extLst/>
  </autoFilter>
  <mergeCells count="1">
    <mergeCell ref="A1:G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8</vt:i4>
      </vt:variant>
    </vt:vector>
  </HeadingPairs>
  <TitlesOfParts>
    <vt:vector size="8" baseType="lpstr">
      <vt:lpstr>清单报价说明</vt:lpstr>
      <vt:lpstr>进度款</vt:lpstr>
      <vt:lpstr>汇总表</vt:lpstr>
      <vt:lpstr>东大门区域硬质铺装</vt:lpstr>
      <vt:lpstr>东大门区域安装</vt:lpstr>
      <vt:lpstr>5#楼大堂硬质装修</vt:lpstr>
      <vt:lpstr>5#楼大堂安装工程</vt:lpstr>
      <vt:lpstr>门头钢结构工程量计算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张磊</cp:lastModifiedBy>
  <dcterms:created xsi:type="dcterms:W3CDTF">2020-11-19T09:45:00Z</dcterms:created>
  <dcterms:modified xsi:type="dcterms:W3CDTF">2023-01-03T06:39:36Z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5348D5507BE34722B16D27BF570D54EB</vt:lpwstr>
  </property>
</Properties>
</file>