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30" firstSheet="1" activeTab="2"/>
  </bookViews>
  <sheets>
    <sheet name="Sheet2" sheetId="20" state="hidden" r:id="rId1"/>
    <sheet name="清单报价说明" sheetId="7" r:id="rId2"/>
    <sheet name="01、汇总表" sheetId="9" r:id="rId3"/>
    <sheet name="Sheet1" sheetId="19" state="hidden" r:id="rId4"/>
    <sheet name="02、装饰工程" sheetId="12" r:id="rId5"/>
    <sheet name="03、安装工程" sheetId="11" r:id="rId6"/>
    <sheet name="04、增加示范区弱电工程" sheetId="14" r:id="rId7"/>
    <sheet name="门头钢结构工程量计算" sheetId="13" state="hidden" r:id="rId8"/>
  </sheets>
  <definedNames>
    <definedName name="_xlnm._FilterDatabase" localSheetId="4" hidden="1">'02、装饰工程'!$A$5:$Q$337</definedName>
    <definedName name="_xlnm._FilterDatabase" localSheetId="5" hidden="1">'03、安装工程'!$A$5:$P$239</definedName>
    <definedName name="_xlnm._FilterDatabase" localSheetId="7" hidden="1">门头钢结构工程量计算!$A$2:$G$22</definedName>
    <definedName name="_xlnm.Print_Area" localSheetId="1">清单报价说明!$A$1:$B$22</definedName>
    <definedName name="_xlnm.Print_Titles" localSheetId="4">'02、装饰工程'!$1:$5</definedName>
    <definedName name="_xlnm.Print_Titles" localSheetId="5">'03、安装工程'!$1:$5</definedName>
    <definedName name="_xlnm.Print_Area" localSheetId="6">'04、增加示范区弱电工程'!$A$1:$P$26</definedName>
    <definedName name="_xlnm.Print_Area" localSheetId="4">'02、装饰工程'!$A$1:$P$337</definedName>
    <definedName name="_xlnm.Print_Area" localSheetId="2">'01、汇总表'!$A$1:$F$6</definedName>
    <definedName name="_xlnm.Print_Area" localSheetId="5">'03、安装工程'!$A$1:$P$239</definedName>
    <definedName name="_xlnm.Print_Area" localSheetId="3">Sheet1!$A$1:$I$53</definedName>
    <definedName name="_xlnm.Print_Area" localSheetId="0">Sheet2!$A$1:$I$55</definedName>
  </definedNames>
  <calcPr calcId="144525"/>
</workbook>
</file>

<file path=xl/sharedStrings.xml><?xml version="1.0" encoding="utf-8"?>
<sst xmlns="http://schemas.openxmlformats.org/spreadsheetml/2006/main" count="1718" uniqueCount="587">
  <si>
    <t>工程量清单报价说明</t>
  </si>
  <si>
    <t>一、工程概况:</t>
  </si>
  <si>
    <t>工程概况:河南省洛阳市浩德地产伊河湾营销中心装饰工程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</si>
  <si>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</si>
  <si>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</si>
  <si>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</si>
  <si>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</si>
  <si>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</si>
  <si>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</si>
  <si>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</si>
  <si>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</si>
  <si>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</si>
  <si>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</si>
  <si>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</si>
  <si>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</si>
  <si>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</si>
  <si>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</si>
  <si>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</si>
  <si>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</si>
  <si>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精装修施工范围：一层及负一层墙面地面天棚装修，不含成品装饰摆件</t>
  </si>
  <si>
    <t>精装修安装部分施工范围：
1、总配电箱ZAP-10#进线不在本次招标范围，总配电箱及N1、N2、N4、N7回路配管及电缆在本次招标范围
2、强电部分包含精装电气图纸范围内的照明配电箱（含）出线回路配管、配线、接线盒、灯具、开关、插座、温控开关以及营销中心所有强电线槽
3、弱电部分包含相应图纸范围内的弱电箱（含）之后综合布线系统、监控门禁系统、背景音乐系统全部配管、配线、设备以及营销中心所有弱电线槽
4、给排水部分包含相应图纸范围内的给排水管线及洁具，图中注明原土建预留部分不在本次招标范围
5、通风空调部分包含相应图纸范围内的空调室内外机、冷媒管系统、冷凝管系统以及卫生间排气扇、挡烟垂壁等
6、火灾报警与应急照明系统不在本次招标范围</t>
  </si>
  <si>
    <t>以下内容为空白。</t>
  </si>
  <si>
    <t>河南省洛阳市浩德地产伊河湾营销中心装饰工程造价汇总表</t>
  </si>
  <si>
    <t>序 号</t>
  </si>
  <si>
    <t>项目名称</t>
  </si>
  <si>
    <t>单位</t>
  </si>
  <si>
    <t>金额 (元)</t>
  </si>
  <si>
    <t>合计(元)</t>
  </si>
  <si>
    <t>备注</t>
  </si>
  <si>
    <t>一</t>
  </si>
  <si>
    <t>装饰工程</t>
  </si>
  <si>
    <t>二</t>
  </si>
  <si>
    <t>安装工程</t>
  </si>
  <si>
    <t>项</t>
  </si>
  <si>
    <t>三</t>
  </si>
  <si>
    <t>示范区弱电工程</t>
  </si>
  <si>
    <t>价格清单（伊河湾项目售楼部室内精装工程）（装饰部分）</t>
  </si>
  <si>
    <t>工程名称：河南省洛阳市浩德地产伊河湾营销中心装饰工程--装饰工程</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</si>
  <si>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</si>
  <si>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</si>
  <si>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</si>
  <si>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</si>
  <si>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</si>
  <si>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</si>
  <si>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</si>
  <si>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</si>
  <si>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</si>
  <si>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</si>
  <si>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</si>
  <si>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</si>
  <si>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</si>
  <si>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</si>
  <si>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</si>
  <si>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</si>
  <si>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</si>
  <si>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</si>
  <si>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1层地面</t>
  </si>
  <si>
    <t>平面砂浆找平层</t>
  </si>
  <si>
    <t>1.30mm厚（最薄处）M20水泥砂浆找坡兼找平层。
2.部位：景观区一、景观区二
3.其它说明：满足规范和设计图纸要求</t>
  </si>
  <si>
    <t>m2</t>
  </si>
  <si>
    <t>按答疑修改了清单描述，工程量未变。</t>
  </si>
  <si>
    <t>石材楼地面</t>
  </si>
  <si>
    <t>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t>
  </si>
  <si>
    <t>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t>
  </si>
  <si>
    <t>瓷砖楼地面（无防水）</t>
  </si>
  <si>
    <t>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t>
  </si>
  <si>
    <t>广东产</t>
  </si>
  <si>
    <t>1.50*50*5镀锌方钢龙骨
2.9mm厚阻燃板基层
3.ST02+ST07石材地面+MT03不锈钢饰面
4.部位：大堂、景观区一
5.详见1F-DT-06节点10、11
6.其它满足规范和设计图纸要求</t>
  </si>
  <si>
    <t>1层天棚</t>
  </si>
  <si>
    <t>吊顶天棚</t>
  </si>
  <si>
    <t>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t>
  </si>
  <si>
    <t>龙骨驰龙、石膏板泰山</t>
  </si>
  <si>
    <t>吊顶天棚（跌级）</t>
  </si>
  <si>
    <t>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t>
  </si>
  <si>
    <t>格栅吊顶</t>
  </si>
  <si>
    <t>1.木纹铝格栅
2.部位：景观区一、景观区二
3.作法详见1F-TH-01节点03
4.其它说明：满足规范和设计图纸要求</t>
  </si>
  <si>
    <t>1层墙面</t>
  </si>
  <si>
    <t>东立面</t>
  </si>
  <si>
    <t>墙面装饰板</t>
  </si>
  <si>
    <t>1.50*50*5镀锌方钢龙骨+20*40*3镀锌方钢龙骨@600*600
2.12厚阻燃板基层
3.WD-01木饰面面层
4.作法详见1F-DT-0节点01
5.其它说明：满足规范和设计图纸要求</t>
  </si>
  <si>
    <t>厂家定制</t>
  </si>
  <si>
    <t>1.45*25*4镀锌方钢龙骨+30*10*4镀锌方钢龙骨@600*600
2.12厚阻燃板基层
3.WD-01木饰面面层
4.作法详见1F-DT-02节点03
5.其它说明：满足规范和设计图纸要求</t>
  </si>
  <si>
    <t>1.12厚阻燃板基层
2.MT-03不锈钢饰面面层
3.作法详见1F-DT-02节点02
4.其它说明：满足规范和设计图纸要求</t>
  </si>
  <si>
    <t>1.9.5mm厚石膏板基层
2.12厚阻燃板基层
3.WD-01木饰面面层
4.作法详见详见MB-07/08
5.其它说明：满足规范和设计图纸要求</t>
  </si>
  <si>
    <t>石材踢脚线</t>
  </si>
  <si>
    <t>1.12mm厚阻燃板基层
2.ST-05踢脚线
3.作法详见1F-DT-03节点05
4.其它说明：满足规范和设计图纸要求</t>
  </si>
  <si>
    <t>金属字</t>
  </si>
  <si>
    <t>1.发光字
2.详见1F-DT-02节点02
3.其它满足规范和设计图纸要求</t>
  </si>
  <si>
    <t>个</t>
  </si>
  <si>
    <t>钢化玻璃双开门</t>
  </si>
  <si>
    <t>1.GL-01钢化玻璃双开门
2.作法详见MB-07/08
3.含定制不锈钢拉手、五金配件
4.其它说明：满足规范和设计图纸要求</t>
  </si>
  <si>
    <t>樘</t>
  </si>
  <si>
    <t>玻璃栏板</t>
  </si>
  <si>
    <t>1.楼梯玻璃栏杆，含五金配件
2.作法详见1F-DT-08
3.其它说明：满足规范和设计图纸要求</t>
  </si>
  <si>
    <t>m</t>
  </si>
  <si>
    <t>西立面</t>
  </si>
  <si>
    <t>屏风</t>
  </si>
  <si>
    <t>1.屏风
2.部位：大堂西侧
3.作法详见1F-DT-05节点07
4.其它说明：满足规范和设计图纸要求</t>
  </si>
  <si>
    <t>1.50*50*5镀锌方钢龙骨@600*600
2.12厚双层阻燃板基层
3.WD-01木饰面面层
4.作法详见1F-DT-03节点04
5.其它说明：满足规范和设计图纸要求</t>
  </si>
  <si>
    <t>1.45*25*4镀锌方钢龙骨+30*10*4镀锌方钢龙骨@600*600
2.12厚双层阻燃板基层
3.WD-01木饰面面层
4.作法详见1F-DT-02节点03
5.其它说明：满足规范和设计图纸要求</t>
  </si>
  <si>
    <t>1.50*50*5镀锌方钢龙骨+30*40*4镀锌方钢龙骨@600*600
2.12厚双层阻燃板基层
3.WD-01木饰面面层
4.作法详见1F-DT-03节点04a
5.其它说明：满足规范和设计图纸要求</t>
  </si>
  <si>
    <t>南立面</t>
  </si>
  <si>
    <t>1.屏风
2.部位：大堂南侧
3.做法详见1F-DT-05节点08
4.其它说明：满足规范和设计图纸要求</t>
  </si>
  <si>
    <t>1.50*50*5镀锌方钢竖向龙骨，@600*600
2.12厚阻燃板基层
3.WD-01木饰面面层
4.作法详见1F-DT-03节点04
5.其它说明：满足规范和设计图纸要求</t>
  </si>
  <si>
    <t>1.12mm厚阻燃板基层
2.ST-05踢脚线
3.作法详见1F-DT-03节点05
3.其它说明：满足规范和设计图纸要求</t>
  </si>
  <si>
    <t>北立面</t>
  </si>
  <si>
    <t>1.45*25*4镀锌方钢竖向龙骨+30*10*4横向龙骨，@600*600
2.12厚阻燃板基层
3.WD-01木饰面面层
4.作法详见1F-DT-02节点03
5.其它说明：满足规范和设计图纸要求</t>
  </si>
  <si>
    <t>1.屏风
2.部位：大堂北侧
3.做法详见1F-DT-04节点06
4.其它说明：满足规范和设计图纸要求</t>
  </si>
  <si>
    <t>电动卷帘</t>
  </si>
  <si>
    <t>1.成品电动卷帘
2.含电动装置
3.其它说明：满足规范和设计图纸要求</t>
  </si>
  <si>
    <t>景观区一</t>
  </si>
  <si>
    <t>1.GL-01钢化玻璃双开门
2.详见MB-07/08
3.含定制不锈钢拉手，五金配件
4.其它说明：满足规范和设计图纸要求</t>
  </si>
  <si>
    <t>1.50*50*5镀锌方钢龙骨，@600*600
2.双层12厚阻燃板基层
3.WD-01木饰面面层
4.其它说明：满足规范和设计图纸要求</t>
  </si>
  <si>
    <t>1.屏风
2.部位：景观区一
3.做法详见1F-DT-07节点12
4.其它说明：满足规范和设计图纸要求</t>
  </si>
  <si>
    <t>1.ST-01踢脚线
2.其它说明：满足规范和设计图纸要求</t>
  </si>
  <si>
    <t>景观区二</t>
  </si>
  <si>
    <t>1.屏风
2.部位：景观区二
3.做法详见1F-DT-07
4.其它说明：满足规范和设计图纸要求</t>
  </si>
  <si>
    <t>1.GL-01钢化玻璃双开门
2.详见MB-07/08
3.含定制不锈钢拉手、五金配件
4.其它说明：满足规范和设计图纸要求</t>
  </si>
  <si>
    <t>1.50*50*5镀锌方钢龙骨/45*25*4镀锌方钢龙骨，@600*600
2.12厚阻燃板基层
3.WD-01木饰面面层
4.其它说明：满足规范和设计图纸要求</t>
  </si>
  <si>
    <t>石材墙面</t>
  </si>
  <si>
    <t>1.ST-03 石材
2.50*50*5镀锌角铁（预埋件）+M12膨胀螺栓+不锈钢石材干挂件+石材
3.作法详见1F-DT-08节点13
4.其它说明：满足规范和设计图纸要求</t>
  </si>
  <si>
    <t>金属扶手、栏杆、栏板</t>
  </si>
  <si>
    <t>1.不锈钢扶手，含五金配件
2.作法详见1F-DT-08节点13
3.其它说明：满足规范和设计图纸要求</t>
  </si>
  <si>
    <t>1.12mm厚阻燃板基层
2.ST-01踢脚线
3.其它说明：满足规范和设计图纸要求</t>
  </si>
  <si>
    <t>1.GL-01钢化玻璃
2.热镀锌U型槽+MT-03不锈钢（间距1600一根不锈钢立柱）+钢化玻璃+不锈钢扶手
3.其它说明：满足规范和设计图纸要求</t>
  </si>
  <si>
    <t>MT-03不锈钢线条</t>
  </si>
  <si>
    <t>1.MT-03不锈钢线条
2.其它满足规范和设计图纸要求</t>
  </si>
  <si>
    <t>1.ST-01石材
2.其它说明：详见相关设计、要求及规范</t>
  </si>
  <si>
    <t>1层家具</t>
  </si>
  <si>
    <t>服务台</t>
  </si>
  <si>
    <t>1.接待前台
2.部位：大堂南侧
3.做法详见01/1F-JJ-01
4.其它说明：满足规范和设计图纸要求</t>
  </si>
  <si>
    <t>-1层地面</t>
  </si>
  <si>
    <t>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t>
  </si>
  <si>
    <t>过门石</t>
  </si>
  <si>
    <t>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t>
  </si>
  <si>
    <t>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t>
  </si>
  <si>
    <t>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t>
  </si>
  <si>
    <t>瓷砖楼地面（有防水）</t>
  </si>
  <si>
    <t>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t>
  </si>
  <si>
    <t>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t>
  </si>
  <si>
    <t>细石楼地面</t>
  </si>
  <si>
    <t>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t>
  </si>
  <si>
    <t>鹅卵石楼地面</t>
  </si>
  <si>
    <t>1.鹅卵石楼地面
2.鹅卵石
3.20mm厚1:3干硬性水泥砂浆调平层
4.界面剂、水泥砂浆一道
5.15mm厚1:2.5水泥砂浆找平层
6.钢筋混凝土楼板
7.部位：休息区、儿童区一侧
8.其它说明：满足规范和设计图纸要求</t>
  </si>
  <si>
    <t>实木地板楼地面</t>
  </si>
  <si>
    <t>1.FL01木地板
2.双层9mm阻燃板（防火涂料三度）
3.40*40*2镀锌方通，双层，1000*1000间距
4.3mm厚铝膜防潮层
5.10mm厚1:2.5水泥砂浆找平层
6.钢筋混凝土楼板
7.部位：健身区
8.其它说明：满足规范和设计图纸要求</t>
  </si>
  <si>
    <t>木饰面地板楼地面</t>
  </si>
  <si>
    <t>1.WD01木饰面
2.双层12mm阻燃板
3.40*40*2镀锌方通，双层
4.10mm厚1:2.5水泥砂浆找平层
5.钢筋混凝土楼板
6.部位：水吧总台
7.其它说明：满足规范和设计图纸要求</t>
  </si>
  <si>
    <t>1.FL01木地板(含3mm金属条）
2.3厚铝膜防潮垫
3.5mm自流平面层
4.20mm厚1:3水泥沙浆找平
5.界面剂、水泥砂浆一道
6.10mm厚1:2.5水泥砂浆找平层
7.钢筋混凝土楼板
8.部位：展示区
9.其它说明：满足规范和设计图纸要求</t>
  </si>
  <si>
    <t>绿植皮楼地面</t>
  </si>
  <si>
    <t>1.SP01绿植皮
2.20mm厚1:3干硬性水泥砂浆调平层
3.界面剂、水泥砂浆一道
5.10mm厚1:2.5水泥砂浆找平层
6.钢筋混凝土楼板
7.部位：沙盘区一侧
8.其它说明：满足规范和设计图纸要求</t>
  </si>
  <si>
    <t>皮革楼地面</t>
  </si>
  <si>
    <t>1.UP01 皮革地面
2.双层9mm阻燃板
3.40*40*2镀锌方通，双层，1000*1000间距
4.10mm厚1:2.5水泥砂浆找平层
5.钢筋混凝土楼板
6.部位：泡泡池
7.其它说明：满足规范和设计图纸要求</t>
  </si>
  <si>
    <t>-1层天棚</t>
  </si>
  <si>
    <t>1.米白色防水肌理漆吊顶（各种颜色）
2.部位：卫生间
3.膨胀螺栓,10钢筋吊杆,双向吊点,900~1200
4.轻钢主龙骨(金属吊件连接)
5.轻钢次龙骨、收边轻钢龙骨(专用连接挂件)
6.9.5mm厚防水石膏板基层+12mm阻燃板基层
7.钉眼防锈处理,石膏板接缝处理,阴、阳角护角收边
8.刮专用腻子找平二遍、打磨
9.刷抗碱度漆一道
10.刷肌理漆一道
11.喷肌理漆一道
12.含风口、灯孔等
13.作法详见-1F-TH-04节点12
14.其它说明：满足规范和设计图纸要求</t>
  </si>
  <si>
    <t>按答疑，更衣室、储藏室及办公室等非展示区改为乳胶漆。原肌理漆部分工程量减小。乳胶漆在清单最后进行了增加分项。工程量有修改</t>
  </si>
  <si>
    <t>1.木饰面吊顶
2.部位：休息区
3.膨胀螺栓,10钢筋吊杆,双向吊点,900~1200
4.轻钢主龙骨(金属吊件连接)
5.轻钢次龙骨、收边轻钢龙骨(专用连接挂件)转换层可以取消，采用反支撑
6.双层12mm厚阻燃板基层
7.木饰面
8.含风口、灯孔等
9.作法详见-1F-TH-04节点09、10、15
10.其它说明：满足规范和设计图纸要求</t>
  </si>
  <si>
    <t>按答疑回复修改了描述，工程量未修改。</t>
  </si>
  <si>
    <t>1.木饰面吊顶
2.部位：水吧台、休闲区
3.膨胀螺栓,10钢筋吊杆,双向吊点,900~1200
4.轻钢主龙骨(金属吊件连接)
5.轻钢次龙骨、收边轻钢龙骨(专用连接挂件)转换层可以取消，采用反支撑
6.双层12mm厚阻燃板基层
7.木饰面
8.含风口、灯孔等
9.作法详见-1F-TH-02节点03、04
10.其它说明：满足规范和设计图纸要求</t>
  </si>
  <si>
    <t>1.哑光色铝板+米白色肌理漆（各种颜色）+木饰面
2.部位：健身区
3.40*40*2镀锌方通骨架
4.12mm厚阻燃板基层+9.5mm石膏板基层，含专用腻子等
5.哑光色铝板+米白色肌理漆+木饰面
6.含风口、灯孔等
7.作法详见-1F-TH-03节点07、08
8.其它说明：满足规范和设计图纸要求</t>
  </si>
  <si>
    <t>按图纸对描述进行了完善，工程量未修改。</t>
  </si>
  <si>
    <t>1.深橙色肌理漆天棚
2.部位：休息区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12.作法详见-1F-TH-04节点10
13.其它说明：满足规范和设计图纸要求</t>
  </si>
  <si>
    <t>1.深橙色肌理漆天棚
2.部位：走廊
3.膨胀螺栓,10钢筋吊杆,双向吊点,900~1200
4.轻钢主龙骨(金属吊件连接)
5.轻钢次龙骨、收边轻钢龙骨(专用连接挂件)转换层可以取消，采用反支撑
6.双层9.5mm厚石膏板基层
7.钉眼防锈处理,石膏板接缝处理,阴、阳角护角收边
8.刮专用腻子找平二遍、打磨
9.刷抗碱度漆一道
10.刷肌理漆一道
11.喷肌理漆一道
12.含风口、灯孔等
13.其它说明：满足规范和设计图纸要求</t>
  </si>
  <si>
    <t>1.红色夯土肌理漆天棚
2.部位：走廊
3.膨胀螺栓,10钢筋吊杆,双向吊点,900~1200
4.轻钢主龙骨(金属吊件连接)
5.轻钢次龙骨、收边轻钢龙骨(专用连接挂件)转换层可以取消，采用反支撑
6.12mm厚阻燃板基层+9.5mm厚石膏板基层
7.钉眼防锈处理,石膏板接缝处理,阴、阳角护角收边
8.刮专用腻子找平二遍、打磨
9.刷抗碱度漆一道
10.刷肌理漆一道
11.喷肌理漆一道
12.含风口、灯孔等
13.作法详见-1F-TH-03节点06
14.其它说明：满足规范和设计图纸要求</t>
  </si>
  <si>
    <t>1.米白色肌理漆天棚（各种颜色）
2.部位：走廊、麻将室、乒乓球室、台球室、3D影音室、VIP室、签约财务室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8.刮专用腻子找平二遍、打磨
9.刷抗碱度漆一道
10.刷肌理漆一道
11.喷肌理漆一道
12.含风口、灯孔等
13.作法详见-1F-TH-04节点05、11
14.其它说明：满足规范和设计图纸要求</t>
  </si>
  <si>
    <t>楼梯踏步天棚</t>
  </si>
  <si>
    <t>1.MT02 金属天棚+ST01 石材
2.部位：楼梯踏步底面天棚
3.作法详见-1F-DF-02节点07
4.其它说明：满足规范和设计图纸要求</t>
  </si>
  <si>
    <t>1.白色哑光漆铝板检修口
2.40*40*2镀锌角钢骨架
3.白色哑光漆铝板
4.做法详见-1F-TH-04节点14、15
5.其它说明：满足规范和设计图纸要求</t>
  </si>
  <si>
    <t>-1层墙面</t>
  </si>
  <si>
    <t>健身区</t>
  </si>
  <si>
    <t>木门窗套</t>
  </si>
  <si>
    <t>1.WD-01木饰面
2.具体做法详见-1F-DT-06节点17
3.其它说明：满足规范和设计图纸要求</t>
  </si>
  <si>
    <t>玻璃隔断</t>
  </si>
  <si>
    <t>1.GL01 玻璃隔断
2.详见-1F-DT-10节点27
3.其它说明：满足规范和设计图纸要求</t>
  </si>
  <si>
    <t>隔墙</t>
  </si>
  <si>
    <t>1.40*40*2镀锌方通骨架
2.12厚阻燃板基层
3.WD-01木饰面+AL-01哑光铝材面层
4.作法详见-1F-DT-06节点17
5.其它说明：满足规范和设计图纸要求</t>
  </si>
  <si>
    <t>杜邦纸木饰面隔墙</t>
  </si>
  <si>
    <t>1.40*40*2镀锌方通骨架
2.12厚阻燃板基层
3.WC杜邦纸+木饰面+木装饰条
4.作法详见-1F-DT-08节点20
5.其它说明：满足规范和设计图纸要求</t>
  </si>
  <si>
    <t>木质装饰线</t>
  </si>
  <si>
    <t>1.30*30木质装饰条
2.详见-1F-DT-04节点10 
3.其它说明：满足规范和设计图纸要求</t>
  </si>
  <si>
    <t>1.30*15木质装饰条
2.详见-1F-DT-05节点10
3.其它说明：满足规范和设计图纸要求</t>
  </si>
  <si>
    <t>休息区</t>
  </si>
  <si>
    <t>儿童区18/-1F-DT-07</t>
  </si>
  <si>
    <t>科技区造型隔墙</t>
  </si>
  <si>
    <t>1.75系列轻钢龙骨，壁厚1.2mm骨架
2.12厚阻燃板基层+9厚石膏板基层，含专用腻子等
3.UP02软包+PT05 深橙色肌理漆+WD-01木饰面
4.作法详见-1F-DT-07节点18
5.其它说明：满足规范和设计图纸要求</t>
  </si>
  <si>
    <t>泡泡池19/-1F-DT-06</t>
  </si>
  <si>
    <t>休息区16/-1F-DT-06</t>
  </si>
  <si>
    <t>抹灰面油漆</t>
  </si>
  <si>
    <t>1.米白色肌理漆（各种颜色），含专用腻子、打磨等
2.阴阳角护角收边
3.3-5mm厚薄抹灰砂浆层
4.界面剂，接缝处网格布处理
5.其它说明：满足规范和设计图纸要求</t>
  </si>
  <si>
    <t>金属踢脚线</t>
  </si>
  <si>
    <t>1.12mm厚阻燃板基层
2.MT01金属（踢脚线）
3.其它说明：满足规范和设计图纸要求</t>
  </si>
  <si>
    <t>1.9mm石膏板基层
2.12mm厚阻燃板基层，含专用腻子等
3.PT05 深橙色肌理漆
4.其它说明：满足规范和设计图纸要求</t>
  </si>
  <si>
    <t>走廊</t>
  </si>
  <si>
    <t>木饰面隔墙</t>
  </si>
  <si>
    <t>1.40*40*2镀锌方通骨架
2.12厚阻燃板基层
3.WD-01木饰面
4.作法详见-1F-DT-05节点13
5.其它说明：满足规范和设计图纸要求</t>
  </si>
  <si>
    <t>1.40*40*2镀锌方通骨架
2.12厚阻燃板基层
3.WD-01木饰面
4.作法详见-1F-DT-05节点14
5.其它说明：满足规范和设计图纸要求</t>
  </si>
  <si>
    <t>1.40*40*2镀锌方通骨架
2.12厚阻燃板基层
3.WD-01木饰面
4.作法详见-1F-DT-01节点02b
5.其它说明：满足规范和设计图纸要求</t>
  </si>
  <si>
    <t>1.米白色肌理漆（各种颜色），含专用腻子等
2.阴阳角护角收边
3.3-5mm厚薄抹灰砂浆层
4.界面剂，接缝处网格布处理
5.其它说明：满足规范和设计图纸要求</t>
  </si>
  <si>
    <t>1.12mm厚阻燃板基层
2.MT01金属（踢脚线）30高
3.其它说明：满足规范和设计图纸要求</t>
  </si>
  <si>
    <t>1.成品电动卷帘
2.电动装置
3.其它说明：满足规范和设计图纸要求</t>
  </si>
  <si>
    <t>木质门</t>
  </si>
  <si>
    <t>1.M-03
2.具体做法详-1F-MB-03
3.其它说明：满足规范和设计图纸要求</t>
  </si>
  <si>
    <t>总台区</t>
  </si>
  <si>
    <t>南立面04/-1F-1E-02</t>
  </si>
  <si>
    <t>东立面03/-1F-1E-02</t>
  </si>
  <si>
    <t>1.1:3水泥砂浆找平层
2.12mm厚阻燃板基层
3.WD-01木饰面
4.其它说明：满足规范和设计图纸要求</t>
  </si>
  <si>
    <t>1.30*30木质装饰条
2.详见-1F-DT-04节点10
3.其它说明：满足规范和设计图纸要求</t>
  </si>
  <si>
    <t>1.30*35木质装饰条
2.详见-1F-DT-05节点10
3.其它说明：满足规范和设计图纸要求</t>
  </si>
  <si>
    <t>1.发光字
2.详见-1F-DT-05节点10 
3.其它说明：满足规范和设计图纸要求</t>
  </si>
  <si>
    <t>1.40*40*2镀锌方通骨架
2.12厚阻燃板+12厚埃特板
3.WD-01木饰面+白色乳胶漆
4.作法详见-1F-DT-05节点12
5.其它说明：满足规范和设计图纸要求</t>
  </si>
  <si>
    <t>立邦</t>
  </si>
  <si>
    <t>正立面01/-1F-1E-01</t>
  </si>
  <si>
    <t>1.1:3水泥砂浆找平层
2.9mm厚阻燃夹板基层
3.SP-03毛石饰面板
4.其它说明：满足规范和设计图纸要求</t>
  </si>
  <si>
    <t>1.40*40*2镀锌方通骨架
2.12厚阻燃板基层
3.作法详见-1F-DT-02节点03
4.其它说明：满足规范和设计图纸要求</t>
  </si>
  <si>
    <t>LED显示屏</t>
  </si>
  <si>
    <t>1.LED显示屏
2.参数：P2.5级别
3.其它说明：满足规范和设计图纸要求</t>
  </si>
  <si>
    <t>1.LED显示屏（甲供）
2.参数：P2.5级别 
3.品牌：亮彩
4.其它说明：满足规范和设计图纸要求</t>
  </si>
  <si>
    <t>此项主材为甲供，主材费0，记取其他费用</t>
  </si>
  <si>
    <t>1.40*40*2镀锌方通骨架
2.12厚阻燃板基层
3.WD-01木饰面
4.作法详见-1F-DT-02节点03 
5.其它说明：满足规范和设计图纸要求</t>
  </si>
  <si>
    <t>1.40*40*2镀锌方通骨架
2.12厚阻燃板基层
3.MT01金属饰面
4.作法详见-1F-DT-02节点03 
5.其它说明：满足规范和设计图纸要求</t>
  </si>
  <si>
    <t>沙盘</t>
  </si>
  <si>
    <t>1.LED显示屏
2.LED显示屏金属边
3.其它说明：满足规范和设计图纸要求</t>
  </si>
  <si>
    <t>此项取消招标人另行更换电视机</t>
  </si>
  <si>
    <t>沙盘区造型隔墙</t>
  </si>
  <si>
    <t>1.75系列轻钢龙骨，壁厚1.2mm骨架
2.12厚阻燃板基层+9厚石膏板基层，含专用腻子等
3.PT01 米白色肌理漆
4.作法详见-1F-DT-01节点01、02
5.其它说明：满足规范和设计图纸要求</t>
  </si>
  <si>
    <t>1.75系列轻钢龙骨，壁厚1.2mm骨架
2.12厚阻燃板基层+9厚石膏板，含专用腻子等
3.PT01 米白色肌理漆
4.作法详见-1F-DT-03节点06，-1F-DT-04节点07
5.其它说明：满足规范和设计图纸要求</t>
  </si>
  <si>
    <t>1.LED显示屏
2.参数P2级别
3.其它说明：满足规范和设计图纸要求</t>
  </si>
  <si>
    <t>弧形</t>
  </si>
  <si>
    <t>消火栓隔板</t>
  </si>
  <si>
    <t>1.12厚阻燃板基层
2.9厚石膏板基层，含专用腻子等
3.PT-01米白色肌理漆
4.作法详见-1F-DT-01节点2a
5.其它说明：满足规范和设计图纸要求</t>
  </si>
  <si>
    <t>科技展示区</t>
  </si>
  <si>
    <t>1.40*40*2镀锌方通骨架
2.12厚阻燃板基层+9厚石膏板基层
3.MT01金属包台面+PT01 米白色肌理漆+PT05 深橙色肌理漆+SP-01艺术绿植，含专用腻子等
4.作法详见-1F-DT-04节点08、09
5.其它说明：满足规范和设计图纸要求</t>
  </si>
  <si>
    <t>金属装饰线</t>
  </si>
  <si>
    <t>1.12mm厚阻燃板基层
2.MT01金属30宽
3.其它说明：满足规范和设计图纸要求</t>
  </si>
  <si>
    <t>签约财务室</t>
  </si>
  <si>
    <t>挡板隔墙</t>
  </si>
  <si>
    <t>1.40*40*2镀锌方通骨架
2.12厚阻燃板基层+9厚石膏板基层
3.MT01金属包台面
4.作法详见-1F-DT-08节点21
5.其它说明：满足规范和设计图纸要求</t>
  </si>
  <si>
    <t>柜台顶部</t>
  </si>
  <si>
    <t>1.40*40*2镀锌方通骨架
2.12厚阻燃板/9厚石膏板
3.MT01金属
4.作法详见-1F-DT-09节点22
5.其它说明：满足规范和设计图纸要求</t>
  </si>
  <si>
    <t>柜台</t>
  </si>
  <si>
    <t>1.40*40*2镀锌方通骨架
2.12厚阻燃板/9厚石膏板
3.ST03a石材
4.作法详见-1F-DT-09节点22
5.其它说明：满足规范和设计图纸要求</t>
  </si>
  <si>
    <t>1.尺寸：800*2400
2.门锁及其他五金配件
3.其它说明：满足规范和设计图纸要求</t>
  </si>
  <si>
    <t>1.WD-01木饰面
2.具体做法详见-1F-MB-01
3.其它说明：满足规范和设计图纸要求</t>
  </si>
  <si>
    <t>1.WD-01木饰面
2.具体做法详-1F-MB-01
3.其它说明：满足规范和设计图纸要求</t>
  </si>
  <si>
    <t>VIP室</t>
  </si>
  <si>
    <t>1.双层12厚阻燃板基层
2.WD-01木饰面
3.其它说明：满足规范和设计图纸要求</t>
  </si>
  <si>
    <t>1.双层12厚阻燃板基层
2.UP02硬包
3.其它说明：满足规范和设计图纸要求</t>
  </si>
  <si>
    <t>1.双层12厚阻燃板基层
2.SP-03毛石饰面板
3.其它说明：满足规范和设计图纸要求</t>
  </si>
  <si>
    <t>壁柜</t>
  </si>
  <si>
    <t>1.40*40*2镀锌方通骨架
2. 双层12厚阻燃板基层
3.WD01木饰面
4.作法详见-1F-DT-09节点24
5.其它说明：满足规范和设计图纸要求</t>
  </si>
  <si>
    <t>台面</t>
  </si>
  <si>
    <t>1.40*40*2镀锌方通骨架
2. 双层12厚阻燃板基层
3.MT01金属包台面
4.作法详见-1F-DT-09节点23
5.其它说明：满足规范和设计图纸要求</t>
  </si>
  <si>
    <t>1.M-04
2.具体做法详见门表
3.其它说明：满足规范和设计图纸要求</t>
  </si>
  <si>
    <t>营销休息室/会议室</t>
  </si>
  <si>
    <t>1.喷乳胶漆一道
2.刷乳胶漆一道
3.刷抗碱底漆一道
4.刮白胶腻子找平二遍，打磨
5.阴阳角护角收边
6.3-5mm厚薄抹灰砂浆层
7.界面剂，接缝处网格布处理
8.其它说明：满足规范和设计图纸要求</t>
  </si>
  <si>
    <t>按揭办公室</t>
  </si>
  <si>
    <t>总经理办公室</t>
  </si>
  <si>
    <t>总监办公室</t>
  </si>
  <si>
    <t>储藏室</t>
  </si>
  <si>
    <t>物业储藏室</t>
  </si>
  <si>
    <t>3D影音室</t>
  </si>
  <si>
    <t>1.12mm钢化玻璃，U型玻璃槽钢固定于地面
2.详见-1F-DT-10节点27A
3.其它说明：满足规范和设计图纸要求</t>
  </si>
  <si>
    <t>1.12厚阻燃板基层
2.9厚石膏板基层，含专用腻子等
3.PT-01米白色肌理漆
4.作法详见-1F-DT-01节点02a
5.其它说明：满足规范和设计图纸要求</t>
  </si>
  <si>
    <t>投影</t>
  </si>
  <si>
    <t>1.3D影音投影(LED硬屏系统）
2.包含投影设备
3.其它说明：满足规范和设计图纸要求</t>
  </si>
  <si>
    <t>套</t>
  </si>
  <si>
    <t>台球室</t>
  </si>
  <si>
    <t>木隔断</t>
  </si>
  <si>
    <t>1.M-06
2.具体做法详见-1F-MB-06
3.其它说明：满足规范和设计图纸要求</t>
  </si>
  <si>
    <t>乒乓球室</t>
  </si>
  <si>
    <t>1.M-05
2.具体做法详见-1F-MB-05
3.其它说明：满足规范和设计图纸要求</t>
  </si>
  <si>
    <t>麻将室</t>
  </si>
  <si>
    <t>1.GL01 玻璃隔断
2.详见27/-1F-DT-10
3.其它说明：满足规范和设计图纸要求</t>
  </si>
  <si>
    <t>男更衣室</t>
  </si>
  <si>
    <t>女更衣室</t>
  </si>
  <si>
    <t>1.WD-01木饰面
2.具体做法详见门表
3.其它说明：满足规范和设计图纸要求</t>
  </si>
  <si>
    <t>保洁工作室</t>
  </si>
  <si>
    <t>1.喷乳胶漆一道
2.刷乳胶漆一道
3.刷抗碱底漆一道
4.刮白胶腻子找平二遍，打磨
5.阴阳角护角收边
6.3-5mm厚薄抹灰砂浆层
7.界面剂，接缝处网格布处理
8.其它说明：详见相关设计、要求及规范</t>
  </si>
  <si>
    <t>块料踢脚线</t>
  </si>
  <si>
    <t>1.水泥砂浆找平
2.100高CT02瓷砖踢脚线
3.其它说明：满足规范和设计图纸要求</t>
  </si>
  <si>
    <t>男卫生间</t>
  </si>
  <si>
    <t>块料墙面（卫生间）</t>
  </si>
  <si>
    <t>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t>
  </si>
  <si>
    <t>成品隔断</t>
  </si>
  <si>
    <t>1.抗倍特板隔断
2.其它说明：满足规范和设计图纸要求</t>
  </si>
  <si>
    <t>1.40*40*2镀锌方通骨架
2.12厚埃特板基层
3.ST-02石材墙面
4.其它说明：满足规范和设计图纸要求
5.部位：水景区</t>
  </si>
  <si>
    <t>1.40*40*2镀锌方通骨架
2.12厚埃特板基层
3.ST-06石材墙面
4.其它说明：满足规范和设计图纸要求
5.部位：坐便器背部</t>
  </si>
  <si>
    <t>镜面玻璃</t>
  </si>
  <si>
    <t>1.尺寸：1940*600
2.40*40*2镀锌方通骨架
3.12厚埃特板基层
4.MR01镜子
5.MT01金属包边（50宽）
6.其它说明：满足规范和设计图纸要求</t>
  </si>
  <si>
    <t>墙面涂膜防水</t>
  </si>
  <si>
    <t>1.部位：墙面
2.聚氨酯防水层1.5厚
3.其它说明：满足规范和设计图纸要求</t>
  </si>
  <si>
    <t>现场彩绘墙面</t>
  </si>
  <si>
    <t>1.现场预留水泥砂浆找平层
2.刷白色防水乳胶漆
3.其它说明：满足规范和设计图纸要求</t>
  </si>
  <si>
    <t>1.WD-01木饰面
2.具体做法详-1F-MB-02
3.其它说明：满足规范和设计图纸要求</t>
  </si>
  <si>
    <t>1.WD-01木饰面
2.具体做法详见-1F-MB-02
3.其它说明：满足规范和设计图纸要求</t>
  </si>
  <si>
    <t>1.WD-01木饰面（成品木隔断）
2.具体做法详见27/-1F-DT-10
3.其它说明：满足规范和设计图纸要求</t>
  </si>
  <si>
    <t>女卫生间</t>
  </si>
  <si>
    <t>楼梯间</t>
  </si>
  <si>
    <t>1.1:3水泥砂浆找平层
2.12mm厚阻燃夹板
3.WD-01木饰面
4.其它说明：满足规范和设计图纸要求</t>
  </si>
  <si>
    <t>1.1:3水泥砂浆找平层
2.9mm厚阻燃夹板
3.SP-03毛石饰面板
4.其它说明：满足规范和设计图纸要求</t>
  </si>
  <si>
    <t>-1层家具</t>
  </si>
  <si>
    <t>亚克力展示架</t>
  </si>
  <si>
    <t>亚克力置物架</t>
  </si>
  <si>
    <t>1.亚克力置物架
2.其它说明：满足规范和设计图纸要求</t>
  </si>
  <si>
    <t>沙盘底座</t>
  </si>
  <si>
    <t>1.40*40*2镀锌方通骨架
2.12mm厚阻燃板基层，含专用腻子等
3.PT-04木饰面油红色夯土肌理漆
4.GL-01玻璃
5.MT-01φ10实心金属
6.作法详见-1F-JJ-01
7.其它说明：满足规范和设计图纸要求</t>
  </si>
  <si>
    <t>户模平台-1F-JJ-02节点31</t>
  </si>
  <si>
    <t>展台</t>
  </si>
  <si>
    <t>1.40*40*2镀锌方通骨架
2.12mm厚阻燃板基层，含专用腻子等
3.MT02-金属面+木饰面油红色夯土肌理漆+木饰面白色油漆
4.GL-01玻璃
5.作法详见-1F-JJ-02节点31
6.其它说明：满足规范和设计图纸要求</t>
  </si>
  <si>
    <t>展示台1 -1F-JJ-02节点32</t>
  </si>
  <si>
    <t>1.40*40*2镀锌方通骨架
2.12mm厚阻燃板基层
3.MT02-金属面+木饰面白色油漆
4.GL-01玻璃
5.作法详见-1F-JJ-02节点32
6.其它说明：满足规范和设计图纸要求</t>
  </si>
  <si>
    <t>展示台2 -1F-JJ-04节点33</t>
  </si>
  <si>
    <t>1.40*40*2镀锌方通骨架
2.12mm厚阻燃板基层
3.MT02-金属面+木饰面白色油漆
4.SP02亚克力+GL01玻璃
5.做法详见-1F-JJ-04节点33
6.其它说明：满足规范和设计图纸要求</t>
  </si>
  <si>
    <t>展示台3 34/-1F-JJ-04</t>
  </si>
  <si>
    <t>1.40*40*2镀锌方通骨架
2.12mm厚阻燃板基层
3.MT02-金属面+木饰面白色油漆
4.SP02亚克力+GL01玻璃
5.作法详见-1F-JJ-04节点34
6.其它说明：满足规范和设计图纸要求</t>
  </si>
  <si>
    <t>1.40*40*2镀锌方通骨架
2.12mm厚阻燃板基层，含专用腻子等
3.MT02-金属面+WD-01木饰面+肌理漆+WD-01实木
4.SP02亚克力+GL01玻璃
5.作法详见-1F-JJ-05、-1F-JJ-06
6.其它说明：满足规范和设计图纸要求</t>
  </si>
  <si>
    <t>1.白色乳胶漆天棚（各种颜色）
2.部位：储藏室、总监办公室、经理办公室、按揭办公室、休息室、会议室、男、女更衣室
3.膨胀螺栓,10钢筋吊杆,双向吊点,900~1200
4.轻钢主龙骨(金属吊件连接)
5.轻钢次龙骨、收边轻钢龙骨(专用连接挂件)转换层可以取消，采用反支撑
6.12mm阻燃板基层+9.5mm厚石膏板基层
7.钉眼防锈处理,石膏板接缝处理,阴、阳角护角收边
8.刮白胶腻子找平二遍、打磨
9.刷抗碱度漆一道
10.刷乳胶漆一道
11.喷乳胶漆一道
12.含风口、灯孔等
13.作法详见-1F-TH-04节点05、11
14.其它说明：满足规范和设计图纸要求</t>
  </si>
  <si>
    <t>新加项</t>
  </si>
  <si>
    <t>按答疑，更衣室、储藏室及办公室等非展示区改为乳胶漆。原肌理漆部分工程量减小。乳胶漆在清单进行了增加分项。</t>
  </si>
  <si>
    <t>1.米白色防水乳胶漆吊顶（各种颜色）
2.部位：保洁室
3.膨胀螺栓,10钢筋吊杆,双向吊点,900~1200
4.轻钢主龙骨(金属吊件连接)
5.轻钢次龙骨、收边轻钢龙骨(专用连接挂件)
6.9.5mm厚防水石膏板基层+12mm阻燃板基层
7.钉眼防锈处理,石膏板接缝处理,阴、阳角护角收边
8.刮白胶腻子找平二遍、打磨
9.刷抗碱度漆一道
10.刷乳胶漆一道
11.喷乳胶漆一道
12.含风口、灯孔等
13.作法详见-1F-TH-04节点12
14.其它说明：满足规范和设计图纸要求</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</si>
  <si>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</si>
  <si>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</si>
  <si>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</si>
  <si>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工程名称：河南省洛阳市浩德地产伊河湾营销中心装饰工程--安装工程</t>
  </si>
  <si>
    <t>负一层</t>
  </si>
  <si>
    <t>强电</t>
  </si>
  <si>
    <t>配电箱</t>
  </si>
  <si>
    <t>1.名称:售楼部照明配电箱
2.型号、规格:ZAL1-10#
3.安装方式:暗装,H+1.6m
4.含无端子接线</t>
  </si>
  <si>
    <t>台</t>
  </si>
  <si>
    <t>1.名称:售楼部总配电箱
2.型号、规格:ZAP-10#
3.安装方式:明装,H+1.1m
4.其它说明：满足规范和设计图纸要求</t>
  </si>
  <si>
    <t>桥架</t>
  </si>
  <si>
    <t>1.名称:强电线槽
2.规格:100x50
3.安装位置:室内
4.其它说明：满足规范和设计图纸要求</t>
  </si>
  <si>
    <t>1.名称:强电线槽
2.规格:150x100
3.安装位置:室内
4.其它说明：满足规范和设计图纸要求</t>
  </si>
  <si>
    <t>1.名称:强电线槽
2.规格:250x100
3.安装位置:室内
4.其它说明：满足规范和设计图纸要求</t>
  </si>
  <si>
    <t>1.名称:强电线槽
2.规格:300x150
3.安装位置:室内
4.其它说明：满足规范和设计图纸要求</t>
  </si>
  <si>
    <t>铁构件</t>
  </si>
  <si>
    <t>1.名称:桥架支架
2.材质、规格及除锈刷漆要求:详见图纸设计
3.安装部位:室内
4.其它说明：满足规范和设计图纸要求</t>
  </si>
  <si>
    <t>kg</t>
  </si>
  <si>
    <t>配管</t>
  </si>
  <si>
    <t>1.名称:电气配管
2.规格:JDG20
3.配置形式:吊顶内明敷
4.其它说明：满足规范和设计图纸要求</t>
  </si>
  <si>
    <t>郑州三厂</t>
  </si>
  <si>
    <t>1.名称:电气配管
2.规格:JDG20
3.配置形式:暗敷
4.其它说明：满足规范和设计图纸要求</t>
  </si>
  <si>
    <t>1.名称:电气配管
2.规格:JDG25
3.配置形式:吊顶内明敷
4.其它说明：满足规范和设计图纸要求</t>
  </si>
  <si>
    <t>1.名称:电气配管
2.规格:JDG25
3.配置形式:暗敷
4.其它说明：满足规范和设计图纸要求</t>
  </si>
  <si>
    <t>电力电缆</t>
  </si>
  <si>
    <t>1.名称:电力电缆
2.规格:WDZR-YJY-4X35+1X16
3.敷设方式、部位:综合考虑
4.其它说明：满足规范和设计图纸要求</t>
  </si>
  <si>
    <t>电力电缆头</t>
  </si>
  <si>
    <t>1.名称:电力电缆终端头
2.规格:五芯35mm2
3.材质、类型:铜芯
4.安装部位:室内
5.其它说明：满足规范和设计图纸要求</t>
  </si>
  <si>
    <t>配线</t>
  </si>
  <si>
    <t>1.名称:铜芯导线
2.规格、型号:WDZ-BYJ-1.0
3.敷设方式:穿管敷设
4.其它说明：满足规范和设计图纸要求</t>
  </si>
  <si>
    <t>1.名称:铜芯导线
2.规格、型号:WDZ-BYJ-2.5
3.敷设方式:穿管敷设
4.其它说明：满足规范和设计图纸要求</t>
  </si>
  <si>
    <t>1.名称:铜芯导线
2.规格、型号:WDZ-BYJ-2.5
3.敷设方式:桥架内敷设
4.其它说明：满足规范和设计图纸要求</t>
  </si>
  <si>
    <t>1.名称:铜芯导线
2.规格、型号:WDZ-BYJ-4
3.敷设方式:穿管敷设
4.其它说明：满足规范和设计图纸要求</t>
  </si>
  <si>
    <t>1.名称:铜芯导线
2.规格、型号:WDZ-BYJ-4
3.敷设方式:桥架内敷设
4.其它说明：满足规范和设计图纸要求</t>
  </si>
  <si>
    <t>装饰灯</t>
  </si>
  <si>
    <t>1.名称:石英圆形射灯
2.规格:详见图纸
3.安装方式:吸顶
4.其它说明：满足规范和设计图纸要求</t>
  </si>
  <si>
    <t>雷士或星发现</t>
  </si>
  <si>
    <t>1.名称:筒灯
2.规格:详见图纸
3.安装方式:嵌入式
4.其它说明：满足规范和设计图纸要求</t>
  </si>
  <si>
    <t>1.名称:艺术壁灯
2.规格:详见图纸
3.安装方式:壁装
4.其它说明：满足规范和设计图纸要求</t>
  </si>
  <si>
    <t>属于软装不报价格</t>
  </si>
  <si>
    <t>1.名称:LED灯带
2.规格:详见图纸
3.安装方式:天棚内
4.其它说明：满足规范和设计图纸要求</t>
  </si>
  <si>
    <t>1.名称:艺术吊灯1
2.规格:详见图纸
3.安装方式:吊装
4.其它说明：满足规范和设计图纸要求</t>
  </si>
  <si>
    <t>1.名称:艺术吊灯2
2.规格:详见图纸
3.安装方式:吊装
4.其它说明：满足规范和设计图纸要求</t>
  </si>
  <si>
    <t>照明开关</t>
  </si>
  <si>
    <t>1.名称:一位面板开关
2.规格:250V/10A
3.安装方式:暗装</t>
  </si>
  <si>
    <t>罗格朗</t>
  </si>
  <si>
    <t>1.名称:二位面板开关
2.规格:250V/10A
3.安装方式:暗装</t>
  </si>
  <si>
    <t>1.名称:三位面板开关
2.规格:250V/10A
3.安装方式:暗装</t>
  </si>
  <si>
    <t>1.名称:四位面板开关
2.规格:250V/10A
3.安装方式:暗装</t>
  </si>
  <si>
    <t>控制开关</t>
  </si>
  <si>
    <t>1.名称:温控开关
2.规格:250V/10A
3.安装方式:暗装</t>
  </si>
  <si>
    <t>插座</t>
  </si>
  <si>
    <t>1.名称：单相二、三极插座
2.规格：250V 10A
3.安装方式：暗装</t>
  </si>
  <si>
    <t>1.名称：单相二、三极地面插座
2.规格：250V 10A
3.安装方式：地面暗装</t>
  </si>
  <si>
    <t>1.名称：含开关防溅插座
2.规格：250V 10A
3.安装方式：暗装</t>
  </si>
  <si>
    <t>接线盒</t>
  </si>
  <si>
    <t>1.名称:开关（插座）盒
2.材质:详见图纸
3.安装形式:暗装</t>
  </si>
  <si>
    <t>1.名称:接线盒
2.材质:详见图纸
3.安装形式:暗装</t>
  </si>
  <si>
    <t>送配电装置系统</t>
  </si>
  <si>
    <t>1.名称:送配电装置系统调试</t>
  </si>
  <si>
    <t>系统</t>
  </si>
  <si>
    <t>弱电</t>
  </si>
  <si>
    <t>1.名称:弱电线槽
2.规格:(100+100)x100
3.安装位置:室内
4.其它说明：满足规范和设计图纸要求</t>
  </si>
  <si>
    <t>1.名称:弱电线槽
2.规格:(75+75)x100
3.安装位置:室内
4.其它说明：满足规范和设计图纸要求</t>
  </si>
  <si>
    <t>1.名称:多芯软导线
2.规格、型号:HYV-4x0.5
3.敷设方式:穿管敷设
4.其它说明：满足规范和设计图纸要求</t>
  </si>
  <si>
    <t>1.名称:多芯软导线
2.规格、型号:HYV-4x0.5
3.敷设方式:桥架内敷设
4.其它说明：满足规范和设计图纸要求</t>
  </si>
  <si>
    <t>1.名称:多芯软导线
2.规格、型号:RVV-2x0.75
3.敷设方式:穿管敷设
4.其它说明：满足规范和设计图纸要求</t>
  </si>
  <si>
    <t>1.名称:多芯软导线
2.规格、型号:RVV-2x1.5
3.敷设方式:穿管敷设
4.其它说明：满足规范和设计图纸要求</t>
  </si>
  <si>
    <t>1.名称:多芯软导线
2.规格、型号:RVV-3x1.5
3.敷设方式:桥架内敷设
4.其它说明：满足规范和设计图纸要求</t>
  </si>
  <si>
    <t>1.名称:多芯软导线
2.规格、型号:RVV-4x0.75
3.敷设方式:穿管敷设
4.其它说明：满足规范和设计图纸要求</t>
  </si>
  <si>
    <t>1.名称:多芯软导线
2.规格、型号:RVV-6x0.5
3.敷设方式:穿管敷设
4.其它说明：满足规范和设计图纸要求</t>
  </si>
  <si>
    <t>双绞线缆</t>
  </si>
  <si>
    <t>1.名称:双绞线缆
2.规格:UTP-CAT6
3.敷设方式:穿管敷设
4.其它说明：满足规范和设计图纸要求</t>
  </si>
  <si>
    <t>1.名称:双绞线缆
2.规格:UTP-CAT6
3.敷设方式:桥架内敷设
4.其它说明：满足规范和设计图纸要求</t>
  </si>
  <si>
    <t>机柜、机架</t>
  </si>
  <si>
    <t>1.名称:弱电机柜
2.规格:详见图纸
3.其它说明：满足规范和设计图纸要求</t>
  </si>
  <si>
    <t>背景音乐系统设备</t>
  </si>
  <si>
    <t>1.名称:背景音乐主机
2.规格:详见图纸
3.其它说明：满足规范和设计图纸要求</t>
  </si>
  <si>
    <t>扩声系统设备</t>
  </si>
  <si>
    <t>1.名称:背景音乐
2.规格:详见图纸
3.安装方式:天花安装
4.其它说明：满足规范和设计图纸要求</t>
  </si>
  <si>
    <t>1.名称:音量控制器
2.安装方式:暗装
3.其它说明：满足规范和设计图纸要求</t>
  </si>
  <si>
    <t>电视、电话插座</t>
  </si>
  <si>
    <t>1.名称:一位电视插座
2.安装方式:暗装
3.其它说明：满足规范和设计图纸要求</t>
  </si>
  <si>
    <t>1.名称:一位网络+电话插座
2.安装方式:暗装
3.其它说明：满足规范和设计图纸要求</t>
  </si>
  <si>
    <t>信息插座</t>
  </si>
  <si>
    <t>1.名称:一位网络插座
2.安装方式:暗装
3.其它说明：满足规范和设计图纸要求</t>
  </si>
  <si>
    <t>监控摄像设备</t>
  </si>
  <si>
    <t>1.名称:半球摄像机
2.安装方式:天花安装
3.其它说明：满足规范和设计图纸要求</t>
  </si>
  <si>
    <t>路由器</t>
  </si>
  <si>
    <t>1.名称:无线AP
2.安装方式:天花安装
3.其它说明：满足规范和设计图纸要求</t>
  </si>
  <si>
    <t>出入口目标识别设备</t>
  </si>
  <si>
    <t>1.名称:门禁读卡器
2.规格:详见图纸</t>
  </si>
  <si>
    <t>1.名称:开门按钮
2.规格:详见图纸</t>
  </si>
  <si>
    <t>出入口控制设备</t>
  </si>
  <si>
    <t>1.名称:门禁控制器
2.规格:详见图纸</t>
  </si>
  <si>
    <t>出入口执行机构设备</t>
  </si>
  <si>
    <t>1.名称:门禁锁
2.规格:详见图纸</t>
  </si>
  <si>
    <t>给排水</t>
  </si>
  <si>
    <t>洗脸盆</t>
  </si>
  <si>
    <t>1.名称:台式洗脸盆
2.组装形式:成套
3.附件名称、数量:含五金配件
4.安装后需满足使用要求
5.其它说明：满足规范和设计图纸要求</t>
  </si>
  <si>
    <t>组</t>
  </si>
  <si>
    <t>TOTO</t>
  </si>
  <si>
    <t>大便器</t>
  </si>
  <si>
    <t>1.名称:坐式大便器
2.组装形式:成套
3.附件名称、数量:含五金配件
4.安装后需满足使用要求
5.其它说明：满足规范和设计图纸要求</t>
  </si>
  <si>
    <t>小便器</t>
  </si>
  <si>
    <t>1.名称:小便器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</si>
  <si>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</si>
  <si>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</si>
  <si>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给、排水附(配)件</t>
  </si>
  <si>
    <t>1.名称:地漏
2.型号、规格:De63</t>
  </si>
  <si>
    <t>1.名称:地面清扫口
2.型号、规格:De90</t>
  </si>
  <si>
    <t>塑料管</t>
  </si>
  <si>
    <t>1.安装部位:室内
2.介质:污水
3.材质、规格:UPVC排水管De63
4.连接形式:粘接连接</t>
  </si>
  <si>
    <t>1.安装部位:室内
2.介质:污水
3.材质、规格:UPVC排水管De90
4.连接形式:粘接连接</t>
  </si>
  <si>
    <t>1.安装部位:室内
2.介质:污水
3.材质、规格:UPVC排水管De110
4.连接形式:粘接连接</t>
  </si>
  <si>
    <t>1.安装部位:室内
2.介质:给水
3.材质、规格:PP-R管De20
4.连接形式:热熔连接
5.压力试验及吹、洗设计要求:满足设计要求</t>
  </si>
  <si>
    <t>1.安装部位:室内
2.介质:给水
3.材质、规格:PP-R管De25
4.连接形式:热熔连接
5.压力试验及吹、洗设计要求:满足设计要求</t>
  </si>
  <si>
    <t>1.安装部位:室内
2.介质:给水
3.材质、规格:PP-R管De32
4.连接形式:热熔连接
5.压力试验及吹、洗设计要求:满足设计要求</t>
  </si>
  <si>
    <t>1.安装部位:室内
2.介质:给水
3.材质、规格:PP-R管De50
4.连接形式:热熔连接
5.压力试验及吹、洗设计要求:满足设计要求</t>
  </si>
  <si>
    <t>螺纹阀门</t>
  </si>
  <si>
    <t>1.名称:铜球阀
2.规格、压力等级:DN25
3.连接形式:螺纹连接</t>
  </si>
  <si>
    <t>1.名称:铜球阀
2.规格、压力等级:DN40
3.连接形式:螺纹连接</t>
  </si>
  <si>
    <t>通风空调</t>
  </si>
  <si>
    <t>小电器</t>
  </si>
  <si>
    <t>1.名称：BLD-1200
2.规格型号：Q=1200m3/h，P=115Pa， N=70W
3.备注：PQ-1，带止回装置
4.其它说明：满足规范和设计图纸要求</t>
  </si>
  <si>
    <t>防火玻璃挡烟垂壁</t>
  </si>
  <si>
    <t>1.名称:防火玻璃挡烟垂壁
2.安装方式:底距地3.0m
3.其它说明：满足规范和设计图纸要求</t>
  </si>
  <si>
    <t>空调器</t>
  </si>
  <si>
    <t>1.名称:室内机标准型薄型风管机 KF系列
2.型号、规格:HVR-71KF/G2FZBp 制冷量:7.1KW,制热量:8KW 输入功率:0.12KW
3.外形尺寸：1180x447x192
3.其它说明：满足规范和设计图纸要求</t>
  </si>
  <si>
    <t>海信</t>
  </si>
  <si>
    <t>1.名称:室内机标准型薄型风管机 KF系列
2.型号、规格:HVR-63KF/G2FZBp 制冷量:6.3KW,制热量:7.1KW 输入功率:0.12KW
3.外形尺寸：1180x447x192
4.其它说明：满足规范和设计图纸要求</t>
  </si>
  <si>
    <t>1.名称:室内机标准型薄型风管机 KF系列
2.型号、规格:HVR-50KF/G2FZBp 制冷量:5KW,制热量:5.6KW 输入功率:0.08KW
3.外形尺寸：910x447x192
4.其它说明：满足规范和设计图纸要求</t>
  </si>
  <si>
    <t>1.名称:室内机标准型薄型风管机 KF系列
2.型号、规格:HVR-45KF/G2FZBp 制冷量:4.5KW,制热量:5KW 输入功率:0.08KW
3.外形尺寸：910x447x192
4.其它说明：满足规范和设计图纸要求</t>
  </si>
  <si>
    <t>1.名称:室内机标准型薄型风管机 KF系列
2.型号、规格:HVR-40KF/G2FZBp 制冷量:4KW,制热量:4.5KW 输入功率:0.08KW
3.外形尺寸：910x447x192
4.其它说明：满足规范和设计图纸要求</t>
  </si>
  <si>
    <t>1.名称:室内机标准型薄型风管机 KF系列
2.型号、规格:HVR-32KF/G2FZBp 制冷量:3.2KW,制热量:3.6KW 输入功率:0.07KW
3.外形尺寸：700x447x192
4.其它说明：满足规范和设计图纸要求</t>
  </si>
  <si>
    <t>1.名称:室内机标准型薄型风管机 KF系列
2.型号、规格:HVR-28KF/G2FZBp 制冷量:2.8KW,制热量:3.2KW 输入功率:0.07KW
3.外形尺寸：700x447x192
4.其它说明：满足规范和设计图纸要求</t>
  </si>
  <si>
    <t>1.名称:室内机标准型薄型风管机 KF系列
2.型号、规格:HVR-25KF/G2FZBp 制冷量:2.5KW,制热量:2.8KW 输入功率:0.05KW
3.外形尺寸：700x447x192
4.其它说明：满足规范和设计图纸要求</t>
  </si>
  <si>
    <t>1.名称:室内机标准型薄型风管机 KF系列
2.型号、规格:HVR-22KF/G2FZBp 制冷量:2.2KW,制热量:2.5KW 输入功率:0.05KW
3.外形尺寸：700x447x192
4.其它说明：满足规范和设计图纸要求</t>
  </si>
  <si>
    <t>1.名称:室内机低静压风管机 F系列
2.型号、规格:HVR-36F/G2FZBp 制冷量:3.6KW,制热量:4KW 输入功率:0.11KW
3.外形尺寸：720x650x270
4.其它说明：满足规范和设计图纸要求</t>
  </si>
  <si>
    <t>1.名称:室内机低静压风管机 F系列
2.型号、规格:HVR-160F/G2FZBp 制冷量:2.216KW,制热量:18KW 输入功率:0.36KW
3.外形尺寸：800x1400x300
4.其它说明：满足规范和设计图纸要求</t>
  </si>
  <si>
    <t>复合型风管</t>
  </si>
  <si>
    <t>1.名称:空调管道
2.材质:GK-Ⅱ节能不燃型玻镁复合风管（含保温层）
3.形状:矩形
4.规格:长边长≤2000mm
5.板材厚度:δ=0.5mm
6.其它说明：满足规范和设计图纸要求</t>
  </si>
  <si>
    <t>1.名称:空调管道
2.材质:GK-Ⅱ节能不燃型玻镁复合风管（含保温层）
3.形状:矩形
4.规格:长边长≤1000mm
5.板材厚度:δ=0.5mm
6.其它说明：满足规范和设计图纸要求</t>
  </si>
  <si>
    <t>1.名称:空调管道
2.材质:GK-Ⅱ节能不燃型玻镁复合风管（含保温层）
3.形状:矩形
4.规格:长边长≤600mm
5.板材厚度:δ=0.5mm
6.其它说明：满足规范和设计图纸要求</t>
  </si>
  <si>
    <t>弯头导流叶片</t>
  </si>
  <si>
    <t>1.名称:风管软接头
2.其它说明：满足规范和设计图纸要求</t>
  </si>
  <si>
    <t>铜管</t>
  </si>
  <si>
    <t>1.安装部位:室内
2.介质:空调水
3.材质、规格:铜管φ41.3
4.连接形式:氧乙炔焊
5.含氮气置换
6.其它说明：满足规范和设计图纸要求</t>
  </si>
  <si>
    <t>金龙/华美</t>
  </si>
  <si>
    <t>1.安装部位:室内
2.介质:空调水
3.材质、规格:铜管φ38.1
4.连接形式:氧乙炔焊
5.含氮气置换
6.其它说明：满足规范和设计图纸要求</t>
  </si>
  <si>
    <t>1.安装部位:室内
2.介质:空调水
3.材质、规格:铜管φ31.75
4.连接形式:氧乙炔焊
5.含氮气置换
6.其它说明：满足规范和设计图纸要求</t>
  </si>
  <si>
    <t>1.安装部位:室内
2.介质:空调水
3.材质、规格:铜管φ28.6
4.连接形式:氧乙炔焊
5.含氮气置换
6.其它说明：满足规范和设计图纸要求</t>
  </si>
  <si>
    <t>1.安装部位:室内
2.介质:空调水
3.材质、规格:铜管φ25.4
4.连接形式:氧乙炔焊
5.含氮气置换
6.其它说明：满足规范和设计图纸要求</t>
  </si>
  <si>
    <t>1.安装部位:室内
2.介质:空调水
3.材质、规格:铜管φ22.2
4.连接形式:氧乙炔焊
5.含氮气置换
6.其它说明：满足规范和设计图纸要求</t>
  </si>
  <si>
    <t>1.安装部位:室内
2.介质:空调水
3.材质、规格:铜管φ19.05
4.连接形式:氧乙炔焊
5.含氮气置换
6.其它说明：满足规范和设计图纸要求</t>
  </si>
  <si>
    <t>1.安装部位:室内
2.介质:空调水
3.材质、规格:铜管φ15.88
4.连接形式:氧乙炔焊
5.含氮气置换
6.其它说明：满足规范和设计图纸要求</t>
  </si>
  <si>
    <t>1.安装部位:室内
2.介质:空调水
3.材质、规格:铜管φ12.7
4.连接形式:氧乙炔焊
5.含氮气置换
6.其它说明：满足规范和设计图纸要求</t>
  </si>
  <si>
    <t>1.安装部位:室内
2.介质:空调水
3.材质、规格:铜管φ9.53
4.连接形式:氧乙炔焊
5.含氮气置换
6.其它说明：满足规范和设计图纸要求</t>
  </si>
  <si>
    <t>1.安装部位:室内
2.介质:空调冷凝水
3.材质、规格:硬聚氯乙稀管PVC-U De63
4.连接形式:粘接连接
5.含成品管卡
6.其它说明：满足规范和设计图纸要求</t>
  </si>
  <si>
    <t>1.安装部位:室内
2.介质:空调冷凝水
3.材质、规格:硬聚氯乙稀管PVC-U De32
4.连接形式:粘接连接
5.含成品管卡
6.其它说明：满足规范和设计图纸要求</t>
  </si>
  <si>
    <t>铜管管件</t>
  </si>
  <si>
    <t>1.名称：分歧管
2.规格：41.3*41.3*28.6
3.介质：冷剂管
4.其它说明：满足规范和设计图纸要求</t>
  </si>
  <si>
    <t>1.名称：分歧管
2.规格：41.3*38.1*31.75
3.介质：冷剂管
4.其它说明：满足规范和设计图纸要求</t>
  </si>
  <si>
    <t>1.名称：分歧管
2.规格：41.3*28.6*15.88
3.介质：冷剂管
4.其它说明：满足规范和设计图纸要求</t>
  </si>
  <si>
    <t>1.名称：分歧管
2.规格：38.1*31.75*15.88
3.介质：冷剂管
4.其它说明：满足规范和设计图纸要求</t>
  </si>
  <si>
    <t>1.名称：分歧管
2.规格：31.75*31.75*15.88
3.介质：冷剂管
4.其它说明：满足规范和设计图纸要求</t>
  </si>
  <si>
    <t>1.名称：分歧管
2.规格：31.75*28.6*15.88
3.介质：冷剂管
4.其它说明：满足规范和设计图纸要求</t>
  </si>
  <si>
    <t>1.名称：分歧管
2.规格：28.6*28.6*15.88
3.介质：冷剂管
4.其它说明：满足规范和设计图纸要求</t>
  </si>
  <si>
    <t>1.名称：分歧管
2.规格：28.6*25.4*15.88
3.介质：冷剂管
4.其它说明：满足规范和设计图纸要求</t>
  </si>
  <si>
    <t>1.名称：分歧管
2.规格：25.4*19.05*15.88
3.介质：冷剂管
4.其它说明：满足规范和设计图纸要求</t>
  </si>
  <si>
    <t>1.名称：分歧管
2.规格：25.4*15.88*15.88
3.介质：冷剂管
4.其它说明：满足规范和设计图纸要求</t>
  </si>
  <si>
    <t>1.名称：分歧管
2.规格：22.2*22.2*19.05
3.介质：冷剂管
4.其它说明：满足规范和设计图纸要求</t>
  </si>
  <si>
    <t>1.名称：分歧管
2.规格：22.2*22.2*15.88
3.介质：冷剂管
4.其它说明：满足规范和设计图纸要求</t>
  </si>
  <si>
    <t>1.名称：分歧管
2.规格：22.2*19.05*9.53
3.介质：冷剂管
4.其它说明：满足规范和设计图纸要求</t>
  </si>
  <si>
    <t>1.名称：分歧管
2.规格：22.2*15.88*9.53
3.介质：冷剂管
4.其它说明：满足规范和设计图纸要求</t>
  </si>
  <si>
    <t>1.名称：分歧管
2.规格：19.05*19.05*9.53
3.介质：冷剂管
4.其它说明：满足规范和设计图纸要求</t>
  </si>
  <si>
    <t>1.名称：分歧管
2.规格：19.05*19.05*15.88
3.介质：冷剂管
4.其它说明：满足规范和设计图纸要求</t>
  </si>
  <si>
    <t>1.名称：分歧管
2.规格：19.05*15.88*9.53
3.介质：冷剂管
4.其它说明：满足规范和设计图纸要求</t>
  </si>
  <si>
    <t>1.名称：分歧管
2.规格：19.05*15.88*15.88
3.介质：冷剂管
4.其它说明：满足规范和设计图纸要求</t>
  </si>
  <si>
    <t>1.名称：分歧管
2.规格：15.88*15.88*9.53
3.介质：冷剂管
4.其它说明：满足规范和设计图纸要求</t>
  </si>
  <si>
    <t>1.名称：分歧管
2.规格：15.88*12.7*9.53
3.介质：冷剂管
4.其它说明：满足规范和设计图纸要求</t>
  </si>
  <si>
    <t>1.名称：分歧管
2.规格：12.7*12.7*9.53
3.介质：冷剂管
4.其它说明：满足规范和设计图纸要求</t>
  </si>
  <si>
    <t>1.名称：分歧管
2.规格：12.7*9.53*9.53
3.介质：冷剂管
4.其它说明：满足规范和设计图纸要求</t>
  </si>
  <si>
    <t>管道绝热</t>
  </si>
  <si>
    <t>1.绝热材料品种：闭孔带铝箔难燃B1级橡塑管壳
2.绝热厚度：10mm
3.其它说明：满足规范和设计图纸要求</t>
  </si>
  <si>
    <t>m3</t>
  </si>
  <si>
    <t>1.绝热材料品种：闭孔柔性泡沫难燃B1级橡塑管壳
2.绝热厚度：32mm
3.其它说明：满足规范和设计图纸要求</t>
  </si>
  <si>
    <t>通风工程检测、调试</t>
  </si>
  <si>
    <t>1.空调工程系统调试</t>
  </si>
  <si>
    <t>一层</t>
  </si>
  <si>
    <t>1.名称:一层售楼部照明配电箱
2.型号、规格:1AL1
3.安装方式:暗装,H+1.8m
4.含无端子接线</t>
  </si>
  <si>
    <t>1.名称:售楼部空调外机配电箱
2.型号、规格:AP-KT
3.安装方式:明装,支架安装
4.其它说明：满足规范和设计图纸要求</t>
  </si>
  <si>
    <t>1.名称:售楼部电梯电源箱
2.型号、规格:DTAT
3.安装方式:暗装,顶距地2.0m
4.其它说明：满足规范和设计图纸要求</t>
  </si>
  <si>
    <t>1.名称:电气配管
2.规格:焊接钢管 SC40
3.配置形式:明敷
4.其它说明：满足规范和设计图纸要求</t>
  </si>
  <si>
    <t>1.名称:电气配管
2.规格:焊接钢管 SC50
3.配置形式:明敷
4.其它说明：满足规范和设计图纸要求</t>
  </si>
  <si>
    <t>1.名称:电气配管
2.规格:焊接钢管 SC100
3.配置形式:明敷
4.其它说明：满足规范和设计图纸要求</t>
  </si>
  <si>
    <t>1.名称:电力电缆
2.规格:WDZR-YJY-5X10
3.敷设方式、部位:综合考虑
4.其它说明：满足规范和设计图纸要求</t>
  </si>
  <si>
    <t>1.名称:电力电缆
2.规格:WDZR-YJY-5X16
3.敷设方式、部位:综合考虑
4.其它说明：满足规范和设计图纸要求</t>
  </si>
  <si>
    <t>1.名称:电力电缆
2.规格:WDZR-YJY-4X95+1X50
3.敷设方式、部位:综合考虑
4.其它说明：满足规范和设计图纸要求</t>
  </si>
  <si>
    <t>1.名称:电力电缆终端头
2.规格:五芯10mm2
3.材质、类型:铜芯
4.安装部位:室内
5.其它说明：满足规范和设计图纸要求</t>
  </si>
  <si>
    <t>1.名称:电力电缆终端头
2.规格:五芯16mm2
3.材质、类型:铜芯
4.安装部位:室内
5.其它说明：满足规范和设计图纸要求</t>
  </si>
  <si>
    <t>1.名称:电力电缆终端头
2.规格:五芯95mm2
3.材质、类型:铜芯
4.安装部位:室内
5.其它说明：满足规范和设计图纸要求</t>
  </si>
  <si>
    <t>1.名称:双头射灯
2.规格:详见图纸
3.安装方式:吸顶
4.其它说明：满足规范和设计图纸要求</t>
  </si>
  <si>
    <t>1.名称:LED灯带
2.规格:详见图纸
3.安装方式:天棚内 
4.其它说明：满足规范和设计图纸要求</t>
  </si>
  <si>
    <t>1.名称:电动窗帘控制面板
2.规格:250V/10A
3.安装方式:暗装</t>
  </si>
  <si>
    <t>1.名称:空调控制开关
2.规格:250V/10A
3.安装方式:暗装</t>
  </si>
  <si>
    <t>1.名称:空调室外机HVR-1535W/SM2FZBph
2.外形尺寸:3200x750x1730
3.型号、规格:制冷量:153.5KW,制热量:172.5KW， 重量783kg
4.安装形式:落地安装
5.其它说明：满足规范和设计图纸要求</t>
  </si>
  <si>
    <t>1.名称:空调室外机HVR-800W/SM2FZBph
2.外形尺寸:3200x750x1730
3.型号、规格:制冷量:80KW,制热量:90KW， 重量392kg
4.安装形式:落地安装
5.其它说明：满足规范和设计图纸要求</t>
  </si>
  <si>
    <t>1.名称:空调室外机HVR-615W/SM2FZBph
2.外形尺寸:3200x750x1730
3.型号、规格:制冷量:61.5KW,制热量:69KW， 重量363kg
4.安装形式:落地安装
5.其它说明：满足规范和设计图纸要求</t>
  </si>
  <si>
    <t>1.安装部位:室内
2.介质:空调冷凝水
3.材质、规格:硬聚氯乙稀管PVC-U De40
4.连接形式:粘接连接
5.含成品管卡
6.其它说明：满足规范和设计图纸要求</t>
  </si>
  <si>
    <t>1.名称：分歧管
2.规格：15.88*15.88*15.88
3.介质：冷剂管
4.其它说明：满足规范和设计图纸要求</t>
  </si>
  <si>
    <t>1.名称：分歧管
2.规格：9.53*9.53*9.53
3.介质：冷剂管
4.其它说明：满足规范和设计图纸要求</t>
  </si>
  <si>
    <t>增加示范区弱电工程--清单工程程量清单</t>
  </si>
  <si>
    <t>工程名称：河南省洛阳市浩德地产伊河湾营销中心装饰工程--增加示范区弱电工程</t>
  </si>
  <si>
    <t>1.名称:摄像机
2.类别:网络一体化枪式摄像机
3.安装方式:立杆安装,颜色与园林结合
4.其它说明：满足规范和设计图纸要求</t>
  </si>
  <si>
    <t>大华</t>
  </si>
  <si>
    <t>1.名称:摄像机
2.类别:网络一体化球机
3.安装方式:立杆安装,颜色与园林结合
4.其它说明：满足规范和设计图纸要求</t>
  </si>
  <si>
    <t>1.名称:电梯轿厢摄像机
2.类别:详见图纸
3.安装方式:轿厢内安装
4.其它说明：满足规范和设计图纸要求</t>
  </si>
  <si>
    <t>监控立杆</t>
  </si>
  <si>
    <t>1.名称：监控立杆
2.型号、规格：镀锌烤漆 高3.5m
3.基础规格、浇筑材质：详见图纸
4.其它说明：满足规范和设计图纸要求</t>
  </si>
  <si>
    <t>定制</t>
  </si>
  <si>
    <t>1.名称:室外防水设备箱 ZP-RD-01/02
2.规格:600m*450mm*600mm
3.配置:含交换机、光纤收发器、光纤收发盒等
4.安装方式:落地
5.其它说明：满足规范和设计图纸要求</t>
  </si>
  <si>
    <t>机柜：定制
交换机、
收发器：普联</t>
  </si>
  <si>
    <t>1.名称:音箱
2.类别:室外防水
3.规格:15W 广音域
4.安装方式:选用现代样式音箱,与景观协调,并可对安装位置作微调
5.其它说明：满足规范和设计图纸要求</t>
  </si>
  <si>
    <t>菱声</t>
  </si>
  <si>
    <t>人(手）孔砌筑</t>
  </si>
  <si>
    <t>1.名称:弱电手孔井
2.规格:400m*400mm*800mm
3.做法详见图纸
4.其它说明：满足规范和设计图纸要求</t>
  </si>
  <si>
    <t>1.名称:弱电人孔井
2.规格:1000m*900mm*1200mm
3.做法详见图纸
4.其它说明：满足规范和设计图纸要求</t>
  </si>
  <si>
    <t>1.名称:单元门口机
2.规格:详见图纸
3.安装方式:嵌墙安装,安装高度底边距地1.3m
4.其它说明：满足规范和设计图纸要求</t>
  </si>
  <si>
    <t>海康威视</t>
  </si>
  <si>
    <t>1.名称:电气配管
2.材质、规格:PVC20
3.配置形式:埋地
4.其它说明：满足规范和设计图纸要求</t>
  </si>
  <si>
    <t>联塑</t>
  </si>
  <si>
    <t>1.名称:电气配管
2.材质、规格:PCV20
3.配置形式:暗配
4.其它说明：满足规范和设计图纸要求</t>
  </si>
  <si>
    <t>1.名称:电气配管
2.材质、规格:焊接钢管 SC50
3.配置形式:埋地
4.其它说明：满足规范和设计图纸要求</t>
  </si>
  <si>
    <t>1.名称:多芯软导线
2.规格、型号:RVV-2*1.0
3.敷设方式:穿管敷设
4.其它说明：满足规范和设计图纸要求</t>
  </si>
  <si>
    <t>1.名称:多芯软导线
2.规格、型号:RVS-2*1.5
3.敷设方式:穿管敷设
4.其它说明：满足规范和设计图纸要求</t>
  </si>
  <si>
    <t>1.名称:多芯软导线
2.规格、型号:RVV-3x2.5
3.敷设方式:管内敷设
4.其它说明：满足规范和设计图纸要求</t>
  </si>
  <si>
    <t>光缆</t>
  </si>
  <si>
    <t>1.名称：监控光缆
2.规格：4芯单模光纤
3.敷设方式：穿管敷设
4.其它说明：满足规范和设计图纸要求</t>
  </si>
  <si>
    <t>挖沟槽土方</t>
  </si>
  <si>
    <t>1.名称:土方开挖
2.土壤类别:综合考虑
3.挖土深度:详见图纸设计
4.其它说明：满足规范和设计图纸要求</t>
  </si>
  <si>
    <t>回填方</t>
  </si>
  <si>
    <t>1.名称:土方回填
2.密实度要求:夯填
3.填方材料品种:现场土
4填方粒径要求:满足图纸及规范要求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</si>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</sst>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45">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b/>
      <sz val="9"/>
      <name val="宋体"/>
      <charset val="134"/>
    </font>
    <font>
      <u/>
      <sz val="9"/>
      <name val="宋体"/>
      <charset val="134"/>
    </font>
    <font>
      <sz val="9"/>
      <name val="宋体"/>
      <charset val="134"/>
      <scheme val="minor"/>
    </font>
    <font>
      <sz val="12"/>
      <name val="宋体"/>
      <charset val="134"/>
    </font>
    <font>
      <b/>
      <sz val="16"/>
      <name val="宋体"/>
      <charset val="134"/>
    </font>
    <font>
      <sz val="10"/>
      <color theme="1"/>
      <name val="微软雅黑"/>
      <charset val="134"/>
    </font>
    <font>
      <sz val="10"/>
      <name val="微软雅黑"/>
      <charset val="134"/>
    </font>
    <font>
      <sz val="10"/>
      <color rgb="FFFF0000"/>
      <name val="微软雅黑"/>
      <charset val="134"/>
    </font>
    <font>
      <sz val="10"/>
      <color rgb="FFFF0000"/>
      <name val="宋体"/>
      <charset val="134"/>
    </font>
    <font>
      <b/>
      <sz val="10"/>
      <name val="宋体"/>
      <charset val="134"/>
    </font>
    <font>
      <b/>
      <sz val="16"/>
      <name val="楷体_GB2312"/>
      <charset val="134"/>
    </font>
    <font>
      <b/>
      <sz val="11"/>
      <name val="宋体"/>
      <charset val="134"/>
    </font>
    <font>
      <sz val="10.5"/>
      <name val="楷体_GB2312"/>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0" fillId="0" borderId="0">
      <alignment vertical="center"/>
    </xf>
    <xf numFmtId="43" fontId="21" fillId="0" borderId="0" applyFont="0" applyFill="0" applyBorder="0" applyAlignment="0" applyProtection="0">
      <alignment vertical="center"/>
    </xf>
    <xf numFmtId="0" fontId="10" fillId="0" borderId="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8" borderId="14"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lignment vertical="center"/>
    </xf>
    <xf numFmtId="0" fontId="10" fillId="0" borderId="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21" fillId="0" borderId="0">
      <alignment vertical="center"/>
    </xf>
    <xf numFmtId="0" fontId="25" fillId="10" borderId="0" applyNumberFormat="0" applyBorder="0" applyAlignment="0" applyProtection="0">
      <alignment vertical="center"/>
    </xf>
    <xf numFmtId="0" fontId="28" fillId="0" borderId="16" applyNumberFormat="0" applyFill="0" applyAlignment="0" applyProtection="0">
      <alignment vertical="center"/>
    </xf>
    <xf numFmtId="0" fontId="25" fillId="11" borderId="0" applyNumberFormat="0" applyBorder="0" applyAlignment="0" applyProtection="0">
      <alignment vertical="center"/>
    </xf>
    <xf numFmtId="0" fontId="34" fillId="12" borderId="17" applyNumberFormat="0" applyAlignment="0" applyProtection="0">
      <alignment vertical="center"/>
    </xf>
    <xf numFmtId="0" fontId="10" fillId="0" borderId="0">
      <alignment vertical="center"/>
    </xf>
    <xf numFmtId="0" fontId="35" fillId="12" borderId="13" applyNumberFormat="0" applyAlignment="0" applyProtection="0">
      <alignment vertical="center"/>
    </xf>
    <xf numFmtId="0" fontId="36" fillId="13" borderId="18"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10" fillId="0" borderId="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10" fillId="0" borderId="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0" fillId="0" borderId="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10" fillId="0" borderId="0">
      <alignment vertical="center"/>
    </xf>
    <xf numFmtId="0" fontId="10" fillId="0" borderId="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10" fillId="0" borderId="0">
      <alignment vertical="center"/>
    </xf>
    <xf numFmtId="0" fontId="10" fillId="0" borderId="0">
      <alignment vertical="center"/>
    </xf>
    <xf numFmtId="0" fontId="41" fillId="0" borderId="0">
      <alignment vertical="center"/>
    </xf>
    <xf numFmtId="176" fontId="42" fillId="0" borderId="1">
      <alignment horizontal="right" vertical="center" wrapText="1"/>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3" fillId="0" borderId="0"/>
    <xf numFmtId="0" fontId="21" fillId="0" borderId="0">
      <alignment vertical="center"/>
    </xf>
    <xf numFmtId="0" fontId="2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1" fillId="0" borderId="0">
      <alignment vertical="center"/>
    </xf>
    <xf numFmtId="176" fontId="42" fillId="0" borderId="1">
      <alignment horizontal="right" vertical="center" wrapText="1"/>
    </xf>
    <xf numFmtId="0" fontId="21" fillId="0" borderId="0">
      <alignment vertical="center"/>
    </xf>
    <xf numFmtId="0" fontId="10" fillId="0" borderId="0"/>
    <xf numFmtId="0" fontId="42" fillId="0" borderId="0" applyProtection="0">
      <alignment vertical="center"/>
    </xf>
    <xf numFmtId="0" fontId="4" fillId="0" borderId="0"/>
  </cellStyleXfs>
  <cellXfs count="12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0" fontId="4" fillId="0" borderId="0" xfId="81" applyFont="1" applyFill="1" applyAlignment="1">
      <alignment horizontal="center"/>
    </xf>
    <xf numFmtId="0" fontId="4" fillId="0" borderId="0" xfId="81" applyFont="1" applyFill="1" applyAlignment="1">
      <alignment horizontal="left"/>
    </xf>
    <xf numFmtId="0" fontId="4" fillId="0" borderId="0" xfId="81" applyFont="1" applyFill="1" applyAlignment="1">
      <alignment horizontal="center" vertical="center"/>
    </xf>
    <xf numFmtId="176" fontId="4" fillId="0" borderId="0" xfId="81" applyNumberFormat="1" applyFont="1" applyFill="1" applyAlignment="1">
      <alignment horizontal="center" vertical="center"/>
    </xf>
    <xf numFmtId="10" fontId="4" fillId="0" borderId="0" xfId="81" applyNumberFormat="1" applyFont="1" applyFill="1" applyAlignment="1">
      <alignment horizontal="center" vertical="center"/>
    </xf>
    <xf numFmtId="0" fontId="5" fillId="0" borderId="0" xfId="81" applyFont="1" applyFill="1" applyAlignment="1">
      <alignment horizontal="center" vertical="center" wrapText="1"/>
    </xf>
    <xf numFmtId="176" fontId="5" fillId="0" borderId="0" xfId="81" applyNumberFormat="1" applyFont="1" applyFill="1" applyAlignment="1">
      <alignment horizontal="center"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left" vertical="center" wrapText="1"/>
    </xf>
    <xf numFmtId="176" fontId="6" fillId="0" borderId="0" xfId="81" applyNumberFormat="1" applyFont="1" applyFill="1" applyAlignment="1">
      <alignment horizontal="center" vertical="center" wrapText="1"/>
    </xf>
    <xf numFmtId="0" fontId="6" fillId="0" borderId="1" xfId="81" applyFont="1" applyFill="1" applyBorder="1" applyAlignment="1">
      <alignment horizontal="center" vertical="center" wrapText="1"/>
    </xf>
    <xf numFmtId="176" fontId="6" fillId="0" borderId="1" xfId="81" applyNumberFormat="1" applyFont="1" applyFill="1" applyBorder="1" applyAlignment="1">
      <alignment horizontal="center" vertical="center" wrapText="1"/>
    </xf>
    <xf numFmtId="0" fontId="6" fillId="0" borderId="1" xfId="81" applyFont="1" applyFill="1" applyBorder="1" applyAlignment="1">
      <alignment horizontal="left" vertical="center" wrapText="1"/>
    </xf>
    <xf numFmtId="0" fontId="7" fillId="0" borderId="1" xfId="81" applyFont="1" applyFill="1" applyBorder="1" applyAlignment="1">
      <alignment horizontal="center" vertical="center" wrapText="1"/>
    </xf>
    <xf numFmtId="176" fontId="7" fillId="0" borderId="1" xfId="8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0" fontId="5" fillId="0" borderId="0" xfId="81" applyNumberFormat="1" applyFont="1" applyFill="1" applyAlignment="1">
      <alignment horizontal="center" vertical="center" wrapText="1"/>
    </xf>
    <xf numFmtId="10" fontId="6" fillId="0" borderId="0" xfId="81" applyNumberFormat="1" applyFont="1" applyFill="1" applyAlignment="1">
      <alignment horizontal="center" vertical="center" wrapText="1"/>
    </xf>
    <xf numFmtId="0" fontId="6" fillId="0" borderId="0" xfId="81" applyFont="1" applyFill="1" applyAlignment="1">
      <alignment horizontal="center" vertical="center" wrapText="1"/>
    </xf>
    <xf numFmtId="10" fontId="6" fillId="0" borderId="1" xfId="81" applyNumberFormat="1" applyFont="1" applyFill="1" applyBorder="1" applyAlignment="1">
      <alignment horizontal="center" vertical="center" wrapText="1"/>
    </xf>
    <xf numFmtId="10" fontId="8" fillId="0" borderId="1" xfId="81" applyNumberFormat="1" applyFont="1" applyFill="1" applyBorder="1" applyAlignment="1">
      <alignment horizontal="center" vertical="center" wrapText="1"/>
    </xf>
    <xf numFmtId="10" fontId="7" fillId="0" borderId="1" xfId="81" applyNumberFormat="1" applyFont="1" applyFill="1" applyBorder="1" applyAlignment="1">
      <alignment horizontal="center" vertical="center" wrapText="1"/>
    </xf>
    <xf numFmtId="176" fontId="7" fillId="0" borderId="2" xfId="81" applyNumberFormat="1" applyFont="1" applyFill="1" applyBorder="1" applyAlignment="1">
      <alignment horizontal="center" vertical="center" wrapText="1"/>
    </xf>
    <xf numFmtId="176" fontId="7" fillId="0" borderId="3" xfId="81" applyNumberFormat="1" applyFont="1" applyFill="1" applyBorder="1" applyAlignment="1">
      <alignment horizontal="center" vertical="center" wrapText="1"/>
    </xf>
    <xf numFmtId="0" fontId="2" fillId="0" borderId="0" xfId="0" applyFont="1" applyFill="1" applyBorder="1" applyAlignment="1" applyProtection="1">
      <alignment vertical="center" wrapText="1"/>
    </xf>
    <xf numFmtId="0" fontId="9" fillId="0" borderId="0" xfId="81" applyFont="1" applyFill="1" applyAlignment="1">
      <alignment horizontal="left"/>
    </xf>
    <xf numFmtId="0" fontId="9" fillId="0" borderId="0" xfId="81" applyFont="1" applyFill="1" applyAlignment="1">
      <alignment horizontal="center"/>
    </xf>
    <xf numFmtId="176" fontId="6" fillId="0" borderId="1" xfId="81" applyNumberFormat="1" applyFont="1" applyFill="1" applyBorder="1" applyAlignment="1">
      <alignment horizontal="right" vertical="center" wrapText="1"/>
    </xf>
    <xf numFmtId="9" fontId="6" fillId="0" borderId="1" xfId="13" applyFont="1" applyFill="1" applyBorder="1" applyAlignment="1" applyProtection="1">
      <alignment horizontal="center" vertical="center" wrapText="1"/>
    </xf>
    <xf numFmtId="9" fontId="6" fillId="0" borderId="1" xfId="13" applyNumberFormat="1" applyFont="1" applyFill="1" applyBorder="1" applyAlignment="1" applyProtection="1">
      <alignment horizontal="center" vertical="center" wrapText="1"/>
    </xf>
    <xf numFmtId="0" fontId="6" fillId="0" borderId="4" xfId="81" applyFont="1" applyFill="1" applyBorder="1" applyAlignment="1">
      <alignment horizontal="left" vertical="center" wrapText="1"/>
    </xf>
    <xf numFmtId="0" fontId="6" fillId="0" borderId="5" xfId="81" applyFont="1" applyFill="1" applyBorder="1" applyAlignment="1">
      <alignment horizontal="left" vertical="center" wrapText="1"/>
    </xf>
    <xf numFmtId="176" fontId="6" fillId="0" borderId="6" xfId="81" applyNumberFormat="1" applyFont="1" applyFill="1" applyBorder="1" applyAlignment="1">
      <alignment horizontal="center" vertical="center" wrapText="1"/>
    </xf>
    <xf numFmtId="176" fontId="6" fillId="0" borderId="7" xfId="81" applyNumberFormat="1" applyFont="1" applyFill="1" applyBorder="1" applyAlignment="1">
      <alignment horizontal="center" vertical="center" wrapText="1"/>
    </xf>
    <xf numFmtId="176" fontId="6" fillId="0" borderId="8" xfId="81" applyNumberFormat="1" applyFont="1" applyFill="1" applyBorder="1" applyAlignment="1">
      <alignment horizontal="center" vertical="center" wrapText="1"/>
    </xf>
    <xf numFmtId="176" fontId="6" fillId="0" borderId="9" xfId="81" applyNumberFormat="1" applyFont="1" applyFill="1" applyBorder="1" applyAlignment="1">
      <alignment horizontal="center" vertical="center" wrapText="1"/>
    </xf>
    <xf numFmtId="9" fontId="6" fillId="0" borderId="4" xfId="13" applyFont="1" applyFill="1" applyBorder="1" applyAlignment="1" applyProtection="1">
      <alignment horizontal="center" vertical="center" wrapText="1"/>
    </xf>
    <xf numFmtId="0" fontId="6" fillId="0" borderId="4" xfId="81" applyFont="1" applyFill="1" applyBorder="1" applyAlignment="1">
      <alignment horizontal="center" vertical="center" wrapText="1"/>
    </xf>
    <xf numFmtId="9" fontId="6" fillId="0" borderId="5" xfId="13" applyFont="1" applyFill="1" applyBorder="1" applyAlignment="1" applyProtection="1">
      <alignment horizontal="center" vertical="center" wrapText="1"/>
    </xf>
    <xf numFmtId="0" fontId="6" fillId="0" borderId="5" xfId="8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0" xfId="81" applyFont="1" applyFill="1" applyBorder="1" applyAlignment="1">
      <alignment horizontal="left" vertical="center" wrapText="1"/>
    </xf>
    <xf numFmtId="9" fontId="6" fillId="0" borderId="10" xfId="13" applyFont="1" applyFill="1" applyBorder="1" applyAlignment="1" applyProtection="1">
      <alignment horizontal="center" vertical="center" wrapText="1"/>
    </xf>
    <xf numFmtId="0" fontId="6" fillId="0" borderId="10" xfId="81" applyFont="1" applyFill="1" applyBorder="1" applyAlignment="1">
      <alignment horizontal="center" vertical="center" wrapText="1"/>
    </xf>
    <xf numFmtId="176" fontId="6" fillId="0" borderId="11" xfId="81" applyNumberFormat="1" applyFont="1" applyFill="1" applyBorder="1" applyAlignment="1">
      <alignment horizontal="center" vertical="center" wrapText="1"/>
    </xf>
    <xf numFmtId="176" fontId="6" fillId="0" borderId="12" xfId="81" applyNumberFormat="1" applyFont="1" applyFill="1" applyBorder="1" applyAlignment="1">
      <alignment horizontal="center"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0" fontId="4" fillId="0" borderId="0" xfId="81" applyAlignment="1">
      <alignment horizontal="left"/>
    </xf>
    <xf numFmtId="0" fontId="4" fillId="2" borderId="0" xfId="81" applyFont="1" applyFill="1" applyAlignment="1">
      <alignment horizontal="left"/>
    </xf>
    <xf numFmtId="0" fontId="4" fillId="0" borderId="0" xfId="81" applyFont="1" applyFill="1" applyAlignment="1">
      <alignment horizontal="center" vertical="center" wrapText="1"/>
    </xf>
    <xf numFmtId="177" fontId="6" fillId="0" borderId="1" xfId="81" applyNumberFormat="1" applyFont="1" applyFill="1" applyBorder="1" applyAlignment="1">
      <alignment horizontal="right" vertical="center" wrapText="1"/>
    </xf>
    <xf numFmtId="176" fontId="6" fillId="0" borderId="4" xfId="81" applyNumberFormat="1" applyFont="1" applyFill="1" applyBorder="1" applyAlignment="1">
      <alignment horizontal="right" vertical="center" wrapText="1"/>
    </xf>
    <xf numFmtId="177" fontId="6" fillId="0" borderId="4" xfId="81" applyNumberFormat="1" applyFont="1" applyFill="1" applyBorder="1" applyAlignment="1">
      <alignment horizontal="right" vertical="center" wrapText="1"/>
    </xf>
    <xf numFmtId="176" fontId="6" fillId="0" borderId="1" xfId="81" applyNumberFormat="1" applyFont="1" applyFill="1" applyBorder="1" applyAlignment="1">
      <alignment horizontal="left" vertical="center" wrapText="1"/>
    </xf>
    <xf numFmtId="176" fontId="6" fillId="0" borderId="6" xfId="81" applyNumberFormat="1" applyFont="1" applyFill="1" applyBorder="1" applyAlignment="1">
      <alignment horizontal="right" vertical="center" wrapText="1"/>
    </xf>
    <xf numFmtId="176" fontId="6" fillId="0" borderId="7" xfId="81" applyNumberFormat="1" applyFont="1" applyFill="1" applyBorder="1" applyAlignment="1">
      <alignment horizontal="right" vertical="center" wrapText="1"/>
    </xf>
    <xf numFmtId="0" fontId="9" fillId="0" borderId="0" xfId="81" applyFont="1" applyFill="1" applyAlignment="1">
      <alignment horizontal="center" vertical="center" wrapText="1"/>
    </xf>
    <xf numFmtId="177" fontId="6" fillId="0" borderId="4" xfId="81" applyNumberFormat="1" applyFont="1" applyFill="1" applyBorder="1" applyAlignment="1">
      <alignment horizontal="center" vertical="center" wrapText="1"/>
    </xf>
    <xf numFmtId="176" fontId="6" fillId="0" borderId="4" xfId="81" applyNumberFormat="1" applyFont="1" applyFill="1" applyBorder="1" applyAlignment="1">
      <alignment horizontal="center" vertical="center" wrapText="1"/>
    </xf>
    <xf numFmtId="177" fontId="6" fillId="0" borderId="5" xfId="81" applyNumberFormat="1" applyFont="1" applyFill="1" applyBorder="1" applyAlignment="1">
      <alignment horizontal="center" vertical="center" wrapText="1"/>
    </xf>
    <xf numFmtId="176" fontId="6" fillId="0" borderId="5" xfId="81" applyNumberFormat="1" applyFont="1" applyFill="1" applyBorder="1" applyAlignment="1">
      <alignment horizontal="center" vertical="center" wrapText="1"/>
    </xf>
    <xf numFmtId="176" fontId="6" fillId="0" borderId="10" xfId="81" applyNumberFormat="1" applyFont="1" applyFill="1" applyBorder="1" applyAlignment="1">
      <alignment horizontal="right" vertical="center" wrapText="1"/>
    </xf>
    <xf numFmtId="177" fontId="6" fillId="0" borderId="10" xfId="81" applyNumberFormat="1" applyFont="1" applyFill="1" applyBorder="1" applyAlignment="1">
      <alignment horizontal="right" vertical="center" wrapText="1"/>
    </xf>
    <xf numFmtId="176" fontId="6" fillId="0" borderId="5" xfId="81" applyNumberFormat="1" applyFont="1" applyFill="1" applyBorder="1" applyAlignment="1">
      <alignment horizontal="right" vertical="center" wrapText="1"/>
    </xf>
    <xf numFmtId="177" fontId="6" fillId="0" borderId="5" xfId="81" applyNumberFormat="1" applyFont="1" applyFill="1" applyBorder="1" applyAlignment="1">
      <alignment horizontal="right" vertical="center" wrapText="1"/>
    </xf>
    <xf numFmtId="176" fontId="6" fillId="0" borderId="4" xfId="81" applyNumberFormat="1" applyFont="1" applyFill="1" applyBorder="1" applyAlignment="1">
      <alignment horizontal="left" vertical="center" wrapText="1"/>
    </xf>
    <xf numFmtId="176" fontId="6" fillId="0" borderId="11" xfId="81" applyNumberFormat="1" applyFont="1" applyFill="1" applyBorder="1" applyAlignment="1">
      <alignment horizontal="right" vertical="center" wrapText="1"/>
    </xf>
    <xf numFmtId="176" fontId="6" fillId="0" borderId="12" xfId="81" applyNumberFormat="1" applyFont="1" applyFill="1" applyBorder="1" applyAlignment="1">
      <alignment horizontal="right" vertical="center" wrapText="1"/>
    </xf>
    <xf numFmtId="176" fontId="6" fillId="0" borderId="8" xfId="81" applyNumberFormat="1" applyFont="1" applyFill="1" applyBorder="1" applyAlignment="1">
      <alignment horizontal="right" vertical="center" wrapText="1"/>
    </xf>
    <xf numFmtId="176" fontId="6" fillId="0" borderId="9" xfId="81" applyNumberFormat="1" applyFont="1" applyFill="1" applyBorder="1" applyAlignment="1">
      <alignment horizontal="right" vertical="center" wrapText="1"/>
    </xf>
    <xf numFmtId="176" fontId="6" fillId="0" borderId="10" xfId="81" applyNumberFormat="1" applyFont="1" applyFill="1" applyBorder="1" applyAlignment="1">
      <alignment horizontal="center" vertical="center" wrapText="1"/>
    </xf>
    <xf numFmtId="177" fontId="6" fillId="0" borderId="1" xfId="81" applyNumberFormat="1" applyFont="1" applyFill="1" applyBorder="1" applyAlignment="1">
      <alignment vertical="center" wrapText="1"/>
    </xf>
    <xf numFmtId="176" fontId="6" fillId="0" borderId="1" xfId="81" applyNumberFormat="1" applyFont="1" applyFill="1" applyBorder="1" applyAlignment="1">
      <alignment vertical="center" wrapText="1"/>
    </xf>
    <xf numFmtId="9" fontId="6" fillId="0" borderId="1" xfId="81" applyNumberFormat="1" applyFont="1" applyFill="1" applyBorder="1" applyAlignment="1">
      <alignment horizontal="right" vertical="center" wrapText="1"/>
    </xf>
    <xf numFmtId="9" fontId="6" fillId="0" borderId="1" xfId="81" applyNumberFormat="1" applyFont="1" applyFill="1" applyBorder="1" applyAlignment="1">
      <alignment vertical="center" wrapText="1"/>
    </xf>
    <xf numFmtId="176" fontId="6" fillId="0" borderId="10" xfId="81" applyNumberFormat="1" applyFont="1" applyFill="1" applyBorder="1" applyAlignment="1">
      <alignment horizontal="left" vertical="center" wrapText="1"/>
    </xf>
    <xf numFmtId="176" fontId="6" fillId="0" borderId="5" xfId="81" applyNumberFormat="1" applyFont="1" applyFill="1" applyBorder="1" applyAlignment="1">
      <alignment horizontal="left" vertical="center" wrapText="1"/>
    </xf>
    <xf numFmtId="177" fontId="6" fillId="0" borderId="1" xfId="81" applyNumberFormat="1" applyFont="1" applyFill="1" applyBorder="1" applyAlignment="1">
      <alignment horizontal="center" vertical="center" wrapText="1"/>
    </xf>
    <xf numFmtId="9" fontId="6" fillId="0" borderId="1" xfId="13" applyFont="1" applyFill="1" applyBorder="1" applyAlignment="1" applyProtection="1">
      <alignment horizontal="left" vertical="center" wrapText="1"/>
    </xf>
    <xf numFmtId="0" fontId="10" fillId="0" borderId="0" xfId="0" applyFont="1" applyFill="1" applyBorder="1" applyAlignment="1">
      <alignment vertical="center"/>
    </xf>
    <xf numFmtId="0" fontId="0" fillId="0" borderId="0" xfId="0" applyFill="1" applyAlignment="1">
      <alignment horizontal="center"/>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0" fontId="10" fillId="0" borderId="0" xfId="0" applyNumberFormat="1" applyFont="1" applyFill="1" applyBorder="1" applyAlignment="1">
      <alignment vertical="center" wrapText="1"/>
    </xf>
    <xf numFmtId="0" fontId="17" fillId="0" borderId="0" xfId="0" applyFont="1" applyFill="1" applyAlignment="1">
      <alignment horizontal="center" vertical="center"/>
    </xf>
    <xf numFmtId="49" fontId="18" fillId="0" borderId="1" xfId="77" applyNumberFormat="1" applyFont="1" applyFill="1" applyBorder="1" applyAlignment="1" applyProtection="1">
      <alignment horizontal="left" vertical="center"/>
    </xf>
    <xf numFmtId="49" fontId="18" fillId="0" borderId="1" xfId="77" applyNumberFormat="1" applyFont="1" applyFill="1" applyBorder="1" applyAlignment="1" applyProtection="1">
      <alignment horizontal="left" vertical="center" wrapText="1"/>
    </xf>
    <xf numFmtId="0" fontId="17" fillId="0" borderId="0" xfId="0" applyFont="1" applyFill="1" applyBorder="1" applyAlignment="1">
      <alignment horizontal="center" vertical="center"/>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9" fillId="0" borderId="0" xfId="0" applyNumberFormat="1" applyFont="1" applyFill="1" applyBorder="1" applyAlignment="1">
      <alignment horizontal="justify" vertical="center" wrapText="1"/>
    </xf>
    <xf numFmtId="0" fontId="20"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9" fillId="0" borderId="0" xfId="0" applyNumberFormat="1" applyFont="1" applyFill="1" applyBorder="1" applyAlignment="1">
      <alignment horizontal="left" vertical="center" wrapText="1"/>
    </xf>
    <xf numFmtId="0" fontId="2" fillId="0" borderId="1" xfId="63"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8" fillId="0" borderId="0" xfId="0" applyFont="1" applyFill="1" applyAlignment="1">
      <alignment horizontal="left"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3232 2 2" xf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表体数字 3 2 6 5 3 2" xfId="63"/>
    <cellStyle name="常规 3"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4285714285714" defaultRowHeight="12.75"/>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2"/>
  <sheetViews>
    <sheetView topLeftCell="A7" workbookViewId="0">
      <selection activeCell="B9" sqref="A1:B22"/>
    </sheetView>
  </sheetViews>
  <sheetFormatPr defaultColWidth="10" defaultRowHeight="14.25" outlineLevelCol="3"/>
  <cols>
    <col min="1" max="1" width="6.42857142857143" style="101" customWidth="1"/>
    <col min="2" max="2" width="93.8571428571429" style="101" customWidth="1"/>
    <col min="3" max="3" width="10.2857142857143" style="101"/>
    <col min="4" max="4" width="10.2857142857143" style="101" customWidth="1"/>
    <col min="5" max="31" width="10.2857142857143" style="101"/>
    <col min="32" max="16384" width="10" style="101"/>
  </cols>
  <sheetData>
    <row r="1" ht="25" customHeight="1" spans="1:2">
      <c r="A1" s="115" t="s">
        <v>0</v>
      </c>
      <c r="B1" s="115"/>
    </row>
    <row r="2" s="114" customFormat="1" ht="17" customHeight="1" spans="1:4">
      <c r="A2" s="116" t="s">
        <v>1</v>
      </c>
      <c r="B2" s="117"/>
      <c r="D2" s="118"/>
    </row>
    <row r="3" s="114" customFormat="1" ht="23" customHeight="1" spans="1:4">
      <c r="A3" s="119">
        <v>1</v>
      </c>
      <c r="B3" s="120" t="s">
        <v>2</v>
      </c>
      <c r="D3" s="121"/>
    </row>
    <row r="4" s="114" customFormat="1" ht="73" customHeight="1" spans="1:4">
      <c r="A4" s="119">
        <v>2</v>
      </c>
      <c r="B4" s="122" t="s">
        <v>3</v>
      </c>
      <c r="D4" s="121"/>
    </row>
    <row r="5" s="114" customFormat="1" ht="17" customHeight="1" spans="1:4">
      <c r="A5" s="116" t="s">
        <v>4</v>
      </c>
      <c r="B5" s="117"/>
      <c r="D5" s="121"/>
    </row>
    <row r="6" s="114" customFormat="1" ht="71" customHeight="1" spans="1:4">
      <c r="A6" s="123">
        <v>1</v>
      </c>
      <c r="B6" s="124" t="s">
        <v>5</v>
      </c>
      <c r="D6" s="121"/>
    </row>
    <row r="7" s="114" customFormat="1" ht="57" customHeight="1" spans="1:4">
      <c r="A7" s="123">
        <v>2</v>
      </c>
      <c r="B7" s="124" t="s">
        <v>6</v>
      </c>
      <c r="D7" s="121"/>
    </row>
    <row r="8" s="114" customFormat="1" ht="45" customHeight="1" spans="1:4">
      <c r="A8" s="123">
        <v>3</v>
      </c>
      <c r="B8" s="124" t="s">
        <v>7</v>
      </c>
      <c r="D8" s="121"/>
    </row>
    <row r="9" s="114" customFormat="1" ht="66" customHeight="1" spans="1:4">
      <c r="A9" s="123">
        <v>4</v>
      </c>
      <c r="B9" s="124" t="s">
        <v>8</v>
      </c>
      <c r="D9" s="125"/>
    </row>
    <row r="10" ht="39" customHeight="1" spans="1:4">
      <c r="A10" s="123">
        <v>5</v>
      </c>
      <c r="B10" s="126" t="s">
        <v>9</v>
      </c>
      <c r="D10" s="125"/>
    </row>
    <row r="11" ht="54" customHeight="1" spans="1:4">
      <c r="A11" s="123">
        <v>6</v>
      </c>
      <c r="B11" s="127" t="s">
        <v>10</v>
      </c>
      <c r="D11" s="125"/>
    </row>
    <row r="12" ht="54" customHeight="1" spans="1:2">
      <c r="A12" s="123">
        <v>7</v>
      </c>
      <c r="B12" s="127" t="s">
        <v>11</v>
      </c>
    </row>
    <row r="13" ht="44" customHeight="1" spans="1:2">
      <c r="A13" s="123">
        <v>8</v>
      </c>
      <c r="B13" s="127" t="s">
        <v>12</v>
      </c>
    </row>
    <row r="14" ht="24" customHeight="1" spans="1:2">
      <c r="A14" s="123">
        <v>9</v>
      </c>
      <c r="B14" s="127" t="s">
        <v>13</v>
      </c>
    </row>
    <row r="15" ht="16" customHeight="1" spans="1:2">
      <c r="A15" s="116" t="s">
        <v>14</v>
      </c>
      <c r="B15" s="117"/>
    </row>
    <row r="16" ht="31" customHeight="1" spans="1:2">
      <c r="A16" s="123">
        <v>1</v>
      </c>
      <c r="B16" s="120" t="s">
        <v>15</v>
      </c>
    </row>
    <row r="17" ht="22" customHeight="1" spans="1:2">
      <c r="A17" s="123">
        <v>2</v>
      </c>
      <c r="B17" s="120" t="s">
        <v>16</v>
      </c>
    </row>
    <row r="18" ht="12.75" spans="1:2">
      <c r="A18" s="123">
        <v>3</v>
      </c>
      <c r="B18" s="120" t="s">
        <v>17</v>
      </c>
    </row>
    <row r="19" ht="18" customHeight="1" spans="1:2">
      <c r="A19" s="116" t="s">
        <v>18</v>
      </c>
      <c r="B19" s="117"/>
    </row>
    <row r="20" ht="18" customHeight="1" spans="1:2">
      <c r="A20" s="123">
        <v>1</v>
      </c>
      <c r="B20" s="120" t="s">
        <v>19</v>
      </c>
    </row>
    <row r="21" ht="116" customHeight="1" spans="1:2">
      <c r="A21" s="123">
        <v>2</v>
      </c>
      <c r="B21" s="120" t="s">
        <v>20</v>
      </c>
    </row>
    <row r="22" ht="13.5" spans="1:2">
      <c r="A22" s="128" t="s">
        <v>21</v>
      </c>
      <c r="B22" s="128"/>
    </row>
  </sheetData>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E6" sqref="E6"/>
    </sheetView>
  </sheetViews>
  <sheetFormatPr defaultColWidth="8.85714285714286" defaultRowHeight="12.75" outlineLevelRow="5" outlineLevelCol="5"/>
  <cols>
    <col min="1" max="1" width="8.85714285714286" style="4"/>
    <col min="2" max="2" width="24.4285714285714" style="4" customWidth="1"/>
    <col min="3" max="3" width="8.14285714285714" style="102" customWidth="1"/>
    <col min="4" max="4" width="17.4285714285714" style="4" customWidth="1"/>
    <col min="5" max="5" width="17.1428571428571" style="4" customWidth="1"/>
    <col min="6" max="6" width="10.2857142857143" style="4" customWidth="1"/>
    <col min="7" max="7" width="8.85714285714286" style="4"/>
    <col min="8" max="8" width="14.5714285714286" style="4"/>
    <col min="9" max="16384" width="8.85714285714286" style="4"/>
  </cols>
  <sheetData>
    <row r="1" s="101" customFormat="1" ht="48" customHeight="1" spans="1:6">
      <c r="A1" s="103" t="s">
        <v>22</v>
      </c>
      <c r="B1" s="103"/>
      <c r="C1" s="103"/>
      <c r="D1" s="103"/>
      <c r="E1" s="103"/>
      <c r="F1" s="103"/>
    </row>
    <row r="2" s="101" customFormat="1" ht="30" customHeight="1" spans="1:6">
      <c r="A2" s="104" t="s">
        <v>23</v>
      </c>
      <c r="B2" s="104" t="s">
        <v>24</v>
      </c>
      <c r="C2" s="104" t="s">
        <v>25</v>
      </c>
      <c r="D2" s="105" t="s">
        <v>26</v>
      </c>
      <c r="E2" s="105" t="s">
        <v>27</v>
      </c>
      <c r="F2" s="106" t="s">
        <v>28</v>
      </c>
    </row>
    <row r="3" s="101" customFormat="1" ht="30" customHeight="1" spans="1:6">
      <c r="A3" s="104" t="s">
        <v>29</v>
      </c>
      <c r="B3" s="107" t="s">
        <v>30</v>
      </c>
      <c r="C3" s="104"/>
      <c r="D3" s="108">
        <v>4333086.94259836</v>
      </c>
      <c r="E3" s="108">
        <v>4095594.58419318</v>
      </c>
      <c r="F3" s="109"/>
    </row>
    <row r="4" s="101" customFormat="1" ht="30" customHeight="1" spans="1:6">
      <c r="A4" s="110" t="s">
        <v>31</v>
      </c>
      <c r="B4" s="107" t="s">
        <v>32</v>
      </c>
      <c r="C4" s="110" t="s">
        <v>33</v>
      </c>
      <c r="D4" s="108">
        <v>1218586.47023414</v>
      </c>
      <c r="E4" s="108">
        <v>1218586.47023414</v>
      </c>
      <c r="F4" s="111"/>
    </row>
    <row r="5" s="101" customFormat="1" ht="30" customHeight="1" spans="1:6">
      <c r="A5" s="110" t="s">
        <v>34</v>
      </c>
      <c r="B5" s="107" t="s">
        <v>35</v>
      </c>
      <c r="C5" s="110" t="s">
        <v>33</v>
      </c>
      <c r="D5" s="108">
        <v>125441.383800628</v>
      </c>
      <c r="E5" s="108">
        <v>125441.383800628</v>
      </c>
      <c r="F5" s="111"/>
    </row>
    <row r="6" s="101" customFormat="1" ht="30" customHeight="1" spans="1:6">
      <c r="A6" s="112" t="s">
        <v>27</v>
      </c>
      <c r="B6" s="112"/>
      <c r="C6" s="112"/>
      <c r="D6" s="108"/>
      <c r="E6" s="113">
        <f>E5+E4+E3</f>
        <v>5439622.43822795</v>
      </c>
      <c r="F6" s="9"/>
    </row>
  </sheetData>
  <mergeCells count="2">
    <mergeCell ref="A1:F1"/>
    <mergeCell ref="A6:B6"/>
  </mergeCells>
  <pageMargins left="0.751388888888889" right="0.751388888888889" top="1" bottom="1"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4285714285714" defaultRowHeight="12.75"/>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7"/>
  <sheetViews>
    <sheetView zoomScale="145" zoomScaleNormal="145" workbookViewId="0">
      <pane ySplit="5" topLeftCell="A326" activePane="bottomLeft" state="frozen"/>
      <selection/>
      <selection pane="bottomLeft" activeCell="O336" sqref="O336"/>
    </sheetView>
  </sheetViews>
  <sheetFormatPr defaultColWidth="9" defaultRowHeight="16.5" customHeight="1"/>
  <cols>
    <col min="1" max="1" width="5.28571428571429" style="21" customWidth="1"/>
    <col min="2" max="2" width="9.43809523809524" style="21" customWidth="1"/>
    <col min="3" max="3" width="28.4190476190476" style="21" customWidth="1"/>
    <col min="4" max="4" width="6.42857142857143" style="21" customWidth="1"/>
    <col min="5" max="5" width="6" style="21" customWidth="1"/>
    <col min="6" max="6" width="7.28571428571429" style="21" customWidth="1"/>
    <col min="7" max="7" width="11.0857142857143" style="21" customWidth="1"/>
    <col min="8" max="8" width="7.37142857142857" style="21" customWidth="1"/>
    <col min="9" max="9" width="5.85714285714286" style="21" customWidth="1"/>
    <col min="10" max="10" width="8.69523809523809" style="21" customWidth="1"/>
    <col min="11" max="11" width="8.57142857142857" style="21" customWidth="1"/>
    <col min="12" max="12" width="8.14285714285714" style="21" customWidth="1"/>
    <col min="13" max="13" width="0.333333333333333" style="21" customWidth="1"/>
    <col min="14" max="14" width="11.6857142857143" style="21" customWidth="1"/>
    <col min="15" max="15" width="11.1714285714286" style="21" customWidth="1"/>
    <col min="16" max="16" width="8.57142857142857" style="21" customWidth="1"/>
    <col min="17" max="17" width="12.2857142857143" style="71" customWidth="1"/>
    <col min="18" max="19" width="11" style="21"/>
    <col min="20" max="16384" width="9" style="21"/>
  </cols>
  <sheetData>
    <row r="1" s="69" customFormat="1" customHeight="1" spans="1:21">
      <c r="A1" s="25" t="s">
        <v>36</v>
      </c>
      <c r="B1" s="25"/>
      <c r="C1" s="25"/>
      <c r="D1" s="25"/>
      <c r="E1" s="25"/>
      <c r="F1" s="25"/>
      <c r="G1" s="25"/>
      <c r="H1" s="25"/>
      <c r="I1" s="25"/>
      <c r="J1" s="25"/>
      <c r="K1" s="25"/>
      <c r="L1" s="25"/>
      <c r="M1" s="25"/>
      <c r="N1" s="25"/>
      <c r="O1" s="25"/>
      <c r="P1" s="25"/>
      <c r="Q1" s="78"/>
      <c r="R1" s="46"/>
      <c r="S1" s="46"/>
      <c r="T1" s="46"/>
      <c r="U1" s="46"/>
    </row>
    <row r="2" s="69" customFormat="1" customHeight="1" spans="1:21">
      <c r="A2" s="27" t="s">
        <v>37</v>
      </c>
      <c r="B2" s="27"/>
      <c r="C2" s="27"/>
      <c r="D2" s="27"/>
      <c r="E2" s="27"/>
      <c r="F2" s="27"/>
      <c r="G2" s="27"/>
      <c r="H2" s="27"/>
      <c r="I2" s="27"/>
      <c r="J2" s="27"/>
      <c r="K2" s="27"/>
      <c r="L2" s="27"/>
      <c r="M2" s="27"/>
      <c r="N2" s="27"/>
      <c r="O2" s="27"/>
      <c r="P2" s="27"/>
      <c r="Q2" s="78"/>
      <c r="R2" s="46"/>
      <c r="S2" s="46"/>
      <c r="T2" s="46"/>
      <c r="U2" s="46"/>
    </row>
    <row r="3" s="69" customFormat="1" customHeight="1" spans="1:21">
      <c r="A3" s="32" t="s">
        <v>38</v>
      </c>
      <c r="B3" s="32" t="s">
        <v>39</v>
      </c>
      <c r="C3" s="32" t="s">
        <v>40</v>
      </c>
      <c r="D3" s="32" t="s">
        <v>25</v>
      </c>
      <c r="E3" s="32" t="s">
        <v>41</v>
      </c>
      <c r="F3" s="32" t="s">
        <v>42</v>
      </c>
      <c r="G3" s="32"/>
      <c r="H3" s="32"/>
      <c r="I3" s="32"/>
      <c r="J3" s="32"/>
      <c r="K3" s="32"/>
      <c r="L3" s="32"/>
      <c r="M3" s="32" t="s">
        <v>43</v>
      </c>
      <c r="N3" s="32"/>
      <c r="O3" s="32" t="s">
        <v>44</v>
      </c>
      <c r="P3" s="32" t="s">
        <v>45</v>
      </c>
      <c r="Q3" s="78"/>
      <c r="R3" s="46"/>
      <c r="S3" s="46"/>
      <c r="T3" s="46"/>
      <c r="U3" s="46"/>
    </row>
    <row r="4" s="69" customFormat="1" customHeight="1" spans="1:21">
      <c r="A4" s="32"/>
      <c r="B4" s="32"/>
      <c r="C4" s="32"/>
      <c r="D4" s="32"/>
      <c r="E4" s="32"/>
      <c r="F4" s="32" t="s">
        <v>46</v>
      </c>
      <c r="G4" s="32" t="s">
        <v>47</v>
      </c>
      <c r="H4" s="32" t="s">
        <v>48</v>
      </c>
      <c r="I4" s="32" t="s">
        <v>49</v>
      </c>
      <c r="J4" s="32" t="s">
        <v>50</v>
      </c>
      <c r="K4" s="32" t="s">
        <v>51</v>
      </c>
      <c r="L4" s="32" t="s">
        <v>52</v>
      </c>
      <c r="M4" s="32"/>
      <c r="N4" s="32"/>
      <c r="O4" s="32"/>
      <c r="P4" s="32"/>
      <c r="Q4" s="78"/>
      <c r="R4" s="46"/>
      <c r="S4" s="46"/>
      <c r="T4" s="46"/>
      <c r="U4" s="46"/>
    </row>
    <row r="5" s="69" customFormat="1" customHeight="1" spans="1:21">
      <c r="A5" s="32"/>
      <c r="B5" s="32"/>
      <c r="C5" s="32"/>
      <c r="D5" s="32"/>
      <c r="E5" s="32"/>
      <c r="F5" s="32"/>
      <c r="G5" s="32" t="s">
        <v>53</v>
      </c>
      <c r="H5" s="32" t="s">
        <v>54</v>
      </c>
      <c r="I5" s="32" t="s">
        <v>55</v>
      </c>
      <c r="J5" s="32"/>
      <c r="K5" s="50">
        <v>0.06</v>
      </c>
      <c r="L5" s="50">
        <v>0.03</v>
      </c>
      <c r="M5" s="32"/>
      <c r="N5" s="32"/>
      <c r="O5" s="32"/>
      <c r="P5" s="32"/>
      <c r="Q5" s="78"/>
      <c r="R5" s="46"/>
      <c r="S5" s="46"/>
      <c r="T5" s="46"/>
      <c r="U5" s="46"/>
    </row>
    <row r="6" s="69" customFormat="1" customHeight="1" spans="1:21">
      <c r="A6" s="32"/>
      <c r="B6" s="32" t="s">
        <v>56</v>
      </c>
      <c r="C6" s="32"/>
      <c r="D6" s="32"/>
      <c r="E6" s="32"/>
      <c r="F6" s="72"/>
      <c r="G6" s="48"/>
      <c r="H6" s="72"/>
      <c r="I6" s="49"/>
      <c r="J6" s="48"/>
      <c r="K6" s="48"/>
      <c r="L6" s="48"/>
      <c r="M6" s="48">
        <f>SUM(O7:O11)</f>
        <v>156260.8174141</v>
      </c>
      <c r="N6" s="48"/>
      <c r="O6" s="48"/>
      <c r="P6" s="75"/>
      <c r="Q6" s="78"/>
      <c r="R6" s="46"/>
      <c r="S6" s="46"/>
      <c r="T6" s="46"/>
      <c r="U6" s="46"/>
    </row>
    <row r="7" s="69" customFormat="1" customHeight="1" outlineLevel="1" spans="1:21">
      <c r="A7" s="32">
        <v>1</v>
      </c>
      <c r="B7" s="32" t="s">
        <v>57</v>
      </c>
      <c r="C7" s="32" t="s">
        <v>58</v>
      </c>
      <c r="D7" s="32" t="s">
        <v>59</v>
      </c>
      <c r="E7" s="32">
        <v>10.11</v>
      </c>
      <c r="F7" s="72">
        <v>25</v>
      </c>
      <c r="G7" s="48">
        <f t="shared" ref="G7:G11" si="0">H7*(1+I7)</f>
        <v>15.75</v>
      </c>
      <c r="H7" s="72">
        <v>15</v>
      </c>
      <c r="I7" s="49">
        <v>0.05</v>
      </c>
      <c r="J7" s="48">
        <v>5</v>
      </c>
      <c r="K7" s="48">
        <f>(F7+G7+J7)*$K$5</f>
        <v>2.745</v>
      </c>
      <c r="L7" s="48">
        <f>(F7+G7+J7+K7)*$L$5</f>
        <v>1.45485</v>
      </c>
      <c r="M7" s="48">
        <f>(F7+G7+J7+K7+L7)*1.4</f>
        <v>69.92979</v>
      </c>
      <c r="N7" s="48"/>
      <c r="O7" s="48">
        <f t="shared" ref="O7:O11" si="1">M7*E7</f>
        <v>706.9901769</v>
      </c>
      <c r="P7" s="75"/>
      <c r="Q7" s="78" t="s">
        <v>60</v>
      </c>
      <c r="R7" s="46">
        <f>E7*M7</f>
        <v>706.9901769</v>
      </c>
      <c r="S7" s="46">
        <f>F7+G7+J7+K7+L7</f>
        <v>49.94985</v>
      </c>
      <c r="T7" s="46" t="b">
        <f>O7=R7</f>
        <v>1</v>
      </c>
      <c r="U7" s="46" t="b">
        <f>M7=S7</f>
        <v>0</v>
      </c>
    </row>
    <row r="8" s="69" customFormat="1" customHeight="1" outlineLevel="1" spans="1:21">
      <c r="A8" s="32">
        <v>2</v>
      </c>
      <c r="B8" s="32" t="s">
        <v>61</v>
      </c>
      <c r="C8" s="32" t="s">
        <v>62</v>
      </c>
      <c r="D8" s="32" t="s">
        <v>59</v>
      </c>
      <c r="E8" s="32">
        <v>228.14</v>
      </c>
      <c r="F8" s="72">
        <v>85</v>
      </c>
      <c r="G8" s="48">
        <f t="shared" si="0"/>
        <v>267.75</v>
      </c>
      <c r="H8" s="72">
        <v>255</v>
      </c>
      <c r="I8" s="49">
        <f t="shared" ref="I8:I11" si="2">I7</f>
        <v>0.05</v>
      </c>
      <c r="J8" s="48">
        <v>35</v>
      </c>
      <c r="K8" s="48">
        <f>(F8+G8+J8)*$K$5</f>
        <v>23.265</v>
      </c>
      <c r="L8" s="48">
        <f>(F8+G8+J8+K8)*$L$5</f>
        <v>12.33045</v>
      </c>
      <c r="M8" s="48">
        <f t="shared" ref="M8:M13" si="3">(F8+G8+J8+K8+L8)*1.4</f>
        <v>592.68363</v>
      </c>
      <c r="N8" s="48"/>
      <c r="O8" s="48">
        <f t="shared" si="1"/>
        <v>135214.8433482</v>
      </c>
      <c r="P8" s="75"/>
      <c r="Q8" s="78"/>
      <c r="R8" s="46">
        <f>E8*M8</f>
        <v>135214.8433482</v>
      </c>
      <c r="S8" s="46">
        <f>F8+G8+J8+K8+L8</f>
        <v>423.34545</v>
      </c>
      <c r="T8" s="46" t="b">
        <f>O8=R8</f>
        <v>1</v>
      </c>
      <c r="U8" s="46" t="b">
        <f>M8=S8</f>
        <v>0</v>
      </c>
    </row>
    <row r="9" s="69" customFormat="1" customHeight="1" outlineLevel="1" spans="1:21">
      <c r="A9" s="32">
        <v>3</v>
      </c>
      <c r="B9" s="32" t="s">
        <v>61</v>
      </c>
      <c r="C9" s="32" t="s">
        <v>63</v>
      </c>
      <c r="D9" s="32" t="s">
        <v>59</v>
      </c>
      <c r="E9" s="32">
        <v>10.86</v>
      </c>
      <c r="F9" s="72">
        <f t="shared" ref="F9:J9" si="4">F8</f>
        <v>85</v>
      </c>
      <c r="G9" s="48">
        <f t="shared" si="0"/>
        <v>267.75</v>
      </c>
      <c r="H9" s="72">
        <f t="shared" si="4"/>
        <v>255</v>
      </c>
      <c r="I9" s="49">
        <f t="shared" si="4"/>
        <v>0.05</v>
      </c>
      <c r="J9" s="48">
        <f t="shared" si="4"/>
        <v>35</v>
      </c>
      <c r="K9" s="48">
        <f>(F9+G9+J9)*$K$5</f>
        <v>23.265</v>
      </c>
      <c r="L9" s="48">
        <f>(F9+G9+J9+K9)*$L$5</f>
        <v>12.33045</v>
      </c>
      <c r="M9" s="48">
        <f t="shared" si="3"/>
        <v>592.68363</v>
      </c>
      <c r="N9" s="48"/>
      <c r="O9" s="48">
        <f t="shared" si="1"/>
        <v>6436.5442218</v>
      </c>
      <c r="P9" s="75"/>
      <c r="Q9" s="78"/>
      <c r="R9" s="46">
        <f>E9*M9</f>
        <v>6436.5442218</v>
      </c>
      <c r="S9" s="46">
        <f>F9+G9+J9+K9+L9</f>
        <v>423.34545</v>
      </c>
      <c r="T9" s="46" t="b">
        <f>O9=R9</f>
        <v>1</v>
      </c>
      <c r="U9" s="46" t="b">
        <f>M9=S9</f>
        <v>0</v>
      </c>
    </row>
    <row r="10" s="69" customFormat="1" customHeight="1" outlineLevel="1" spans="1:21">
      <c r="A10" s="32">
        <v>4</v>
      </c>
      <c r="B10" s="32" t="s">
        <v>64</v>
      </c>
      <c r="C10" s="32" t="s">
        <v>65</v>
      </c>
      <c r="D10" s="32" t="s">
        <v>59</v>
      </c>
      <c r="E10" s="32">
        <v>29.18</v>
      </c>
      <c r="F10" s="72">
        <v>65</v>
      </c>
      <c r="G10" s="48">
        <f t="shared" si="0"/>
        <v>68.25</v>
      </c>
      <c r="H10" s="72">
        <v>65</v>
      </c>
      <c r="I10" s="49">
        <f t="shared" si="2"/>
        <v>0.05</v>
      </c>
      <c r="J10" s="48">
        <f>J8</f>
        <v>35</v>
      </c>
      <c r="K10" s="48">
        <f>(F10+G10+J10)*$K$5</f>
        <v>10.095</v>
      </c>
      <c r="L10" s="48">
        <f>(F10+G10+J10+K10)*$L$5</f>
        <v>5.35035</v>
      </c>
      <c r="M10" s="48">
        <f t="shared" si="3"/>
        <v>257.17349</v>
      </c>
      <c r="N10" s="48"/>
      <c r="O10" s="48">
        <f t="shared" si="1"/>
        <v>7504.3224382</v>
      </c>
      <c r="P10" s="75" t="s">
        <v>66</v>
      </c>
      <c r="Q10" s="78"/>
      <c r="R10" s="46">
        <f>E10*M10</f>
        <v>7504.3224382</v>
      </c>
      <c r="S10" s="46">
        <f>F10+G10+J10+K10+L10</f>
        <v>183.69535</v>
      </c>
      <c r="T10" s="46" t="b">
        <f>O10=R10</f>
        <v>1</v>
      </c>
      <c r="U10" s="46" t="b">
        <f>M10=S10</f>
        <v>0</v>
      </c>
    </row>
    <row r="11" s="69" customFormat="1" ht="31" customHeight="1" outlineLevel="1" spans="1:21">
      <c r="A11" s="32">
        <v>5</v>
      </c>
      <c r="B11" s="32" t="s">
        <v>61</v>
      </c>
      <c r="C11" s="32" t="s">
        <v>67</v>
      </c>
      <c r="D11" s="32" t="s">
        <v>59</v>
      </c>
      <c r="E11" s="32">
        <v>4.69</v>
      </c>
      <c r="F11" s="72">
        <v>150</v>
      </c>
      <c r="G11" s="73">
        <f t="shared" si="0"/>
        <v>577.5</v>
      </c>
      <c r="H11" s="72">
        <v>550</v>
      </c>
      <c r="I11" s="49">
        <f t="shared" si="2"/>
        <v>0.05</v>
      </c>
      <c r="J11" s="48">
        <v>165</v>
      </c>
      <c r="K11" s="73">
        <f>(F11+G11+J11)*$K$5</f>
        <v>53.55</v>
      </c>
      <c r="L11" s="73">
        <f>(F11+G11+J11+K11)*$L$5</f>
        <v>28.3815</v>
      </c>
      <c r="M11" s="48">
        <f t="shared" si="3"/>
        <v>1364.2041</v>
      </c>
      <c r="N11" s="48"/>
      <c r="O11" s="73">
        <f t="shared" si="1"/>
        <v>6398.117229</v>
      </c>
      <c r="P11" s="75"/>
      <c r="Q11" s="78"/>
      <c r="R11" s="46">
        <f>E11*M11</f>
        <v>6398.117229</v>
      </c>
      <c r="S11" s="46">
        <f>F11+G11+J11+K11+L11</f>
        <v>974.4315</v>
      </c>
      <c r="T11" s="46" t="b">
        <f>O11=R11</f>
        <v>1</v>
      </c>
      <c r="U11" s="46" t="b">
        <f>M11=S11</f>
        <v>0</v>
      </c>
    </row>
    <row r="12" s="69" customFormat="1" customHeight="1" spans="1:21">
      <c r="A12" s="32"/>
      <c r="B12" s="32" t="s">
        <v>68</v>
      </c>
      <c r="C12" s="32"/>
      <c r="D12" s="32"/>
      <c r="E12" s="32"/>
      <c r="F12" s="72"/>
      <c r="G12" s="48"/>
      <c r="H12" s="72"/>
      <c r="I12" s="49"/>
      <c r="J12" s="48"/>
      <c r="K12" s="48"/>
      <c r="L12" s="48"/>
      <c r="M12" s="48">
        <f>SUM(O13:O15)</f>
        <v>250825.6152234</v>
      </c>
      <c r="N12" s="48"/>
      <c r="O12" s="48"/>
      <c r="P12" s="75"/>
      <c r="Q12" s="78"/>
      <c r="R12" s="46">
        <f t="shared" ref="R12:R75" si="5">E12*M12</f>
        <v>0</v>
      </c>
      <c r="S12" s="46">
        <f t="shared" ref="S12:S75" si="6">F12+G12+J12+K12+L12</f>
        <v>0</v>
      </c>
      <c r="T12" s="46" t="b">
        <f t="shared" ref="T12:T75" si="7">O12=R12</f>
        <v>1</v>
      </c>
      <c r="U12" s="46" t="b">
        <f t="shared" ref="U12:U75" si="8">M12=S12</f>
        <v>0</v>
      </c>
    </row>
    <row r="13" s="69" customFormat="1" customHeight="1" outlineLevel="1" spans="1:21">
      <c r="A13" s="32">
        <v>6</v>
      </c>
      <c r="B13" s="32" t="s">
        <v>69</v>
      </c>
      <c r="C13" s="32" t="s">
        <v>70</v>
      </c>
      <c r="D13" s="32" t="s">
        <v>59</v>
      </c>
      <c r="E13" s="32">
        <v>80.39</v>
      </c>
      <c r="F13" s="72">
        <v>125</v>
      </c>
      <c r="G13" s="48">
        <f t="shared" ref="G13:G15" si="9">H13*(1+I13)</f>
        <v>315</v>
      </c>
      <c r="H13" s="72">
        <v>300</v>
      </c>
      <c r="I13" s="49">
        <v>0.05</v>
      </c>
      <c r="J13" s="48">
        <v>105</v>
      </c>
      <c r="K13" s="48">
        <f>(F13+G13+J13)*$K$5</f>
        <v>32.7</v>
      </c>
      <c r="L13" s="48">
        <f>(F13+G13+J13+K13)*$L$5</f>
        <v>17.331</v>
      </c>
      <c r="M13" s="48">
        <f t="shared" si="3"/>
        <v>833.0434</v>
      </c>
      <c r="N13" s="48"/>
      <c r="O13" s="48">
        <f t="shared" ref="O13:O15" si="10">M13*E13</f>
        <v>66968.358926</v>
      </c>
      <c r="P13" s="75" t="s">
        <v>71</v>
      </c>
      <c r="Q13" s="78"/>
      <c r="R13" s="46">
        <f t="shared" si="5"/>
        <v>66968.358926</v>
      </c>
      <c r="S13" s="46">
        <f t="shared" si="6"/>
        <v>595.031</v>
      </c>
      <c r="T13" s="46" t="b">
        <f t="shared" si="7"/>
        <v>1</v>
      </c>
      <c r="U13" s="46" t="b">
        <f t="shared" si="8"/>
        <v>0</v>
      </c>
    </row>
    <row r="14" s="69" customFormat="1" customHeight="1" outlineLevel="1" spans="1:21">
      <c r="A14" s="32">
        <v>7</v>
      </c>
      <c r="B14" s="32" t="s">
        <v>72</v>
      </c>
      <c r="C14" s="32" t="s">
        <v>73</v>
      </c>
      <c r="D14" s="32" t="s">
        <v>59</v>
      </c>
      <c r="E14" s="32">
        <v>170.33</v>
      </c>
      <c r="F14" s="72">
        <v>155</v>
      </c>
      <c r="G14" s="48">
        <f t="shared" si="9"/>
        <v>324</v>
      </c>
      <c r="H14" s="72">
        <f>H13</f>
        <v>300</v>
      </c>
      <c r="I14" s="49">
        <v>0.08</v>
      </c>
      <c r="J14" s="48">
        <v>125</v>
      </c>
      <c r="K14" s="48">
        <f>(F14+G14+J14)*$K$5</f>
        <v>36.24</v>
      </c>
      <c r="L14" s="48">
        <f>(F14+G14+J14+K14)*$L$5</f>
        <v>19.2072</v>
      </c>
      <c r="M14" s="48">
        <f t="shared" ref="M14:M18" si="11">(F14+G14+J14+K14+L14)*1.4</f>
        <v>923.22608</v>
      </c>
      <c r="N14" s="48"/>
      <c r="O14" s="48">
        <f t="shared" si="10"/>
        <v>157253.0982064</v>
      </c>
      <c r="P14" s="75" t="str">
        <f>P13</f>
        <v>龙骨驰龙、石膏板泰山</v>
      </c>
      <c r="Q14" s="78"/>
      <c r="R14" s="46">
        <f t="shared" si="5"/>
        <v>157253.0982064</v>
      </c>
      <c r="S14" s="46">
        <f t="shared" si="6"/>
        <v>659.4472</v>
      </c>
      <c r="T14" s="46" t="b">
        <f t="shared" si="7"/>
        <v>1</v>
      </c>
      <c r="U14" s="46" t="b">
        <f t="shared" si="8"/>
        <v>0</v>
      </c>
    </row>
    <row r="15" s="69" customFormat="1" customHeight="1" outlineLevel="1" spans="1:21">
      <c r="A15" s="32">
        <v>8</v>
      </c>
      <c r="B15" s="32" t="s">
        <v>74</v>
      </c>
      <c r="C15" s="32" t="s">
        <v>75</v>
      </c>
      <c r="D15" s="32" t="s">
        <v>59</v>
      </c>
      <c r="E15" s="32">
        <v>48.55</v>
      </c>
      <c r="F15" s="72">
        <v>35</v>
      </c>
      <c r="G15" s="48">
        <f t="shared" si="9"/>
        <v>283.5</v>
      </c>
      <c r="H15" s="72">
        <v>270</v>
      </c>
      <c r="I15" s="49">
        <v>0.05</v>
      </c>
      <c r="J15" s="48">
        <v>40</v>
      </c>
      <c r="K15" s="48">
        <f>(F15+G15+J15)*$K$5</f>
        <v>21.51</v>
      </c>
      <c r="L15" s="48">
        <f>(F15+G15+J15+K15)*$L$5</f>
        <v>11.4003</v>
      </c>
      <c r="M15" s="48">
        <f t="shared" si="11"/>
        <v>547.97442</v>
      </c>
      <c r="N15" s="48"/>
      <c r="O15" s="48">
        <f t="shared" si="10"/>
        <v>26604.158091</v>
      </c>
      <c r="P15" s="75"/>
      <c r="Q15" s="78"/>
      <c r="R15" s="46">
        <f t="shared" si="5"/>
        <v>26604.158091</v>
      </c>
      <c r="S15" s="46">
        <f t="shared" si="6"/>
        <v>391.4103</v>
      </c>
      <c r="T15" s="46" t="b">
        <f t="shared" si="7"/>
        <v>1</v>
      </c>
      <c r="U15" s="46" t="b">
        <f t="shared" si="8"/>
        <v>0</v>
      </c>
    </row>
    <row r="16" s="69" customFormat="1" customHeight="1" spans="1:21">
      <c r="A16" s="32"/>
      <c r="B16" s="32" t="s">
        <v>76</v>
      </c>
      <c r="C16" s="32"/>
      <c r="D16" s="32"/>
      <c r="E16" s="32"/>
      <c r="F16" s="72"/>
      <c r="G16" s="48"/>
      <c r="H16" s="72"/>
      <c r="I16" s="49"/>
      <c r="J16" s="48"/>
      <c r="K16" s="48"/>
      <c r="L16" s="48"/>
      <c r="M16" s="48">
        <f>SUM(O17:O60)</f>
        <v>545902.186436496</v>
      </c>
      <c r="N16" s="48"/>
      <c r="O16" s="48"/>
      <c r="P16" s="75"/>
      <c r="Q16" s="78"/>
      <c r="R16" s="46">
        <f t="shared" si="5"/>
        <v>0</v>
      </c>
      <c r="S16" s="46">
        <f t="shared" si="6"/>
        <v>0</v>
      </c>
      <c r="T16" s="46" t="b">
        <f t="shared" si="7"/>
        <v>1</v>
      </c>
      <c r="U16" s="46" t="b">
        <f t="shared" si="8"/>
        <v>0</v>
      </c>
    </row>
    <row r="17" s="69" customFormat="1" customHeight="1" spans="1:21">
      <c r="A17" s="32"/>
      <c r="B17" s="32" t="s">
        <v>77</v>
      </c>
      <c r="C17" s="32"/>
      <c r="D17" s="32"/>
      <c r="E17" s="32"/>
      <c r="F17" s="72"/>
      <c r="G17" s="48"/>
      <c r="H17" s="72"/>
      <c r="I17" s="49"/>
      <c r="J17" s="48"/>
      <c r="K17" s="48"/>
      <c r="L17" s="48"/>
      <c r="M17" s="48"/>
      <c r="N17" s="48"/>
      <c r="O17" s="48"/>
      <c r="P17" s="75"/>
      <c r="Q17" s="78"/>
      <c r="R17" s="46">
        <f t="shared" si="5"/>
        <v>0</v>
      </c>
      <c r="S17" s="46">
        <f t="shared" si="6"/>
        <v>0</v>
      </c>
      <c r="T17" s="46" t="b">
        <f t="shared" si="7"/>
        <v>1</v>
      </c>
      <c r="U17" s="46" t="b">
        <f t="shared" si="8"/>
        <v>1</v>
      </c>
    </row>
    <row r="18" s="69" customFormat="1" customHeight="1" outlineLevel="1" spans="1:21">
      <c r="A18" s="32">
        <v>9</v>
      </c>
      <c r="B18" s="32" t="s">
        <v>78</v>
      </c>
      <c r="C18" s="32" t="s">
        <v>79</v>
      </c>
      <c r="D18" s="32" t="s">
        <v>59</v>
      </c>
      <c r="E18" s="32">
        <v>13.36</v>
      </c>
      <c r="F18" s="72">
        <v>190</v>
      </c>
      <c r="G18" s="48">
        <f t="shared" ref="G18:G25" si="12">H18*(1+I18)</f>
        <v>315</v>
      </c>
      <c r="H18" s="72">
        <v>300</v>
      </c>
      <c r="I18" s="49">
        <v>0.05</v>
      </c>
      <c r="J18" s="48">
        <v>150</v>
      </c>
      <c r="K18" s="48">
        <f>(F18+G18+J18)*$K$5</f>
        <v>39.3</v>
      </c>
      <c r="L18" s="48">
        <f>(F18+G18+J18+K18)*$L$5</f>
        <v>20.829</v>
      </c>
      <c r="M18" s="48">
        <f t="shared" si="11"/>
        <v>1001.1806</v>
      </c>
      <c r="N18" s="48"/>
      <c r="O18" s="48">
        <f t="shared" ref="O18:O25" si="13">M18*E18</f>
        <v>13375.772816</v>
      </c>
      <c r="P18" s="75" t="s">
        <v>80</v>
      </c>
      <c r="Q18" s="78"/>
      <c r="R18" s="46">
        <f t="shared" si="5"/>
        <v>13375.772816</v>
      </c>
      <c r="S18" s="46">
        <f t="shared" si="6"/>
        <v>715.129</v>
      </c>
      <c r="T18" s="46" t="b">
        <f t="shared" si="7"/>
        <v>1</v>
      </c>
      <c r="U18" s="46" t="b">
        <f t="shared" si="8"/>
        <v>0</v>
      </c>
    </row>
    <row r="19" s="69" customFormat="1" customHeight="1" outlineLevel="1" spans="1:21">
      <c r="A19" s="32">
        <v>10</v>
      </c>
      <c r="B19" s="32" t="s">
        <v>78</v>
      </c>
      <c r="C19" s="32" t="s">
        <v>81</v>
      </c>
      <c r="D19" s="32" t="s">
        <v>59</v>
      </c>
      <c r="E19" s="32">
        <v>14.5</v>
      </c>
      <c r="F19" s="72">
        <f>F18</f>
        <v>190</v>
      </c>
      <c r="G19" s="48">
        <f t="shared" si="12"/>
        <v>315</v>
      </c>
      <c r="H19" s="72">
        <f>H18</f>
        <v>300</v>
      </c>
      <c r="I19" s="49">
        <f>I18</f>
        <v>0.05</v>
      </c>
      <c r="J19" s="48">
        <f>J18</f>
        <v>150</v>
      </c>
      <c r="K19" s="48">
        <f>(F19+G19+J19)*$K$5</f>
        <v>39.3</v>
      </c>
      <c r="L19" s="48">
        <f>(F19+G19+J19+K19)*$L$5</f>
        <v>20.829</v>
      </c>
      <c r="M19" s="48">
        <f t="shared" ref="M19:M25" si="14">(F19+G19+J19+K19+L19)*1.4</f>
        <v>1001.1806</v>
      </c>
      <c r="N19" s="48"/>
      <c r="O19" s="48">
        <f t="shared" si="13"/>
        <v>14517.1187</v>
      </c>
      <c r="P19" s="75" t="str">
        <f>P18</f>
        <v>厂家定制</v>
      </c>
      <c r="Q19" s="78"/>
      <c r="R19" s="46">
        <f t="shared" si="5"/>
        <v>14517.1187</v>
      </c>
      <c r="S19" s="46">
        <f t="shared" si="6"/>
        <v>715.129</v>
      </c>
      <c r="T19" s="46" t="b">
        <f t="shared" si="7"/>
        <v>1</v>
      </c>
      <c r="U19" s="46" t="b">
        <f t="shared" si="8"/>
        <v>0</v>
      </c>
    </row>
    <row r="20" s="69" customFormat="1" customHeight="1" outlineLevel="1" spans="1:21">
      <c r="A20" s="32">
        <v>11</v>
      </c>
      <c r="B20" s="32" t="s">
        <v>78</v>
      </c>
      <c r="C20" s="32" t="s">
        <v>82</v>
      </c>
      <c r="D20" s="32" t="s">
        <v>59</v>
      </c>
      <c r="E20" s="32">
        <v>10.72</v>
      </c>
      <c r="F20" s="72">
        <f>F19</f>
        <v>190</v>
      </c>
      <c r="G20" s="48">
        <f t="shared" si="12"/>
        <v>336</v>
      </c>
      <c r="H20" s="72">
        <v>320</v>
      </c>
      <c r="I20" s="49">
        <v>0.05</v>
      </c>
      <c r="J20" s="48">
        <v>135</v>
      </c>
      <c r="K20" s="48">
        <f>(F20+G20+J20)*$K$5</f>
        <v>39.66</v>
      </c>
      <c r="L20" s="48">
        <f>(F20+G20+J20+K20)*$L$5</f>
        <v>21.0198</v>
      </c>
      <c r="M20" s="48">
        <f t="shared" si="14"/>
        <v>1010.35172</v>
      </c>
      <c r="N20" s="48"/>
      <c r="O20" s="48">
        <f t="shared" si="13"/>
        <v>10830.9704384</v>
      </c>
      <c r="P20" s="75"/>
      <c r="Q20" s="78"/>
      <c r="R20" s="46">
        <f t="shared" si="5"/>
        <v>10830.9704384</v>
      </c>
      <c r="S20" s="46">
        <f t="shared" si="6"/>
        <v>721.6798</v>
      </c>
      <c r="T20" s="46" t="b">
        <f t="shared" si="7"/>
        <v>1</v>
      </c>
      <c r="U20" s="46" t="b">
        <f t="shared" si="8"/>
        <v>0</v>
      </c>
    </row>
    <row r="21" s="69" customFormat="1" customHeight="1" outlineLevel="1" spans="1:21">
      <c r="A21" s="32">
        <v>12</v>
      </c>
      <c r="B21" s="32" t="s">
        <v>78</v>
      </c>
      <c r="C21" s="32" t="s">
        <v>83</v>
      </c>
      <c r="D21" s="32" t="s">
        <v>59</v>
      </c>
      <c r="E21" s="32">
        <v>13.07</v>
      </c>
      <c r="F21" s="72">
        <v>165</v>
      </c>
      <c r="G21" s="48">
        <f t="shared" si="12"/>
        <v>315</v>
      </c>
      <c r="H21" s="72">
        <f t="shared" ref="F21:J21" si="15">H19</f>
        <v>300</v>
      </c>
      <c r="I21" s="49">
        <f t="shared" si="15"/>
        <v>0.05</v>
      </c>
      <c r="J21" s="48">
        <v>120</v>
      </c>
      <c r="K21" s="48">
        <f>(F21+G21+J21)*$K$5</f>
        <v>36</v>
      </c>
      <c r="L21" s="48">
        <f>(F21+G21+J21+K21)*$L$5</f>
        <v>19.08</v>
      </c>
      <c r="M21" s="48">
        <f t="shared" si="14"/>
        <v>917.112</v>
      </c>
      <c r="N21" s="48"/>
      <c r="O21" s="48">
        <f t="shared" si="13"/>
        <v>11986.65384</v>
      </c>
      <c r="P21" s="75" t="str">
        <f>P18</f>
        <v>厂家定制</v>
      </c>
      <c r="Q21" s="78"/>
      <c r="R21" s="46">
        <f t="shared" si="5"/>
        <v>11986.65384</v>
      </c>
      <c r="S21" s="46">
        <f t="shared" si="6"/>
        <v>655.08</v>
      </c>
      <c r="T21" s="46" t="b">
        <f t="shared" si="7"/>
        <v>1</v>
      </c>
      <c r="U21" s="46" t="b">
        <f t="shared" si="8"/>
        <v>0</v>
      </c>
    </row>
    <row r="22" s="69" customFormat="1" customHeight="1" outlineLevel="1" spans="1:21">
      <c r="A22" s="32">
        <v>13</v>
      </c>
      <c r="B22" s="32" t="s">
        <v>84</v>
      </c>
      <c r="C22" s="32" t="s">
        <v>85</v>
      </c>
      <c r="D22" s="32" t="s">
        <v>59</v>
      </c>
      <c r="E22" s="32">
        <v>0.8</v>
      </c>
      <c r="F22" s="72">
        <v>150</v>
      </c>
      <c r="G22" s="48">
        <f t="shared" si="12"/>
        <v>462</v>
      </c>
      <c r="H22" s="72">
        <v>420</v>
      </c>
      <c r="I22" s="49">
        <v>0.1</v>
      </c>
      <c r="J22" s="48">
        <v>155</v>
      </c>
      <c r="K22" s="48">
        <f>(F22+G22+J22)*$K$5</f>
        <v>46.02</v>
      </c>
      <c r="L22" s="48">
        <f>(F22+G22+J22+K22)*$L$5</f>
        <v>24.3906</v>
      </c>
      <c r="M22" s="48">
        <f t="shared" si="14"/>
        <v>1172.37484</v>
      </c>
      <c r="N22" s="48"/>
      <c r="O22" s="48">
        <f t="shared" si="13"/>
        <v>937.899872</v>
      </c>
      <c r="P22" s="75"/>
      <c r="Q22" s="78"/>
      <c r="R22" s="46">
        <f t="shared" si="5"/>
        <v>937.899872</v>
      </c>
      <c r="S22" s="46">
        <f t="shared" si="6"/>
        <v>837.4106</v>
      </c>
      <c r="T22" s="46" t="b">
        <f t="shared" si="7"/>
        <v>1</v>
      </c>
      <c r="U22" s="46" t="b">
        <f t="shared" si="8"/>
        <v>0</v>
      </c>
    </row>
    <row r="23" s="69" customFormat="1" customHeight="1" outlineLevel="1" spans="1:21">
      <c r="A23" s="32">
        <v>14</v>
      </c>
      <c r="B23" s="32" t="s">
        <v>86</v>
      </c>
      <c r="C23" s="32" t="s">
        <v>87</v>
      </c>
      <c r="D23" s="32" t="s">
        <v>88</v>
      </c>
      <c r="E23" s="32">
        <v>12</v>
      </c>
      <c r="F23" s="72">
        <v>10</v>
      </c>
      <c r="G23" s="48">
        <f t="shared" si="12"/>
        <v>30.3</v>
      </c>
      <c r="H23" s="72">
        <v>30</v>
      </c>
      <c r="I23" s="49">
        <v>0.01</v>
      </c>
      <c r="J23" s="48">
        <v>1</v>
      </c>
      <c r="K23" s="48">
        <f>(F23+G23+J23)*$K$5</f>
        <v>2.478</v>
      </c>
      <c r="L23" s="48">
        <f>(F23+G23+J23+K23)*$L$5</f>
        <v>1.31334</v>
      </c>
      <c r="M23" s="48">
        <f t="shared" si="14"/>
        <v>63.127876</v>
      </c>
      <c r="N23" s="48"/>
      <c r="O23" s="48">
        <f t="shared" si="13"/>
        <v>757.534512</v>
      </c>
      <c r="P23" s="75"/>
      <c r="Q23" s="78"/>
      <c r="R23" s="46">
        <f t="shared" si="5"/>
        <v>757.534512</v>
      </c>
      <c r="S23" s="46">
        <f t="shared" si="6"/>
        <v>45.09134</v>
      </c>
      <c r="T23" s="46" t="b">
        <f t="shared" si="7"/>
        <v>1</v>
      </c>
      <c r="U23" s="46" t="b">
        <f t="shared" si="8"/>
        <v>0</v>
      </c>
    </row>
    <row r="24" s="69" customFormat="1" customHeight="1" outlineLevel="1" spans="1:21">
      <c r="A24" s="32">
        <v>15</v>
      </c>
      <c r="B24" s="32" t="s">
        <v>89</v>
      </c>
      <c r="C24" s="32" t="s">
        <v>90</v>
      </c>
      <c r="D24" s="32" t="s">
        <v>91</v>
      </c>
      <c r="E24" s="32">
        <v>2</v>
      </c>
      <c r="F24" s="72">
        <f>+(0.95+1.35)*2.5*150/2</f>
        <v>431.25</v>
      </c>
      <c r="G24" s="48">
        <f t="shared" si="12"/>
        <v>1597.0625</v>
      </c>
      <c r="H24" s="72">
        <f>+(0.95+1.35)*2.5*550/2</f>
        <v>1581.25</v>
      </c>
      <c r="I24" s="49">
        <v>0.01</v>
      </c>
      <c r="J24" s="48">
        <v>550</v>
      </c>
      <c r="K24" s="48">
        <f>(F24+G24+J24)*$K$5</f>
        <v>154.69875</v>
      </c>
      <c r="L24" s="48">
        <f>(F24+G24+J24+K24)*$L$5</f>
        <v>81.9903375</v>
      </c>
      <c r="M24" s="48">
        <f t="shared" si="14"/>
        <v>3941.0022225</v>
      </c>
      <c r="N24" s="48"/>
      <c r="O24" s="48">
        <f t="shared" si="13"/>
        <v>7882.004445</v>
      </c>
      <c r="P24" s="75"/>
      <c r="Q24" s="78"/>
      <c r="R24" s="46">
        <f t="shared" si="5"/>
        <v>7882.004445</v>
      </c>
      <c r="S24" s="46">
        <f t="shared" si="6"/>
        <v>2815.0015875</v>
      </c>
      <c r="T24" s="46" t="b">
        <f t="shared" si="7"/>
        <v>1</v>
      </c>
      <c r="U24" s="46" t="b">
        <f t="shared" si="8"/>
        <v>0</v>
      </c>
    </row>
    <row r="25" s="69" customFormat="1" customHeight="1" outlineLevel="1" spans="1:21">
      <c r="A25" s="32">
        <v>16</v>
      </c>
      <c r="B25" s="32" t="s">
        <v>92</v>
      </c>
      <c r="C25" s="32" t="s">
        <v>93</v>
      </c>
      <c r="D25" s="32" t="s">
        <v>94</v>
      </c>
      <c r="E25" s="32">
        <v>23.15</v>
      </c>
      <c r="F25" s="72">
        <v>115</v>
      </c>
      <c r="G25" s="48">
        <f t="shared" si="12"/>
        <v>237.35</v>
      </c>
      <c r="H25" s="72">
        <v>235</v>
      </c>
      <c r="I25" s="49">
        <v>0.01</v>
      </c>
      <c r="J25" s="48">
        <v>150</v>
      </c>
      <c r="K25" s="48">
        <f>(F25+G25+J25)*$K$5</f>
        <v>30.141</v>
      </c>
      <c r="L25" s="48">
        <f>(F25+G25+J25+K25)*$L$5</f>
        <v>15.97473</v>
      </c>
      <c r="M25" s="48">
        <f t="shared" si="14"/>
        <v>767.852022</v>
      </c>
      <c r="N25" s="48"/>
      <c r="O25" s="48">
        <f t="shared" si="13"/>
        <v>17775.7743093</v>
      </c>
      <c r="P25" s="75"/>
      <c r="Q25" s="78"/>
      <c r="R25" s="46">
        <f t="shared" si="5"/>
        <v>17775.7743093</v>
      </c>
      <c r="S25" s="46">
        <f t="shared" si="6"/>
        <v>548.46573</v>
      </c>
      <c r="T25" s="46" t="b">
        <f t="shared" si="7"/>
        <v>1</v>
      </c>
      <c r="U25" s="46" t="b">
        <f t="shared" si="8"/>
        <v>0</v>
      </c>
    </row>
    <row r="26" s="69" customFormat="1" customHeight="1" spans="1:21">
      <c r="A26" s="32"/>
      <c r="B26" s="32" t="s">
        <v>95</v>
      </c>
      <c r="C26" s="32"/>
      <c r="D26" s="32"/>
      <c r="E26" s="32"/>
      <c r="F26" s="72"/>
      <c r="G26" s="48"/>
      <c r="H26" s="72"/>
      <c r="I26" s="49"/>
      <c r="J26" s="48"/>
      <c r="K26" s="48"/>
      <c r="L26" s="48"/>
      <c r="M26" s="48"/>
      <c r="N26" s="48"/>
      <c r="O26" s="48"/>
      <c r="P26" s="75"/>
      <c r="Q26" s="78"/>
      <c r="R26" s="46">
        <f t="shared" si="5"/>
        <v>0</v>
      </c>
      <c r="S26" s="46">
        <f t="shared" si="6"/>
        <v>0</v>
      </c>
      <c r="T26" s="46" t="b">
        <f t="shared" si="7"/>
        <v>1</v>
      </c>
      <c r="U26" s="46" t="b">
        <f t="shared" si="8"/>
        <v>1</v>
      </c>
    </row>
    <row r="27" s="69" customFormat="1" customHeight="1" outlineLevel="1" spans="1:21">
      <c r="A27" s="32">
        <v>17</v>
      </c>
      <c r="B27" s="32" t="s">
        <v>89</v>
      </c>
      <c r="C27" s="32" t="s">
        <v>90</v>
      </c>
      <c r="D27" s="32" t="s">
        <v>91</v>
      </c>
      <c r="E27" s="32">
        <v>2</v>
      </c>
      <c r="F27" s="72">
        <f>+(0.97+1.8)*2.5*150/2</f>
        <v>519.375</v>
      </c>
      <c r="G27" s="48">
        <f t="shared" ref="G27:G33" si="16">H27*(1+I27)</f>
        <v>1853.47625</v>
      </c>
      <c r="H27" s="72">
        <f>+(0.97+1.8)*2.5*530/2</f>
        <v>1835.125</v>
      </c>
      <c r="I27" s="49">
        <v>0.01</v>
      </c>
      <c r="J27" s="48">
        <f>J24</f>
        <v>550</v>
      </c>
      <c r="K27" s="48">
        <f>(F27+G27+J27)*$K$5</f>
        <v>175.371075</v>
      </c>
      <c r="L27" s="48">
        <f>(F27+G27+J27+K27)*$L$5</f>
        <v>92.94666975</v>
      </c>
      <c r="M27" s="48">
        <f>(F27+G27+J27+K27+L27)*1.4</f>
        <v>4467.63659265</v>
      </c>
      <c r="N27" s="48"/>
      <c r="O27" s="48">
        <f t="shared" ref="O27:O33" si="17">M27*E27</f>
        <v>8935.2731853</v>
      </c>
      <c r="P27" s="75"/>
      <c r="Q27" s="78"/>
      <c r="R27" s="46">
        <f t="shared" si="5"/>
        <v>8935.2731853</v>
      </c>
      <c r="S27" s="46">
        <f t="shared" si="6"/>
        <v>3191.16899475</v>
      </c>
      <c r="T27" s="46" t="b">
        <f t="shared" si="7"/>
        <v>1</v>
      </c>
      <c r="U27" s="46" t="b">
        <f t="shared" si="8"/>
        <v>0</v>
      </c>
    </row>
    <row r="28" s="69" customFormat="1" customHeight="1" outlineLevel="1" spans="1:21">
      <c r="A28" s="32">
        <v>18</v>
      </c>
      <c r="B28" s="32" t="s">
        <v>96</v>
      </c>
      <c r="C28" s="32" t="s">
        <v>97</v>
      </c>
      <c r="D28" s="32" t="s">
        <v>59</v>
      </c>
      <c r="E28" s="32">
        <v>9.21</v>
      </c>
      <c r="F28" s="72">
        <v>150</v>
      </c>
      <c r="G28" s="48">
        <f t="shared" si="16"/>
        <v>441</v>
      </c>
      <c r="H28" s="72">
        <v>420</v>
      </c>
      <c r="I28" s="49">
        <v>0.05</v>
      </c>
      <c r="J28" s="48">
        <v>75</v>
      </c>
      <c r="K28" s="48">
        <f>(F28+G28+J28)*$K$5</f>
        <v>39.96</v>
      </c>
      <c r="L28" s="48">
        <f>(F28+G28+J28+K28)*$L$5</f>
        <v>21.1788</v>
      </c>
      <c r="M28" s="48">
        <f t="shared" ref="M28:M33" si="18">(F28+G28+J28+K28+L28)*1.4</f>
        <v>1017.99432</v>
      </c>
      <c r="N28" s="48"/>
      <c r="O28" s="48">
        <f t="shared" si="17"/>
        <v>9375.7276872</v>
      </c>
      <c r="P28" s="75"/>
      <c r="Q28" s="78"/>
      <c r="R28" s="46">
        <f t="shared" si="5"/>
        <v>9375.7276872</v>
      </c>
      <c r="S28" s="46">
        <f t="shared" si="6"/>
        <v>727.1388</v>
      </c>
      <c r="T28" s="46" t="b">
        <f t="shared" si="7"/>
        <v>1</v>
      </c>
      <c r="U28" s="46" t="b">
        <f t="shared" si="8"/>
        <v>0</v>
      </c>
    </row>
    <row r="29" s="69" customFormat="1" customHeight="1" outlineLevel="1" spans="1:21">
      <c r="A29" s="32">
        <v>19</v>
      </c>
      <c r="B29" s="32" t="s">
        <v>78</v>
      </c>
      <c r="C29" s="32" t="s">
        <v>98</v>
      </c>
      <c r="D29" s="32" t="s">
        <v>59</v>
      </c>
      <c r="E29" s="32">
        <v>23.25</v>
      </c>
      <c r="F29" s="72">
        <f>F18</f>
        <v>190</v>
      </c>
      <c r="G29" s="48">
        <f t="shared" si="16"/>
        <v>315</v>
      </c>
      <c r="H29" s="72">
        <f t="shared" ref="F29:J29" si="19">H18</f>
        <v>300</v>
      </c>
      <c r="I29" s="49">
        <f t="shared" si="19"/>
        <v>0.05</v>
      </c>
      <c r="J29" s="48">
        <f t="shared" si="19"/>
        <v>150</v>
      </c>
      <c r="K29" s="48">
        <f>(F29+G29+J29)*$K$5</f>
        <v>39.3</v>
      </c>
      <c r="L29" s="48">
        <f>(F29+G29+J29+K29)*$L$5</f>
        <v>20.829</v>
      </c>
      <c r="M29" s="48">
        <f t="shared" si="18"/>
        <v>1001.1806</v>
      </c>
      <c r="N29" s="48"/>
      <c r="O29" s="48">
        <f t="shared" si="17"/>
        <v>23277.44895</v>
      </c>
      <c r="P29" s="75" t="str">
        <f>P21</f>
        <v>厂家定制</v>
      </c>
      <c r="Q29" s="78"/>
      <c r="R29" s="46">
        <f t="shared" si="5"/>
        <v>23277.44895</v>
      </c>
      <c r="S29" s="46">
        <f t="shared" si="6"/>
        <v>715.129</v>
      </c>
      <c r="T29" s="46" t="b">
        <f t="shared" si="7"/>
        <v>1</v>
      </c>
      <c r="U29" s="46" t="b">
        <f t="shared" si="8"/>
        <v>0</v>
      </c>
    </row>
    <row r="30" s="69" customFormat="1" customHeight="1" outlineLevel="1" spans="1:21">
      <c r="A30" s="32">
        <v>20</v>
      </c>
      <c r="B30" s="32" t="s">
        <v>78</v>
      </c>
      <c r="C30" s="32" t="s">
        <v>99</v>
      </c>
      <c r="D30" s="32" t="s">
        <v>59</v>
      </c>
      <c r="E30" s="32">
        <v>14.5</v>
      </c>
      <c r="F30" s="72">
        <f t="shared" ref="F30:J30" si="20">F19</f>
        <v>190</v>
      </c>
      <c r="G30" s="48">
        <f t="shared" si="16"/>
        <v>315</v>
      </c>
      <c r="H30" s="72">
        <f t="shared" si="20"/>
        <v>300</v>
      </c>
      <c r="I30" s="49">
        <f t="shared" si="20"/>
        <v>0.05</v>
      </c>
      <c r="J30" s="48">
        <f t="shared" si="20"/>
        <v>150</v>
      </c>
      <c r="K30" s="48">
        <f>(F30+G30+J30)*$K$5</f>
        <v>39.3</v>
      </c>
      <c r="L30" s="48">
        <f>(F30+G30+J30+K30)*$L$5</f>
        <v>20.829</v>
      </c>
      <c r="M30" s="48">
        <f t="shared" si="18"/>
        <v>1001.1806</v>
      </c>
      <c r="N30" s="48"/>
      <c r="O30" s="48">
        <f t="shared" si="17"/>
        <v>14517.1187</v>
      </c>
      <c r="P30" s="75" t="str">
        <f>P29</f>
        <v>厂家定制</v>
      </c>
      <c r="Q30" s="78"/>
      <c r="R30" s="46">
        <f t="shared" si="5"/>
        <v>14517.1187</v>
      </c>
      <c r="S30" s="46">
        <f t="shared" si="6"/>
        <v>715.129</v>
      </c>
      <c r="T30" s="46" t="b">
        <f t="shared" si="7"/>
        <v>1</v>
      </c>
      <c r="U30" s="46" t="b">
        <f t="shared" si="8"/>
        <v>0</v>
      </c>
    </row>
    <row r="31" s="69" customFormat="1" customHeight="1" outlineLevel="1" spans="1:21">
      <c r="A31" s="32">
        <v>21</v>
      </c>
      <c r="B31" s="32" t="s">
        <v>78</v>
      </c>
      <c r="C31" s="32" t="s">
        <v>100</v>
      </c>
      <c r="D31" s="32" t="s">
        <v>59</v>
      </c>
      <c r="E31" s="32">
        <v>11.63</v>
      </c>
      <c r="F31" s="72">
        <f t="shared" ref="F31:J31" si="21">F29</f>
        <v>190</v>
      </c>
      <c r="G31" s="48">
        <f t="shared" si="16"/>
        <v>315</v>
      </c>
      <c r="H31" s="72">
        <f t="shared" si="21"/>
        <v>300</v>
      </c>
      <c r="I31" s="49">
        <f t="shared" si="21"/>
        <v>0.05</v>
      </c>
      <c r="J31" s="48">
        <f t="shared" si="21"/>
        <v>150</v>
      </c>
      <c r="K31" s="48">
        <f>(F31+G31+J31)*$K$5</f>
        <v>39.3</v>
      </c>
      <c r="L31" s="48">
        <f>(F31+G31+J31+K31)*$L$5</f>
        <v>20.829</v>
      </c>
      <c r="M31" s="48">
        <f t="shared" si="18"/>
        <v>1001.1806</v>
      </c>
      <c r="N31" s="48"/>
      <c r="O31" s="48">
        <f t="shared" si="17"/>
        <v>11643.730378</v>
      </c>
      <c r="P31" s="75" t="str">
        <f>P29</f>
        <v>厂家定制</v>
      </c>
      <c r="Q31" s="78"/>
      <c r="R31" s="46">
        <f t="shared" si="5"/>
        <v>11643.730378</v>
      </c>
      <c r="S31" s="46">
        <f t="shared" si="6"/>
        <v>715.129</v>
      </c>
      <c r="T31" s="46" t="b">
        <f t="shared" si="7"/>
        <v>1</v>
      </c>
      <c r="U31" s="46" t="b">
        <f t="shared" si="8"/>
        <v>0</v>
      </c>
    </row>
    <row r="32" s="69" customFormat="1" customHeight="1" outlineLevel="1" spans="1:21">
      <c r="A32" s="32">
        <v>22</v>
      </c>
      <c r="B32" s="32" t="s">
        <v>84</v>
      </c>
      <c r="C32" s="32" t="s">
        <v>85</v>
      </c>
      <c r="D32" s="32" t="s">
        <v>59</v>
      </c>
      <c r="E32" s="32">
        <v>2.26</v>
      </c>
      <c r="F32" s="72">
        <f t="shared" ref="F32:J32" si="22">F22</f>
        <v>150</v>
      </c>
      <c r="G32" s="48">
        <f t="shared" si="16"/>
        <v>462</v>
      </c>
      <c r="H32" s="72">
        <f t="shared" si="22"/>
        <v>420</v>
      </c>
      <c r="I32" s="49">
        <f t="shared" si="22"/>
        <v>0.1</v>
      </c>
      <c r="J32" s="48">
        <f t="shared" si="22"/>
        <v>155</v>
      </c>
      <c r="K32" s="48">
        <f>(F32+G32+J32)*$K$5</f>
        <v>46.02</v>
      </c>
      <c r="L32" s="48">
        <f>(F32+G32+J32+K32)*$L$5</f>
        <v>24.3906</v>
      </c>
      <c r="M32" s="48">
        <f t="shared" si="18"/>
        <v>1172.37484</v>
      </c>
      <c r="N32" s="48"/>
      <c r="O32" s="48">
        <f t="shared" si="17"/>
        <v>2649.5671384</v>
      </c>
      <c r="P32" s="75"/>
      <c r="Q32" s="78"/>
      <c r="R32" s="46">
        <f t="shared" si="5"/>
        <v>2649.5671384</v>
      </c>
      <c r="S32" s="46">
        <f t="shared" si="6"/>
        <v>837.4106</v>
      </c>
      <c r="T32" s="46" t="b">
        <f t="shared" si="7"/>
        <v>1</v>
      </c>
      <c r="U32" s="46" t="b">
        <f t="shared" si="8"/>
        <v>0</v>
      </c>
    </row>
    <row r="33" s="69" customFormat="1" customHeight="1" outlineLevel="1" spans="1:21">
      <c r="A33" s="32">
        <v>23</v>
      </c>
      <c r="B33" s="32" t="s">
        <v>78</v>
      </c>
      <c r="C33" s="32" t="s">
        <v>83</v>
      </c>
      <c r="D33" s="32" t="s">
        <v>59</v>
      </c>
      <c r="E33" s="32">
        <v>10.61</v>
      </c>
      <c r="F33" s="72">
        <f>F21</f>
        <v>165</v>
      </c>
      <c r="G33" s="48">
        <f t="shared" si="16"/>
        <v>315</v>
      </c>
      <c r="H33" s="72">
        <f t="shared" ref="F33:J33" si="23">H21</f>
        <v>300</v>
      </c>
      <c r="I33" s="49">
        <f t="shared" si="23"/>
        <v>0.05</v>
      </c>
      <c r="J33" s="48">
        <f t="shared" si="23"/>
        <v>120</v>
      </c>
      <c r="K33" s="48">
        <f>(F33+G33+J33)*$K$5</f>
        <v>36</v>
      </c>
      <c r="L33" s="48">
        <f>(F33+G33+J33+K33)*$L$5</f>
        <v>19.08</v>
      </c>
      <c r="M33" s="48">
        <f t="shared" si="18"/>
        <v>917.112</v>
      </c>
      <c r="N33" s="48"/>
      <c r="O33" s="48">
        <f t="shared" si="17"/>
        <v>9730.55832</v>
      </c>
      <c r="P33" s="75" t="str">
        <f>P29</f>
        <v>厂家定制</v>
      </c>
      <c r="Q33" s="78"/>
      <c r="R33" s="46">
        <f t="shared" si="5"/>
        <v>9730.55832</v>
      </c>
      <c r="S33" s="46">
        <f t="shared" si="6"/>
        <v>655.08</v>
      </c>
      <c r="T33" s="46" t="b">
        <f t="shared" si="7"/>
        <v>1</v>
      </c>
      <c r="U33" s="46" t="b">
        <f t="shared" si="8"/>
        <v>0</v>
      </c>
    </row>
    <row r="34" s="69" customFormat="1" customHeight="1" spans="1:21">
      <c r="A34" s="32"/>
      <c r="B34" s="32" t="s">
        <v>101</v>
      </c>
      <c r="C34" s="32"/>
      <c r="D34" s="32"/>
      <c r="E34" s="32"/>
      <c r="F34" s="72"/>
      <c r="G34" s="48"/>
      <c r="H34" s="72"/>
      <c r="I34" s="49"/>
      <c r="J34" s="48"/>
      <c r="K34" s="48"/>
      <c r="L34" s="48"/>
      <c r="M34" s="48"/>
      <c r="N34" s="48"/>
      <c r="O34" s="48"/>
      <c r="P34" s="75"/>
      <c r="Q34" s="78"/>
      <c r="R34" s="46">
        <f t="shared" si="5"/>
        <v>0</v>
      </c>
      <c r="S34" s="46">
        <f t="shared" si="6"/>
        <v>0</v>
      </c>
      <c r="T34" s="46" t="b">
        <f t="shared" si="7"/>
        <v>1</v>
      </c>
      <c r="U34" s="46" t="b">
        <f t="shared" si="8"/>
        <v>1</v>
      </c>
    </row>
    <row r="35" s="69" customFormat="1" customHeight="1" outlineLevel="1" spans="1:21">
      <c r="A35" s="32">
        <v>24</v>
      </c>
      <c r="B35" s="32" t="s">
        <v>96</v>
      </c>
      <c r="C35" s="32" t="s">
        <v>102</v>
      </c>
      <c r="D35" s="32" t="s">
        <v>59</v>
      </c>
      <c r="E35" s="32">
        <v>25.86</v>
      </c>
      <c r="F35" s="72">
        <f t="shared" ref="F35:J35" si="24">F28</f>
        <v>150</v>
      </c>
      <c r="G35" s="48">
        <f t="shared" ref="G35:G37" si="25">H35*(1+I35)</f>
        <v>441</v>
      </c>
      <c r="H35" s="72">
        <f t="shared" si="24"/>
        <v>420</v>
      </c>
      <c r="I35" s="49">
        <f t="shared" si="24"/>
        <v>0.05</v>
      </c>
      <c r="J35" s="48">
        <f t="shared" si="24"/>
        <v>75</v>
      </c>
      <c r="K35" s="48">
        <f>(F35+G35+J35)*$K$5</f>
        <v>39.96</v>
      </c>
      <c r="L35" s="48">
        <f>(F35+G35+J35+K35)*$L$5</f>
        <v>21.1788</v>
      </c>
      <c r="M35" s="48">
        <f t="shared" ref="M35:M39" si="26">(F35+G35+J35+K35+L35)*1.4</f>
        <v>1017.99432</v>
      </c>
      <c r="N35" s="48"/>
      <c r="O35" s="48">
        <f t="shared" ref="O35:O37" si="27">M35*E35</f>
        <v>26325.3331152</v>
      </c>
      <c r="P35" s="75"/>
      <c r="Q35" s="78"/>
      <c r="R35" s="46">
        <f t="shared" si="5"/>
        <v>26325.3331152</v>
      </c>
      <c r="S35" s="46">
        <f t="shared" si="6"/>
        <v>727.1388</v>
      </c>
      <c r="T35" s="46" t="b">
        <f t="shared" si="7"/>
        <v>1</v>
      </c>
      <c r="U35" s="46" t="b">
        <f t="shared" si="8"/>
        <v>0</v>
      </c>
    </row>
    <row r="36" s="69" customFormat="1" customHeight="1" outlineLevel="1" spans="1:21">
      <c r="A36" s="32">
        <v>25</v>
      </c>
      <c r="B36" s="32" t="s">
        <v>78</v>
      </c>
      <c r="C36" s="32" t="s">
        <v>103</v>
      </c>
      <c r="D36" s="32" t="s">
        <v>59</v>
      </c>
      <c r="E36" s="32">
        <v>23.25</v>
      </c>
      <c r="F36" s="72">
        <f t="shared" ref="F36:J36" si="28">F29</f>
        <v>190</v>
      </c>
      <c r="G36" s="48">
        <f t="shared" si="25"/>
        <v>315</v>
      </c>
      <c r="H36" s="72">
        <f t="shared" si="28"/>
        <v>300</v>
      </c>
      <c r="I36" s="49">
        <f t="shared" si="28"/>
        <v>0.05</v>
      </c>
      <c r="J36" s="48">
        <f t="shared" si="28"/>
        <v>150</v>
      </c>
      <c r="K36" s="48">
        <f>(F36+G36+J36)*$K$5</f>
        <v>39.3</v>
      </c>
      <c r="L36" s="48">
        <f>(F36+G36+J36+K36)*$L$5</f>
        <v>20.829</v>
      </c>
      <c r="M36" s="48">
        <f t="shared" si="26"/>
        <v>1001.1806</v>
      </c>
      <c r="N36" s="48"/>
      <c r="O36" s="48">
        <f t="shared" si="27"/>
        <v>23277.44895</v>
      </c>
      <c r="P36" s="75" t="str">
        <f>P29</f>
        <v>厂家定制</v>
      </c>
      <c r="Q36" s="78"/>
      <c r="R36" s="46">
        <f t="shared" si="5"/>
        <v>23277.44895</v>
      </c>
      <c r="S36" s="46">
        <f t="shared" si="6"/>
        <v>715.129</v>
      </c>
      <c r="T36" s="46" t="b">
        <f t="shared" si="7"/>
        <v>1</v>
      </c>
      <c r="U36" s="46" t="b">
        <f t="shared" si="8"/>
        <v>0</v>
      </c>
    </row>
    <row r="37" s="69" customFormat="1" customHeight="1" outlineLevel="1" spans="1:21">
      <c r="A37" s="32">
        <v>26</v>
      </c>
      <c r="B37" s="32" t="s">
        <v>84</v>
      </c>
      <c r="C37" s="32" t="s">
        <v>104</v>
      </c>
      <c r="D37" s="32" t="s">
        <v>59</v>
      </c>
      <c r="E37" s="32">
        <v>0.91</v>
      </c>
      <c r="F37" s="72">
        <f t="shared" ref="F37:J37" si="29">F32</f>
        <v>150</v>
      </c>
      <c r="G37" s="48">
        <f t="shared" si="25"/>
        <v>462</v>
      </c>
      <c r="H37" s="72">
        <f t="shared" si="29"/>
        <v>420</v>
      </c>
      <c r="I37" s="49">
        <f t="shared" si="29"/>
        <v>0.1</v>
      </c>
      <c r="J37" s="48">
        <f t="shared" si="29"/>
        <v>155</v>
      </c>
      <c r="K37" s="48">
        <f>(F37+G37+J37)*$K$5</f>
        <v>46.02</v>
      </c>
      <c r="L37" s="48">
        <f>(F37+G37+J37+K37)*$L$5</f>
        <v>24.3906</v>
      </c>
      <c r="M37" s="48">
        <f t="shared" si="26"/>
        <v>1172.37484</v>
      </c>
      <c r="N37" s="48"/>
      <c r="O37" s="48">
        <f t="shared" si="27"/>
        <v>1066.8611044</v>
      </c>
      <c r="P37" s="75"/>
      <c r="Q37" s="78"/>
      <c r="R37" s="46">
        <f t="shared" si="5"/>
        <v>1066.8611044</v>
      </c>
      <c r="S37" s="46">
        <f t="shared" si="6"/>
        <v>837.4106</v>
      </c>
      <c r="T37" s="46" t="b">
        <f t="shared" si="7"/>
        <v>1</v>
      </c>
      <c r="U37" s="46" t="b">
        <f t="shared" si="8"/>
        <v>0</v>
      </c>
    </row>
    <row r="38" s="69" customFormat="1" customHeight="1" spans="1:21">
      <c r="A38" s="32"/>
      <c r="B38" s="32" t="s">
        <v>105</v>
      </c>
      <c r="C38" s="32"/>
      <c r="D38" s="32"/>
      <c r="E38" s="32"/>
      <c r="F38" s="72"/>
      <c r="G38" s="48"/>
      <c r="H38" s="72"/>
      <c r="I38" s="49"/>
      <c r="J38" s="48"/>
      <c r="K38" s="48"/>
      <c r="L38" s="48"/>
      <c r="M38" s="48"/>
      <c r="N38" s="48"/>
      <c r="O38" s="48"/>
      <c r="P38" s="75"/>
      <c r="Q38" s="78"/>
      <c r="R38" s="46">
        <f t="shared" si="5"/>
        <v>0</v>
      </c>
      <c r="S38" s="46">
        <f t="shared" si="6"/>
        <v>0</v>
      </c>
      <c r="T38" s="46" t="b">
        <f t="shared" si="7"/>
        <v>1</v>
      </c>
      <c r="U38" s="46" t="b">
        <f t="shared" si="8"/>
        <v>1</v>
      </c>
    </row>
    <row r="39" s="69" customFormat="1" customHeight="1" outlineLevel="1" spans="1:21">
      <c r="A39" s="32">
        <v>27</v>
      </c>
      <c r="B39" s="32" t="s">
        <v>78</v>
      </c>
      <c r="C39" s="32" t="s">
        <v>106</v>
      </c>
      <c r="D39" s="32" t="s">
        <v>59</v>
      </c>
      <c r="E39" s="32">
        <v>28.99</v>
      </c>
      <c r="F39" s="72">
        <f t="shared" ref="F39:J39" si="30">F30</f>
        <v>190</v>
      </c>
      <c r="G39" s="48">
        <f t="shared" ref="G39:G42" si="31">H39*(1+I39)</f>
        <v>315</v>
      </c>
      <c r="H39" s="72">
        <f t="shared" si="30"/>
        <v>300</v>
      </c>
      <c r="I39" s="49">
        <f t="shared" si="30"/>
        <v>0.05</v>
      </c>
      <c r="J39" s="48">
        <f t="shared" si="30"/>
        <v>150</v>
      </c>
      <c r="K39" s="48">
        <f>(F39+G39+J39)*$K$5</f>
        <v>39.3</v>
      </c>
      <c r="L39" s="48">
        <f>(F39+G39+J39+K39)*$L$5</f>
        <v>20.829</v>
      </c>
      <c r="M39" s="48">
        <f t="shared" si="26"/>
        <v>1001.1806</v>
      </c>
      <c r="N39" s="48"/>
      <c r="O39" s="48">
        <f t="shared" ref="O39:O42" si="32">M39*E39</f>
        <v>29024.225594</v>
      </c>
      <c r="P39" s="75" t="str">
        <f>P36</f>
        <v>厂家定制</v>
      </c>
      <c r="Q39" s="78"/>
      <c r="R39" s="46">
        <f t="shared" si="5"/>
        <v>29024.225594</v>
      </c>
      <c r="S39" s="46">
        <f t="shared" si="6"/>
        <v>715.129</v>
      </c>
      <c r="T39" s="46" t="b">
        <f t="shared" si="7"/>
        <v>1</v>
      </c>
      <c r="U39" s="46" t="b">
        <f t="shared" si="8"/>
        <v>0</v>
      </c>
    </row>
    <row r="40" s="69" customFormat="1" customHeight="1" outlineLevel="1" spans="1:21">
      <c r="A40" s="32">
        <v>28</v>
      </c>
      <c r="B40" s="32" t="s">
        <v>84</v>
      </c>
      <c r="C40" s="32" t="s">
        <v>85</v>
      </c>
      <c r="D40" s="32" t="s">
        <v>59</v>
      </c>
      <c r="E40" s="32">
        <v>1.13</v>
      </c>
      <c r="F40" s="72">
        <f t="shared" ref="F40:J40" si="33">F32</f>
        <v>150</v>
      </c>
      <c r="G40" s="48">
        <f t="shared" si="31"/>
        <v>462</v>
      </c>
      <c r="H40" s="72">
        <f t="shared" si="33"/>
        <v>420</v>
      </c>
      <c r="I40" s="49">
        <f t="shared" si="33"/>
        <v>0.1</v>
      </c>
      <c r="J40" s="48">
        <f t="shared" si="33"/>
        <v>155</v>
      </c>
      <c r="K40" s="48">
        <f>(F40+G40+J40)*$K$5</f>
        <v>46.02</v>
      </c>
      <c r="L40" s="48">
        <f>(F40+G40+J40+K40)*$L$5</f>
        <v>24.3906</v>
      </c>
      <c r="M40" s="48">
        <f t="shared" ref="M40:M44" si="34">(F40+G40+J40+K40+L40)*1.4</f>
        <v>1172.37484</v>
      </c>
      <c r="N40" s="48"/>
      <c r="O40" s="48">
        <f t="shared" si="32"/>
        <v>1324.7835692</v>
      </c>
      <c r="P40" s="75"/>
      <c r="Q40" s="78"/>
      <c r="R40" s="46">
        <f t="shared" si="5"/>
        <v>1324.7835692</v>
      </c>
      <c r="S40" s="46">
        <f t="shared" si="6"/>
        <v>837.4106</v>
      </c>
      <c r="T40" s="46" t="b">
        <f t="shared" si="7"/>
        <v>1</v>
      </c>
      <c r="U40" s="46" t="b">
        <f t="shared" si="8"/>
        <v>0</v>
      </c>
    </row>
    <row r="41" s="69" customFormat="1" customHeight="1" outlineLevel="1" spans="1:21">
      <c r="A41" s="32">
        <v>29</v>
      </c>
      <c r="B41" s="32" t="s">
        <v>96</v>
      </c>
      <c r="C41" s="32" t="s">
        <v>107</v>
      </c>
      <c r="D41" s="32" t="s">
        <v>59</v>
      </c>
      <c r="E41" s="32">
        <v>14.35</v>
      </c>
      <c r="F41" s="72">
        <f t="shared" ref="F41:J41" si="35">F28</f>
        <v>150</v>
      </c>
      <c r="G41" s="48">
        <f t="shared" si="31"/>
        <v>472.5</v>
      </c>
      <c r="H41" s="72">
        <v>450</v>
      </c>
      <c r="I41" s="49">
        <f t="shared" si="35"/>
        <v>0.05</v>
      </c>
      <c r="J41" s="48">
        <f t="shared" si="35"/>
        <v>75</v>
      </c>
      <c r="K41" s="48">
        <f>(F41+G41+J41)*$K$5</f>
        <v>41.85</v>
      </c>
      <c r="L41" s="48">
        <f>(F41+G41+J41+K41)*$L$5</f>
        <v>22.1805</v>
      </c>
      <c r="M41" s="48">
        <f t="shared" si="34"/>
        <v>1066.1427</v>
      </c>
      <c r="N41" s="48"/>
      <c r="O41" s="48">
        <f t="shared" si="32"/>
        <v>15299.147745</v>
      </c>
      <c r="P41" s="75"/>
      <c r="Q41" s="78"/>
      <c r="R41" s="46">
        <f t="shared" si="5"/>
        <v>15299.147745</v>
      </c>
      <c r="S41" s="46">
        <f t="shared" si="6"/>
        <v>761.5305</v>
      </c>
      <c r="T41" s="46" t="b">
        <f t="shared" si="7"/>
        <v>1</v>
      </c>
      <c r="U41" s="46" t="b">
        <f t="shared" si="8"/>
        <v>0</v>
      </c>
    </row>
    <row r="42" s="69" customFormat="1" customHeight="1" outlineLevel="1" spans="1:21">
      <c r="A42" s="32">
        <v>30</v>
      </c>
      <c r="B42" s="32" t="s">
        <v>108</v>
      </c>
      <c r="C42" s="32" t="s">
        <v>109</v>
      </c>
      <c r="D42" s="32" t="s">
        <v>59</v>
      </c>
      <c r="E42" s="32">
        <v>42.2</v>
      </c>
      <c r="F42" s="72">
        <v>35</v>
      </c>
      <c r="G42" s="73">
        <f t="shared" si="31"/>
        <v>126</v>
      </c>
      <c r="H42" s="74">
        <v>120</v>
      </c>
      <c r="I42" s="57">
        <v>0.05</v>
      </c>
      <c r="J42" s="73">
        <v>220</v>
      </c>
      <c r="K42" s="73">
        <f>(F42+G42+J42)*$K$5</f>
        <v>22.86</v>
      </c>
      <c r="L42" s="73">
        <f>(F42+G42+J42+K42)*$L$5</f>
        <v>12.1158</v>
      </c>
      <c r="M42" s="48">
        <f t="shared" si="34"/>
        <v>582.36612</v>
      </c>
      <c r="N42" s="48"/>
      <c r="O42" s="73">
        <f t="shared" si="32"/>
        <v>24575.850264</v>
      </c>
      <c r="P42" s="75"/>
      <c r="Q42" s="78"/>
      <c r="R42" s="46">
        <f t="shared" si="5"/>
        <v>24575.850264</v>
      </c>
      <c r="S42" s="46">
        <f t="shared" si="6"/>
        <v>415.9758</v>
      </c>
      <c r="T42" s="46" t="b">
        <f t="shared" si="7"/>
        <v>1</v>
      </c>
      <c r="U42" s="46" t="b">
        <f t="shared" si="8"/>
        <v>0</v>
      </c>
    </row>
    <row r="43" s="69" customFormat="1" customHeight="1" spans="1:21">
      <c r="A43" s="32"/>
      <c r="B43" s="32" t="s">
        <v>110</v>
      </c>
      <c r="C43" s="32"/>
      <c r="D43" s="32"/>
      <c r="E43" s="32"/>
      <c r="F43" s="72"/>
      <c r="G43" s="48"/>
      <c r="H43" s="72"/>
      <c r="I43" s="49"/>
      <c r="J43" s="48"/>
      <c r="K43" s="48"/>
      <c r="L43" s="48"/>
      <c r="M43" s="48"/>
      <c r="N43" s="48"/>
      <c r="O43" s="48"/>
      <c r="P43" s="75"/>
      <c r="Q43" s="78"/>
      <c r="R43" s="46">
        <f t="shared" si="5"/>
        <v>0</v>
      </c>
      <c r="S43" s="46">
        <f t="shared" si="6"/>
        <v>0</v>
      </c>
      <c r="T43" s="46" t="b">
        <f t="shared" si="7"/>
        <v>1</v>
      </c>
      <c r="U43" s="46" t="b">
        <f t="shared" si="8"/>
        <v>1</v>
      </c>
    </row>
    <row r="44" s="69" customFormat="1" customHeight="1" outlineLevel="1" spans="1:21">
      <c r="A44" s="32">
        <v>31</v>
      </c>
      <c r="B44" s="32" t="s">
        <v>89</v>
      </c>
      <c r="C44" s="32" t="s">
        <v>111</v>
      </c>
      <c r="D44" s="32" t="s">
        <v>91</v>
      </c>
      <c r="E44" s="32">
        <v>1</v>
      </c>
      <c r="F44" s="72">
        <f>+(1.6)*2.5*150</f>
        <v>600</v>
      </c>
      <c r="G44" s="48">
        <f t="shared" ref="G44:G47" si="36">H44*(1+I44)</f>
        <v>2141.2</v>
      </c>
      <c r="H44" s="72">
        <f>1.6*2.5*530</f>
        <v>2120</v>
      </c>
      <c r="I44" s="49">
        <v>0.01</v>
      </c>
      <c r="J44" s="48">
        <v>550</v>
      </c>
      <c r="K44" s="48">
        <f>(F44+G44+J44)*$K$5</f>
        <v>197.472</v>
      </c>
      <c r="L44" s="48">
        <f>(F44+G44+J44+K44)*$L$5</f>
        <v>104.66016</v>
      </c>
      <c r="M44" s="48">
        <f t="shared" si="34"/>
        <v>5030.665024</v>
      </c>
      <c r="N44" s="48"/>
      <c r="O44" s="48">
        <f t="shared" ref="O44:O47" si="37">M44*E44</f>
        <v>5030.665024</v>
      </c>
      <c r="P44" s="75"/>
      <c r="Q44" s="78"/>
      <c r="R44" s="46">
        <f t="shared" si="5"/>
        <v>5030.665024</v>
      </c>
      <c r="S44" s="46">
        <f t="shared" si="6"/>
        <v>3593.33216</v>
      </c>
      <c r="T44" s="46" t="b">
        <f t="shared" si="7"/>
        <v>1</v>
      </c>
      <c r="U44" s="46" t="b">
        <f t="shared" si="8"/>
        <v>0</v>
      </c>
    </row>
    <row r="45" s="69" customFormat="1" customHeight="1" outlineLevel="1" spans="1:21">
      <c r="A45" s="32">
        <v>32</v>
      </c>
      <c r="B45" s="32" t="s">
        <v>78</v>
      </c>
      <c r="C45" s="32" t="s">
        <v>112</v>
      </c>
      <c r="D45" s="32" t="s">
        <v>59</v>
      </c>
      <c r="E45" s="32">
        <v>5.2</v>
      </c>
      <c r="F45" s="72">
        <f t="shared" ref="F45:J45" si="38">F29</f>
        <v>190</v>
      </c>
      <c r="G45" s="48">
        <f t="shared" si="36"/>
        <v>315</v>
      </c>
      <c r="H45" s="72">
        <f t="shared" si="38"/>
        <v>300</v>
      </c>
      <c r="I45" s="49">
        <f t="shared" si="38"/>
        <v>0.05</v>
      </c>
      <c r="J45" s="48">
        <f t="shared" si="38"/>
        <v>150</v>
      </c>
      <c r="K45" s="48">
        <f>(F45+G45+J45)*$K$5</f>
        <v>39.3</v>
      </c>
      <c r="L45" s="48">
        <f>(F45+G45+J45+K45)*$L$5</f>
        <v>20.829</v>
      </c>
      <c r="M45" s="48">
        <f t="shared" ref="M45:M49" si="39">(F45+G45+J45+K45+L45)*1.4</f>
        <v>1001.1806</v>
      </c>
      <c r="N45" s="48"/>
      <c r="O45" s="48">
        <f t="shared" si="37"/>
        <v>5206.13912</v>
      </c>
      <c r="P45" s="75" t="str">
        <f>P36</f>
        <v>厂家定制</v>
      </c>
      <c r="Q45" s="78"/>
      <c r="R45" s="46">
        <f t="shared" si="5"/>
        <v>5206.13912</v>
      </c>
      <c r="S45" s="46">
        <f t="shared" si="6"/>
        <v>715.129</v>
      </c>
      <c r="T45" s="46" t="b">
        <f t="shared" si="7"/>
        <v>1</v>
      </c>
      <c r="U45" s="46" t="b">
        <f t="shared" si="8"/>
        <v>0</v>
      </c>
    </row>
    <row r="46" s="69" customFormat="1" customHeight="1" outlineLevel="1" spans="1:21">
      <c r="A46" s="32">
        <v>33</v>
      </c>
      <c r="B46" s="32" t="s">
        <v>96</v>
      </c>
      <c r="C46" s="32" t="s">
        <v>113</v>
      </c>
      <c r="D46" s="32" t="s">
        <v>59</v>
      </c>
      <c r="E46" s="32">
        <v>30.93</v>
      </c>
      <c r="F46" s="72">
        <v>220</v>
      </c>
      <c r="G46" s="48">
        <f t="shared" si="36"/>
        <v>1417.5</v>
      </c>
      <c r="H46" s="72">
        <v>1350</v>
      </c>
      <c r="I46" s="49">
        <v>0.05</v>
      </c>
      <c r="J46" s="48">
        <v>257.291</v>
      </c>
      <c r="K46" s="48">
        <f>(F46+G46+J46)*$K$5</f>
        <v>113.68746</v>
      </c>
      <c r="L46" s="48">
        <f>(F46+G46+J46+K46)*$L$5</f>
        <v>60.2543538</v>
      </c>
      <c r="M46" s="48">
        <f t="shared" si="39"/>
        <v>2896.22593932</v>
      </c>
      <c r="N46" s="48"/>
      <c r="O46" s="48">
        <f t="shared" si="37"/>
        <v>89580.2683031676</v>
      </c>
      <c r="P46" s="75"/>
      <c r="Q46" s="78"/>
      <c r="R46" s="46">
        <f t="shared" si="5"/>
        <v>89580.2683031676</v>
      </c>
      <c r="S46" s="46">
        <f t="shared" si="6"/>
        <v>2068.7328138</v>
      </c>
      <c r="T46" s="46" t="b">
        <f t="shared" si="7"/>
        <v>1</v>
      </c>
      <c r="U46" s="46" t="b">
        <f t="shared" si="8"/>
        <v>0</v>
      </c>
    </row>
    <row r="47" s="69" customFormat="1" customHeight="1" outlineLevel="1" spans="1:21">
      <c r="A47" s="32">
        <v>34</v>
      </c>
      <c r="B47" s="32" t="s">
        <v>84</v>
      </c>
      <c r="C47" s="32" t="s">
        <v>114</v>
      </c>
      <c r="D47" s="32" t="s">
        <v>59</v>
      </c>
      <c r="E47" s="32">
        <v>0.78</v>
      </c>
      <c r="F47" s="72">
        <f t="shared" ref="F47:J47" si="40">F40</f>
        <v>150</v>
      </c>
      <c r="G47" s="48">
        <f t="shared" si="36"/>
        <v>280.5</v>
      </c>
      <c r="H47" s="72">
        <f>H8</f>
        <v>255</v>
      </c>
      <c r="I47" s="49">
        <f t="shared" si="40"/>
        <v>0.1</v>
      </c>
      <c r="J47" s="48">
        <f t="shared" si="40"/>
        <v>155</v>
      </c>
      <c r="K47" s="48">
        <f>(F47+G47+J47)*$K$5</f>
        <v>35.13</v>
      </c>
      <c r="L47" s="48">
        <f>(F47+G47+J47+K47)*$L$5</f>
        <v>18.6189</v>
      </c>
      <c r="M47" s="48">
        <f t="shared" si="39"/>
        <v>894.94846</v>
      </c>
      <c r="N47" s="48"/>
      <c r="O47" s="48">
        <f t="shared" si="37"/>
        <v>698.0597988</v>
      </c>
      <c r="P47" s="75"/>
      <c r="Q47" s="78"/>
      <c r="R47" s="46">
        <f t="shared" si="5"/>
        <v>698.0597988</v>
      </c>
      <c r="S47" s="46">
        <f t="shared" si="6"/>
        <v>639.2489</v>
      </c>
      <c r="T47" s="46" t="b">
        <f t="shared" si="7"/>
        <v>1</v>
      </c>
      <c r="U47" s="46" t="b">
        <f t="shared" si="8"/>
        <v>0</v>
      </c>
    </row>
    <row r="48" s="69" customFormat="1" customHeight="1" spans="1:21">
      <c r="A48" s="32"/>
      <c r="B48" s="32" t="s">
        <v>115</v>
      </c>
      <c r="C48" s="32"/>
      <c r="D48" s="32"/>
      <c r="E48" s="32"/>
      <c r="F48" s="72"/>
      <c r="G48" s="48"/>
      <c r="H48" s="72"/>
      <c r="I48" s="49"/>
      <c r="J48" s="48"/>
      <c r="K48" s="48"/>
      <c r="L48" s="48"/>
      <c r="M48" s="48"/>
      <c r="N48" s="48"/>
      <c r="O48" s="48"/>
      <c r="P48" s="75"/>
      <c r="Q48" s="78"/>
      <c r="R48" s="46">
        <f t="shared" si="5"/>
        <v>0</v>
      </c>
      <c r="S48" s="46">
        <f t="shared" si="6"/>
        <v>0</v>
      </c>
      <c r="T48" s="46" t="b">
        <f t="shared" si="7"/>
        <v>1</v>
      </c>
      <c r="U48" s="46" t="b">
        <f t="shared" si="8"/>
        <v>1</v>
      </c>
    </row>
    <row r="49" s="69" customFormat="1" customHeight="1" outlineLevel="1" spans="1:21">
      <c r="A49" s="32">
        <v>35</v>
      </c>
      <c r="B49" s="32" t="s">
        <v>96</v>
      </c>
      <c r="C49" s="32" t="s">
        <v>116</v>
      </c>
      <c r="D49" s="32" t="s">
        <v>59</v>
      </c>
      <c r="E49" s="32">
        <v>30.84</v>
      </c>
      <c r="F49" s="72">
        <f t="shared" ref="F49:J49" si="41">F46</f>
        <v>220</v>
      </c>
      <c r="G49" s="48">
        <f t="shared" ref="G49:G58" si="42">H49*(1+I49)</f>
        <v>1417.5</v>
      </c>
      <c r="H49" s="72">
        <f t="shared" si="41"/>
        <v>1350</v>
      </c>
      <c r="I49" s="49">
        <f t="shared" si="41"/>
        <v>0.05</v>
      </c>
      <c r="J49" s="48">
        <f t="shared" si="41"/>
        <v>257.291</v>
      </c>
      <c r="K49" s="48">
        <f>(F49+G49+J49)*$K$5</f>
        <v>113.68746</v>
      </c>
      <c r="L49" s="48">
        <f>(F49+G49+J49+K49)*$L$5</f>
        <v>60.2543538</v>
      </c>
      <c r="M49" s="48">
        <f t="shared" si="39"/>
        <v>2896.22593932</v>
      </c>
      <c r="N49" s="48"/>
      <c r="O49" s="48">
        <f t="shared" ref="O49:O58" si="43">M49*E49</f>
        <v>89319.6079686288</v>
      </c>
      <c r="P49" s="75"/>
      <c r="Q49" s="78"/>
      <c r="R49" s="46">
        <f t="shared" si="5"/>
        <v>89319.6079686288</v>
      </c>
      <c r="S49" s="46">
        <f t="shared" si="6"/>
        <v>2068.7328138</v>
      </c>
      <c r="T49" s="46" t="b">
        <f t="shared" si="7"/>
        <v>1</v>
      </c>
      <c r="U49" s="46" t="b">
        <f t="shared" si="8"/>
        <v>0</v>
      </c>
    </row>
    <row r="50" s="69" customFormat="1" customHeight="1" outlineLevel="1" spans="1:21">
      <c r="A50" s="32">
        <v>36</v>
      </c>
      <c r="B50" s="32" t="s">
        <v>89</v>
      </c>
      <c r="C50" s="32" t="s">
        <v>117</v>
      </c>
      <c r="D50" s="32" t="s">
        <v>91</v>
      </c>
      <c r="E50" s="32">
        <v>1</v>
      </c>
      <c r="F50" s="72">
        <f t="shared" ref="F50:J50" si="44">F44</f>
        <v>600</v>
      </c>
      <c r="G50" s="48">
        <f t="shared" si="42"/>
        <v>2141.2</v>
      </c>
      <c r="H50" s="72">
        <f t="shared" si="44"/>
        <v>2120</v>
      </c>
      <c r="I50" s="49">
        <f t="shared" si="44"/>
        <v>0.01</v>
      </c>
      <c r="J50" s="48">
        <f t="shared" si="44"/>
        <v>550</v>
      </c>
      <c r="K50" s="48">
        <f>(F50+G50+J50)*$K$5</f>
        <v>197.472</v>
      </c>
      <c r="L50" s="48">
        <f>(F50+G50+J50+K50)*$L$5</f>
        <v>104.66016</v>
      </c>
      <c r="M50" s="48">
        <f t="shared" ref="M50:M58" si="45">(F50+G50+J50+K50+L50)*1.4</f>
        <v>5030.665024</v>
      </c>
      <c r="N50" s="48"/>
      <c r="O50" s="48">
        <f t="shared" si="43"/>
        <v>5030.665024</v>
      </c>
      <c r="P50" s="75"/>
      <c r="Q50" s="78"/>
      <c r="R50" s="46">
        <f t="shared" si="5"/>
        <v>5030.665024</v>
      </c>
      <c r="S50" s="46">
        <f t="shared" si="6"/>
        <v>3593.33216</v>
      </c>
      <c r="T50" s="46" t="b">
        <f t="shared" si="7"/>
        <v>1</v>
      </c>
      <c r="U50" s="46" t="b">
        <f t="shared" si="8"/>
        <v>0</v>
      </c>
    </row>
    <row r="51" s="69" customFormat="1" customHeight="1" outlineLevel="1" spans="1:21">
      <c r="A51" s="32">
        <v>37</v>
      </c>
      <c r="B51" s="32" t="s">
        <v>78</v>
      </c>
      <c r="C51" s="32" t="s">
        <v>118</v>
      </c>
      <c r="D51" s="32" t="s">
        <v>59</v>
      </c>
      <c r="E51" s="32">
        <v>22.83</v>
      </c>
      <c r="F51" s="72">
        <f t="shared" ref="F51:J51" si="46">F45</f>
        <v>190</v>
      </c>
      <c r="G51" s="48">
        <f t="shared" si="42"/>
        <v>315</v>
      </c>
      <c r="H51" s="72">
        <f t="shared" si="46"/>
        <v>300</v>
      </c>
      <c r="I51" s="49">
        <f t="shared" si="46"/>
        <v>0.05</v>
      </c>
      <c r="J51" s="48">
        <f t="shared" si="46"/>
        <v>150</v>
      </c>
      <c r="K51" s="48">
        <f>(F51+G51+J51)*$K$5</f>
        <v>39.3</v>
      </c>
      <c r="L51" s="48">
        <f>(F51+G51+J51+K51)*$L$5</f>
        <v>20.829</v>
      </c>
      <c r="M51" s="48">
        <f t="shared" si="45"/>
        <v>1001.1806</v>
      </c>
      <c r="N51" s="48"/>
      <c r="O51" s="48">
        <f t="shared" si="43"/>
        <v>22856.953098</v>
      </c>
      <c r="P51" s="75" t="str">
        <f>P45</f>
        <v>厂家定制</v>
      </c>
      <c r="Q51" s="78"/>
      <c r="R51" s="46">
        <f t="shared" si="5"/>
        <v>22856.953098</v>
      </c>
      <c r="S51" s="46">
        <f t="shared" si="6"/>
        <v>715.129</v>
      </c>
      <c r="T51" s="46" t="b">
        <f t="shared" si="7"/>
        <v>1</v>
      </c>
      <c r="U51" s="46" t="b">
        <f t="shared" si="8"/>
        <v>0</v>
      </c>
    </row>
    <row r="52" s="69" customFormat="1" customHeight="1" outlineLevel="1" spans="1:21">
      <c r="A52" s="32">
        <v>38</v>
      </c>
      <c r="B52" s="32" t="s">
        <v>119</v>
      </c>
      <c r="C52" s="32" t="s">
        <v>120</v>
      </c>
      <c r="D52" s="32" t="s">
        <v>59</v>
      </c>
      <c r="E52" s="32">
        <v>3.7</v>
      </c>
      <c r="F52" s="72">
        <v>185</v>
      </c>
      <c r="G52" s="48">
        <f t="shared" si="42"/>
        <v>383.25</v>
      </c>
      <c r="H52" s="72">
        <v>365</v>
      </c>
      <c r="I52" s="49">
        <v>0.05</v>
      </c>
      <c r="J52" s="48">
        <v>150</v>
      </c>
      <c r="K52" s="48">
        <f>(F52+G52+J52)*$K$5</f>
        <v>43.095</v>
      </c>
      <c r="L52" s="48">
        <f>(F52+G52+J52+K52)*$L$5</f>
        <v>22.84035</v>
      </c>
      <c r="M52" s="48">
        <f t="shared" si="45"/>
        <v>1097.85949</v>
      </c>
      <c r="N52" s="48"/>
      <c r="O52" s="48">
        <f t="shared" si="43"/>
        <v>4062.080113</v>
      </c>
      <c r="P52" s="75"/>
      <c r="Q52" s="78"/>
      <c r="R52" s="46">
        <f t="shared" si="5"/>
        <v>4062.080113</v>
      </c>
      <c r="S52" s="46">
        <f t="shared" si="6"/>
        <v>784.18535</v>
      </c>
      <c r="T52" s="46" t="b">
        <f t="shared" si="7"/>
        <v>1</v>
      </c>
      <c r="U52" s="46" t="b">
        <f t="shared" si="8"/>
        <v>0</v>
      </c>
    </row>
    <row r="53" s="69" customFormat="1" customHeight="1" outlineLevel="1" spans="1:21">
      <c r="A53" s="32">
        <v>39</v>
      </c>
      <c r="B53" s="32" t="s">
        <v>121</v>
      </c>
      <c r="C53" s="32" t="s">
        <v>122</v>
      </c>
      <c r="D53" s="32" t="s">
        <v>94</v>
      </c>
      <c r="E53" s="32">
        <v>3.36</v>
      </c>
      <c r="F53" s="72">
        <v>135</v>
      </c>
      <c r="G53" s="48">
        <f t="shared" si="42"/>
        <v>378</v>
      </c>
      <c r="H53" s="72">
        <v>360</v>
      </c>
      <c r="I53" s="49">
        <v>0.05</v>
      </c>
      <c r="J53" s="48">
        <v>95</v>
      </c>
      <c r="K53" s="48">
        <f>(F53+G53+J53)*$K$5</f>
        <v>36.48</v>
      </c>
      <c r="L53" s="48">
        <f>(F53+G53+J53+K53)*$L$5</f>
        <v>19.3344</v>
      </c>
      <c r="M53" s="48">
        <f t="shared" si="45"/>
        <v>929.34016</v>
      </c>
      <c r="N53" s="48"/>
      <c r="O53" s="48">
        <f t="shared" si="43"/>
        <v>3122.5829376</v>
      </c>
      <c r="P53" s="75"/>
      <c r="Q53" s="78"/>
      <c r="R53" s="46">
        <f t="shared" si="5"/>
        <v>3122.5829376</v>
      </c>
      <c r="S53" s="46">
        <f t="shared" si="6"/>
        <v>663.8144</v>
      </c>
      <c r="T53" s="46" t="b">
        <f t="shared" si="7"/>
        <v>1</v>
      </c>
      <c r="U53" s="46" t="b">
        <f t="shared" si="8"/>
        <v>0</v>
      </c>
    </row>
    <row r="54" s="69" customFormat="1" customHeight="1" outlineLevel="1" spans="1:21">
      <c r="A54" s="32">
        <v>40</v>
      </c>
      <c r="B54" s="32" t="s">
        <v>84</v>
      </c>
      <c r="C54" s="32" t="s">
        <v>85</v>
      </c>
      <c r="D54" s="32" t="s">
        <v>59</v>
      </c>
      <c r="E54" s="32">
        <v>0.68</v>
      </c>
      <c r="F54" s="72">
        <f t="shared" ref="F54:J54" si="47">F47</f>
        <v>150</v>
      </c>
      <c r="G54" s="48">
        <f t="shared" si="42"/>
        <v>280.5</v>
      </c>
      <c r="H54" s="72">
        <f t="shared" si="47"/>
        <v>255</v>
      </c>
      <c r="I54" s="49">
        <f t="shared" si="47"/>
        <v>0.1</v>
      </c>
      <c r="J54" s="48">
        <f t="shared" si="47"/>
        <v>155</v>
      </c>
      <c r="K54" s="48">
        <f>(F54+G54+J54)*$K$5</f>
        <v>35.13</v>
      </c>
      <c r="L54" s="48">
        <f>(F54+G54+J54+K54)*$L$5</f>
        <v>18.6189</v>
      </c>
      <c r="M54" s="48">
        <f t="shared" si="45"/>
        <v>894.94846</v>
      </c>
      <c r="N54" s="48"/>
      <c r="O54" s="48">
        <f t="shared" si="43"/>
        <v>608.5649528</v>
      </c>
      <c r="P54" s="75"/>
      <c r="Q54" s="78"/>
      <c r="R54" s="46">
        <f t="shared" si="5"/>
        <v>608.5649528</v>
      </c>
      <c r="S54" s="46">
        <f t="shared" si="6"/>
        <v>639.2489</v>
      </c>
      <c r="T54" s="46" t="b">
        <f t="shared" si="7"/>
        <v>1</v>
      </c>
      <c r="U54" s="46" t="b">
        <f t="shared" si="8"/>
        <v>0</v>
      </c>
    </row>
    <row r="55" s="69" customFormat="1" customHeight="1" outlineLevel="1" spans="1:21">
      <c r="A55" s="32">
        <v>41</v>
      </c>
      <c r="B55" s="32" t="s">
        <v>84</v>
      </c>
      <c r="C55" s="32" t="s">
        <v>123</v>
      </c>
      <c r="D55" s="32" t="s">
        <v>59</v>
      </c>
      <c r="E55" s="32">
        <v>0.54</v>
      </c>
      <c r="F55" s="72">
        <f t="shared" ref="F55:J55" si="48">F54</f>
        <v>150</v>
      </c>
      <c r="G55" s="48">
        <f t="shared" si="42"/>
        <v>280.5</v>
      </c>
      <c r="H55" s="72">
        <f>H8</f>
        <v>255</v>
      </c>
      <c r="I55" s="49">
        <f t="shared" si="48"/>
        <v>0.1</v>
      </c>
      <c r="J55" s="48">
        <f t="shared" si="48"/>
        <v>155</v>
      </c>
      <c r="K55" s="48">
        <f>(F55+G55+J55)*$K$5</f>
        <v>35.13</v>
      </c>
      <c r="L55" s="48">
        <f>(F55+G55+J55+K55)*$L$5</f>
        <v>18.6189</v>
      </c>
      <c r="M55" s="48">
        <f t="shared" si="45"/>
        <v>894.94846</v>
      </c>
      <c r="N55" s="48"/>
      <c r="O55" s="48">
        <f t="shared" si="43"/>
        <v>483.2721684</v>
      </c>
      <c r="P55" s="75"/>
      <c r="Q55" s="78"/>
      <c r="R55" s="46">
        <f t="shared" si="5"/>
        <v>483.2721684</v>
      </c>
      <c r="S55" s="46">
        <f t="shared" si="6"/>
        <v>639.2489</v>
      </c>
      <c r="T55" s="46" t="b">
        <f t="shared" si="7"/>
        <v>1</v>
      </c>
      <c r="U55" s="46" t="b">
        <f t="shared" si="8"/>
        <v>0</v>
      </c>
    </row>
    <row r="56" s="69" customFormat="1" customHeight="1" outlineLevel="1" spans="1:21">
      <c r="A56" s="32">
        <v>42</v>
      </c>
      <c r="B56" s="32" t="s">
        <v>92</v>
      </c>
      <c r="C56" s="32" t="s">
        <v>124</v>
      </c>
      <c r="D56" s="32" t="s">
        <v>94</v>
      </c>
      <c r="E56" s="32">
        <v>4.8</v>
      </c>
      <c r="F56" s="72">
        <f t="shared" ref="F56:I56" si="49">F25</f>
        <v>115</v>
      </c>
      <c r="G56" s="48">
        <f t="shared" si="42"/>
        <v>237.35</v>
      </c>
      <c r="H56" s="72">
        <f t="shared" si="49"/>
        <v>235</v>
      </c>
      <c r="I56" s="49">
        <f t="shared" si="49"/>
        <v>0.01</v>
      </c>
      <c r="J56" s="48">
        <f>J25+265</f>
        <v>415</v>
      </c>
      <c r="K56" s="48">
        <f>(F56+G56+J56)*$K$5</f>
        <v>46.041</v>
      </c>
      <c r="L56" s="48">
        <f>(F56+G56+J56+K56)*$L$5</f>
        <v>24.40173</v>
      </c>
      <c r="M56" s="48">
        <f t="shared" si="45"/>
        <v>1172.909822</v>
      </c>
      <c r="N56" s="48"/>
      <c r="O56" s="48">
        <f t="shared" si="43"/>
        <v>5629.9671456</v>
      </c>
      <c r="P56" s="75"/>
      <c r="Q56" s="78"/>
      <c r="R56" s="46">
        <f t="shared" si="5"/>
        <v>5629.9671456</v>
      </c>
      <c r="S56" s="46">
        <f t="shared" si="6"/>
        <v>837.79273</v>
      </c>
      <c r="T56" s="46" t="b">
        <f t="shared" si="7"/>
        <v>1</v>
      </c>
      <c r="U56" s="46" t="b">
        <f t="shared" si="8"/>
        <v>0</v>
      </c>
    </row>
    <row r="57" s="69" customFormat="1" customHeight="1" outlineLevel="1" spans="1:21">
      <c r="A57" s="32">
        <v>43</v>
      </c>
      <c r="B57" s="32" t="s">
        <v>125</v>
      </c>
      <c r="C57" s="32" t="s">
        <v>126</v>
      </c>
      <c r="D57" s="32" t="s">
        <v>94</v>
      </c>
      <c r="E57" s="32">
        <v>5.25</v>
      </c>
      <c r="F57" s="72">
        <v>15</v>
      </c>
      <c r="G57" s="48">
        <f t="shared" si="42"/>
        <v>36.75</v>
      </c>
      <c r="H57" s="72">
        <v>35</v>
      </c>
      <c r="I57" s="49">
        <v>0.05</v>
      </c>
      <c r="J57" s="48">
        <v>5</v>
      </c>
      <c r="K57" s="48">
        <f>(F57+G57+J57)*$K$5</f>
        <v>3.405</v>
      </c>
      <c r="L57" s="48">
        <f>(F57+G57+J57+K57)*$L$5</f>
        <v>1.80465</v>
      </c>
      <c r="M57" s="48">
        <f t="shared" si="45"/>
        <v>86.74351</v>
      </c>
      <c r="N57" s="48"/>
      <c r="O57" s="48">
        <f t="shared" si="43"/>
        <v>455.4034275</v>
      </c>
      <c r="P57" s="75"/>
      <c r="Q57" s="78"/>
      <c r="R57" s="46">
        <f t="shared" si="5"/>
        <v>455.4034275</v>
      </c>
      <c r="S57" s="46">
        <f t="shared" si="6"/>
        <v>61.95965</v>
      </c>
      <c r="T57" s="46" t="b">
        <f t="shared" si="7"/>
        <v>1</v>
      </c>
      <c r="U57" s="46" t="b">
        <f t="shared" si="8"/>
        <v>0</v>
      </c>
    </row>
    <row r="58" s="69" customFormat="1" customHeight="1" outlineLevel="1" spans="1:21">
      <c r="A58" s="32">
        <v>44</v>
      </c>
      <c r="B58" s="32" t="s">
        <v>78</v>
      </c>
      <c r="C58" s="32" t="s">
        <v>127</v>
      </c>
      <c r="D58" s="32" t="s">
        <v>59</v>
      </c>
      <c r="E58" s="32">
        <v>1.76</v>
      </c>
      <c r="F58" s="72">
        <f t="shared" ref="F58:J58" si="50">F47</f>
        <v>150</v>
      </c>
      <c r="G58" s="48">
        <f t="shared" si="42"/>
        <v>280.5</v>
      </c>
      <c r="H58" s="72">
        <f>H47</f>
        <v>255</v>
      </c>
      <c r="I58" s="49">
        <f t="shared" si="50"/>
        <v>0.1</v>
      </c>
      <c r="J58" s="48">
        <f t="shared" si="50"/>
        <v>155</v>
      </c>
      <c r="K58" s="48">
        <f>(F58+G58+J58)*$K$5</f>
        <v>35.13</v>
      </c>
      <c r="L58" s="48">
        <f>(F58+G58+J58+K58)*$L$5</f>
        <v>18.6189</v>
      </c>
      <c r="M58" s="48">
        <f t="shared" si="45"/>
        <v>894.94846</v>
      </c>
      <c r="N58" s="48"/>
      <c r="O58" s="48">
        <f t="shared" si="43"/>
        <v>1575.1092896</v>
      </c>
      <c r="P58" s="75"/>
      <c r="Q58" s="78"/>
      <c r="R58" s="46">
        <f t="shared" si="5"/>
        <v>1575.1092896</v>
      </c>
      <c r="S58" s="46">
        <f t="shared" si="6"/>
        <v>639.2489</v>
      </c>
      <c r="T58" s="46" t="b">
        <f t="shared" si="7"/>
        <v>1</v>
      </c>
      <c r="U58" s="46" t="b">
        <f t="shared" si="8"/>
        <v>0</v>
      </c>
    </row>
    <row r="59" s="69" customFormat="1" customHeight="1" spans="1:21">
      <c r="A59" s="32"/>
      <c r="B59" s="32" t="s">
        <v>128</v>
      </c>
      <c r="C59" s="32"/>
      <c r="D59" s="32"/>
      <c r="E59" s="32"/>
      <c r="F59" s="72"/>
      <c r="G59" s="73"/>
      <c r="H59" s="74"/>
      <c r="I59" s="57"/>
      <c r="J59" s="73"/>
      <c r="K59" s="73"/>
      <c r="L59" s="73"/>
      <c r="M59" s="76"/>
      <c r="N59" s="77"/>
      <c r="O59" s="73"/>
      <c r="P59" s="75"/>
      <c r="Q59" s="78"/>
      <c r="R59" s="46">
        <f t="shared" si="5"/>
        <v>0</v>
      </c>
      <c r="S59" s="46">
        <f t="shared" si="6"/>
        <v>0</v>
      </c>
      <c r="T59" s="46" t="b">
        <f t="shared" si="7"/>
        <v>1</v>
      </c>
      <c r="U59" s="46" t="b">
        <f t="shared" si="8"/>
        <v>1</v>
      </c>
    </row>
    <row r="60" s="69" customFormat="1" ht="61" customHeight="1" outlineLevel="1" spans="1:21">
      <c r="A60" s="32">
        <v>45</v>
      </c>
      <c r="B60" s="32" t="s">
        <v>129</v>
      </c>
      <c r="C60" s="32" t="s">
        <v>130</v>
      </c>
      <c r="D60" s="32" t="s">
        <v>94</v>
      </c>
      <c r="E60" s="32">
        <v>7</v>
      </c>
      <c r="F60" s="72">
        <v>550</v>
      </c>
      <c r="G60" s="73">
        <f>H60*(1+I60)</f>
        <v>1898.8</v>
      </c>
      <c r="H60" s="74">
        <v>1880</v>
      </c>
      <c r="I60" s="57">
        <v>0.01</v>
      </c>
      <c r="J60" s="73">
        <v>650</v>
      </c>
      <c r="K60" s="73">
        <f>(F60+G60+J60)*$K$5</f>
        <v>185.928</v>
      </c>
      <c r="L60" s="73">
        <f>(F60+G60+J60+K60)*$L$5</f>
        <v>98.54184</v>
      </c>
      <c r="M60" s="76">
        <f>(F60+G60+J60+K60+L60)*1.4</f>
        <v>4736.577776</v>
      </c>
      <c r="N60" s="77"/>
      <c r="O60" s="73">
        <f>M60*E60</f>
        <v>33156.044432</v>
      </c>
      <c r="P60" s="75"/>
      <c r="Q60" s="78"/>
      <c r="R60" s="46">
        <f t="shared" si="5"/>
        <v>33156.044432</v>
      </c>
      <c r="S60" s="46">
        <f t="shared" si="6"/>
        <v>3383.26984</v>
      </c>
      <c r="T60" s="46" t="b">
        <f t="shared" si="7"/>
        <v>1</v>
      </c>
      <c r="U60" s="46" t="b">
        <f t="shared" si="8"/>
        <v>0</v>
      </c>
    </row>
    <row r="61" s="69" customFormat="1" customHeight="1" spans="1:21">
      <c r="A61" s="32"/>
      <c r="B61" s="32" t="s">
        <v>131</v>
      </c>
      <c r="C61" s="32"/>
      <c r="D61" s="32"/>
      <c r="E61" s="32"/>
      <c r="F61" s="72"/>
      <c r="G61" s="48"/>
      <c r="H61" s="72"/>
      <c r="I61" s="49"/>
      <c r="J61" s="48"/>
      <c r="K61" s="48"/>
      <c r="L61" s="48"/>
      <c r="M61" s="48">
        <f>SUM(O62:O74)</f>
        <v>563558.8774669</v>
      </c>
      <c r="N61" s="48"/>
      <c r="O61" s="48"/>
      <c r="P61" s="75"/>
      <c r="Q61" s="78"/>
      <c r="R61" s="46">
        <f t="shared" si="5"/>
        <v>0</v>
      </c>
      <c r="S61" s="46">
        <f t="shared" si="6"/>
        <v>0</v>
      </c>
      <c r="T61" s="46" t="b">
        <f t="shared" si="7"/>
        <v>1</v>
      </c>
      <c r="U61" s="46" t="b">
        <f t="shared" si="8"/>
        <v>0</v>
      </c>
    </row>
    <row r="62" s="69" customFormat="1" customHeight="1" outlineLevel="1" spans="1:21">
      <c r="A62" s="32">
        <v>46</v>
      </c>
      <c r="B62" s="32" t="s">
        <v>61</v>
      </c>
      <c r="C62" s="32" t="s">
        <v>132</v>
      </c>
      <c r="D62" s="32" t="s">
        <v>59</v>
      </c>
      <c r="E62" s="32">
        <v>651.19</v>
      </c>
      <c r="F62" s="72">
        <f t="shared" ref="F62:J62" si="51">F8</f>
        <v>85</v>
      </c>
      <c r="G62" s="48">
        <f t="shared" ref="G61:G74" si="52">H62*(1+I62)</f>
        <v>267.75</v>
      </c>
      <c r="H62" s="72">
        <f t="shared" si="51"/>
        <v>255</v>
      </c>
      <c r="I62" s="49">
        <f t="shared" si="51"/>
        <v>0.05</v>
      </c>
      <c r="J62" s="48">
        <f t="shared" si="51"/>
        <v>35</v>
      </c>
      <c r="K62" s="48">
        <f>(F62+G62+J62)*$K$5</f>
        <v>23.265</v>
      </c>
      <c r="L62" s="48">
        <f>(F62+G62+J62+K62)*$L$5</f>
        <v>12.33045</v>
      </c>
      <c r="M62" s="76">
        <f>(F62+G62+J62+K62+L62)*1.4</f>
        <v>592.68363</v>
      </c>
      <c r="N62" s="77"/>
      <c r="O62" s="48">
        <f t="shared" ref="O61:O74" si="53">M62*E62</f>
        <v>385949.6530197</v>
      </c>
      <c r="P62" s="75"/>
      <c r="Q62" s="78"/>
      <c r="R62" s="46">
        <f t="shared" si="5"/>
        <v>385949.6530197</v>
      </c>
      <c r="S62" s="46">
        <f t="shared" si="6"/>
        <v>423.34545</v>
      </c>
      <c r="T62" s="46" t="b">
        <f t="shared" si="7"/>
        <v>1</v>
      </c>
      <c r="U62" s="46" t="b">
        <f t="shared" si="8"/>
        <v>0</v>
      </c>
    </row>
    <row r="63" s="69" customFormat="1" customHeight="1" outlineLevel="1" spans="1:21">
      <c r="A63" s="32">
        <v>47</v>
      </c>
      <c r="B63" s="32" t="s">
        <v>133</v>
      </c>
      <c r="C63" s="32" t="s">
        <v>134</v>
      </c>
      <c r="D63" s="32" t="s">
        <v>59</v>
      </c>
      <c r="E63" s="32">
        <v>2.18</v>
      </c>
      <c r="F63" s="72">
        <v>150</v>
      </c>
      <c r="G63" s="48">
        <f t="shared" si="52"/>
        <v>280.5</v>
      </c>
      <c r="H63" s="72">
        <f t="shared" ref="H63:H67" si="54">H62</f>
        <v>255</v>
      </c>
      <c r="I63" s="49">
        <v>0.1</v>
      </c>
      <c r="J63" s="48">
        <f>J62</f>
        <v>35</v>
      </c>
      <c r="K63" s="48">
        <f>(F63+G63+J63)*$K$5</f>
        <v>27.93</v>
      </c>
      <c r="L63" s="48">
        <f>(F63+G63+J63+K63)*$L$5</f>
        <v>14.8029</v>
      </c>
      <c r="M63" s="76">
        <f t="shared" ref="M63:M74" si="55">(F63+G63+J63+K63+L63)*1.4</f>
        <v>711.52606</v>
      </c>
      <c r="N63" s="77"/>
      <c r="O63" s="48">
        <f t="shared" si="53"/>
        <v>1551.1268108</v>
      </c>
      <c r="P63" s="75"/>
      <c r="Q63" s="78"/>
      <c r="R63" s="46">
        <f t="shared" si="5"/>
        <v>1551.1268108</v>
      </c>
      <c r="S63" s="46">
        <f t="shared" si="6"/>
        <v>508.2329</v>
      </c>
      <c r="T63" s="46" t="b">
        <f t="shared" si="7"/>
        <v>1</v>
      </c>
      <c r="U63" s="46" t="b">
        <f t="shared" si="8"/>
        <v>0</v>
      </c>
    </row>
    <row r="64" s="69" customFormat="1" customHeight="1" outlineLevel="1" spans="1:21">
      <c r="A64" s="32">
        <v>48</v>
      </c>
      <c r="B64" s="32" t="s">
        <v>61</v>
      </c>
      <c r="C64" s="32" t="s">
        <v>135</v>
      </c>
      <c r="D64" s="32" t="s">
        <v>59</v>
      </c>
      <c r="E64" s="32">
        <v>15.04</v>
      </c>
      <c r="F64" s="72">
        <f t="shared" ref="F64:J64" si="56">F8*1.5</f>
        <v>127.5</v>
      </c>
      <c r="G64" s="48">
        <f t="shared" si="52"/>
        <v>401.625</v>
      </c>
      <c r="H64" s="72">
        <f t="shared" si="56"/>
        <v>382.5</v>
      </c>
      <c r="I64" s="49">
        <f>I8</f>
        <v>0.05</v>
      </c>
      <c r="J64" s="48">
        <f t="shared" si="56"/>
        <v>52.5</v>
      </c>
      <c r="K64" s="48">
        <f>(F64+G64+J64)*$K$5</f>
        <v>34.8975</v>
      </c>
      <c r="L64" s="48">
        <f>(F64+G64+J64+K64)*$L$5</f>
        <v>18.495675</v>
      </c>
      <c r="M64" s="76">
        <f t="shared" si="55"/>
        <v>889.025445</v>
      </c>
      <c r="N64" s="77"/>
      <c r="O64" s="48">
        <f t="shared" si="53"/>
        <v>13370.9426928</v>
      </c>
      <c r="P64" s="75"/>
      <c r="Q64" s="78"/>
      <c r="R64" s="46">
        <f t="shared" si="5"/>
        <v>13370.9426928</v>
      </c>
      <c r="S64" s="46">
        <f t="shared" si="6"/>
        <v>635.018175</v>
      </c>
      <c r="T64" s="46" t="b">
        <f t="shared" si="7"/>
        <v>1</v>
      </c>
      <c r="U64" s="46" t="b">
        <f t="shared" si="8"/>
        <v>0</v>
      </c>
    </row>
    <row r="65" s="69" customFormat="1" customHeight="1" outlineLevel="1" spans="1:21">
      <c r="A65" s="32">
        <v>49</v>
      </c>
      <c r="B65" s="32" t="s">
        <v>64</v>
      </c>
      <c r="C65" s="32" t="s">
        <v>136</v>
      </c>
      <c r="D65" s="32" t="s">
        <v>59</v>
      </c>
      <c r="E65" s="32">
        <v>116.14</v>
      </c>
      <c r="F65" s="72">
        <f>F10</f>
        <v>65</v>
      </c>
      <c r="G65" s="48">
        <f t="shared" si="52"/>
        <v>68.25</v>
      </c>
      <c r="H65" s="72">
        <f>H10</f>
        <v>65</v>
      </c>
      <c r="I65" s="49">
        <f t="shared" ref="I65:I67" si="57">I64</f>
        <v>0.05</v>
      </c>
      <c r="J65" s="48">
        <f>J10</f>
        <v>35</v>
      </c>
      <c r="K65" s="48">
        <f>(F65+G65+J65)*$K$5</f>
        <v>10.095</v>
      </c>
      <c r="L65" s="48">
        <f>(F65+G65+J65+K65)*$L$5</f>
        <v>5.35035</v>
      </c>
      <c r="M65" s="76">
        <f t="shared" si="55"/>
        <v>257.17349</v>
      </c>
      <c r="N65" s="77"/>
      <c r="O65" s="48">
        <f t="shared" si="53"/>
        <v>29868.1291286</v>
      </c>
      <c r="P65" s="75" t="str">
        <f>P10</f>
        <v>广东产</v>
      </c>
      <c r="Q65" s="78"/>
      <c r="R65" s="46">
        <f t="shared" si="5"/>
        <v>29868.1291286</v>
      </c>
      <c r="S65" s="46">
        <f t="shared" si="6"/>
        <v>183.69535</v>
      </c>
      <c r="T65" s="46" t="b">
        <f t="shared" si="7"/>
        <v>1</v>
      </c>
      <c r="U65" s="46" t="b">
        <f t="shared" si="8"/>
        <v>0</v>
      </c>
    </row>
    <row r="66" s="69" customFormat="1" customHeight="1" outlineLevel="1" spans="1:21">
      <c r="A66" s="32">
        <v>50</v>
      </c>
      <c r="B66" s="32" t="s">
        <v>137</v>
      </c>
      <c r="C66" s="32" t="s">
        <v>138</v>
      </c>
      <c r="D66" s="32" t="s">
        <v>59</v>
      </c>
      <c r="E66" s="32">
        <v>30.94</v>
      </c>
      <c r="F66" s="72">
        <f>F65+20</f>
        <v>85</v>
      </c>
      <c r="G66" s="48">
        <f t="shared" si="52"/>
        <v>68.25</v>
      </c>
      <c r="H66" s="72">
        <f t="shared" si="54"/>
        <v>65</v>
      </c>
      <c r="I66" s="49">
        <f t="shared" si="57"/>
        <v>0.05</v>
      </c>
      <c r="J66" s="48">
        <f>J65+35</f>
        <v>70</v>
      </c>
      <c r="K66" s="48">
        <f>(F66+G66+J66)*$K$5</f>
        <v>13.395</v>
      </c>
      <c r="L66" s="48">
        <f>(F66+G66+J66+K66)*$L$5</f>
        <v>7.09935</v>
      </c>
      <c r="M66" s="76">
        <f t="shared" si="55"/>
        <v>341.24209</v>
      </c>
      <c r="N66" s="77"/>
      <c r="O66" s="48">
        <f t="shared" si="53"/>
        <v>10558.0302646</v>
      </c>
      <c r="P66" s="75" t="str">
        <f>P10</f>
        <v>广东产</v>
      </c>
      <c r="Q66" s="78"/>
      <c r="R66" s="46">
        <f t="shared" si="5"/>
        <v>10558.0302646</v>
      </c>
      <c r="S66" s="46">
        <f t="shared" si="6"/>
        <v>243.74435</v>
      </c>
      <c r="T66" s="46" t="b">
        <f t="shared" si="7"/>
        <v>1</v>
      </c>
      <c r="U66" s="46" t="b">
        <f t="shared" si="8"/>
        <v>0</v>
      </c>
    </row>
    <row r="67" s="69" customFormat="1" customHeight="1" outlineLevel="1" spans="1:21">
      <c r="A67" s="32">
        <v>51</v>
      </c>
      <c r="B67" s="32" t="s">
        <v>137</v>
      </c>
      <c r="C67" s="32" t="s">
        <v>139</v>
      </c>
      <c r="D67" s="32" t="s">
        <v>59</v>
      </c>
      <c r="E67" s="32">
        <v>29.04</v>
      </c>
      <c r="F67" s="72">
        <f>F66</f>
        <v>85</v>
      </c>
      <c r="G67" s="48">
        <f t="shared" si="52"/>
        <v>68.25</v>
      </c>
      <c r="H67" s="72">
        <f t="shared" si="54"/>
        <v>65</v>
      </c>
      <c r="I67" s="49">
        <f t="shared" si="57"/>
        <v>0.05</v>
      </c>
      <c r="J67" s="48">
        <f>J66</f>
        <v>70</v>
      </c>
      <c r="K67" s="48">
        <f>(F67+G67+J67)*$K$5</f>
        <v>13.395</v>
      </c>
      <c r="L67" s="48">
        <f>(F67+G67+J67+K67)*$L$5</f>
        <v>7.09935</v>
      </c>
      <c r="M67" s="76">
        <f t="shared" si="55"/>
        <v>341.24209</v>
      </c>
      <c r="N67" s="77"/>
      <c r="O67" s="48">
        <f t="shared" si="53"/>
        <v>9909.6702936</v>
      </c>
      <c r="P67" s="75" t="str">
        <f>P65</f>
        <v>广东产</v>
      </c>
      <c r="Q67" s="78"/>
      <c r="R67" s="46">
        <f t="shared" si="5"/>
        <v>9909.6702936</v>
      </c>
      <c r="S67" s="46">
        <f t="shared" si="6"/>
        <v>243.74435</v>
      </c>
      <c r="T67" s="46" t="b">
        <f t="shared" si="7"/>
        <v>1</v>
      </c>
      <c r="U67" s="46" t="b">
        <f t="shared" si="8"/>
        <v>0</v>
      </c>
    </row>
    <row r="68" s="69" customFormat="1" customHeight="1" outlineLevel="1" spans="1:21">
      <c r="A68" s="32">
        <v>52</v>
      </c>
      <c r="B68" s="32" t="s">
        <v>140</v>
      </c>
      <c r="C68" s="32" t="s">
        <v>141</v>
      </c>
      <c r="D68" s="32" t="s">
        <v>59</v>
      </c>
      <c r="E68" s="32">
        <v>3.72</v>
      </c>
      <c r="F68" s="72">
        <v>30</v>
      </c>
      <c r="G68" s="48">
        <f t="shared" si="52"/>
        <v>47.25</v>
      </c>
      <c r="H68" s="72">
        <v>45</v>
      </c>
      <c r="I68" s="49">
        <v>0.05</v>
      </c>
      <c r="J68" s="48">
        <v>15</v>
      </c>
      <c r="K68" s="48">
        <f>(F68+G68+J68)*$K$5</f>
        <v>5.535</v>
      </c>
      <c r="L68" s="48">
        <f>(F68+G68+J68+K68)*$L$5</f>
        <v>2.93355</v>
      </c>
      <c r="M68" s="76">
        <f t="shared" si="55"/>
        <v>141.00597</v>
      </c>
      <c r="N68" s="77"/>
      <c r="O68" s="48">
        <f t="shared" si="53"/>
        <v>524.5422084</v>
      </c>
      <c r="P68" s="75"/>
      <c r="Q68" s="78"/>
      <c r="R68" s="46">
        <f t="shared" si="5"/>
        <v>524.5422084</v>
      </c>
      <c r="S68" s="46">
        <f t="shared" si="6"/>
        <v>100.71855</v>
      </c>
      <c r="T68" s="46" t="b">
        <f t="shared" si="7"/>
        <v>1</v>
      </c>
      <c r="U68" s="46" t="b">
        <f t="shared" si="8"/>
        <v>0</v>
      </c>
    </row>
    <row r="69" s="69" customFormat="1" customHeight="1" outlineLevel="1" spans="1:21">
      <c r="A69" s="32">
        <v>53</v>
      </c>
      <c r="B69" s="32" t="s">
        <v>142</v>
      </c>
      <c r="C69" s="32" t="s">
        <v>143</v>
      </c>
      <c r="D69" s="32" t="s">
        <v>59</v>
      </c>
      <c r="E69" s="32">
        <v>8.36</v>
      </c>
      <c r="F69" s="72">
        <v>35</v>
      </c>
      <c r="G69" s="48">
        <f t="shared" si="52"/>
        <v>157.5</v>
      </c>
      <c r="H69" s="72">
        <v>150</v>
      </c>
      <c r="I69" s="49">
        <v>0.05</v>
      </c>
      <c r="J69" s="48">
        <v>15</v>
      </c>
      <c r="K69" s="48">
        <f>(F69+G69+J69)*$K$5</f>
        <v>12.45</v>
      </c>
      <c r="L69" s="48">
        <f>(F69+G69+J69+K69)*$L$5</f>
        <v>6.5985</v>
      </c>
      <c r="M69" s="76">
        <f t="shared" si="55"/>
        <v>317.1679</v>
      </c>
      <c r="N69" s="77"/>
      <c r="O69" s="48">
        <f t="shared" si="53"/>
        <v>2651.523644</v>
      </c>
      <c r="P69" s="75"/>
      <c r="Q69" s="78"/>
      <c r="R69" s="46">
        <f t="shared" si="5"/>
        <v>2651.523644</v>
      </c>
      <c r="S69" s="46">
        <f t="shared" si="6"/>
        <v>226.5485</v>
      </c>
      <c r="T69" s="46" t="b">
        <f t="shared" si="7"/>
        <v>1</v>
      </c>
      <c r="U69" s="46" t="b">
        <f t="shared" si="8"/>
        <v>0</v>
      </c>
    </row>
    <row r="70" s="69" customFormat="1" customHeight="1" outlineLevel="1" spans="1:21">
      <c r="A70" s="32">
        <v>54</v>
      </c>
      <c r="B70" s="32" t="s">
        <v>144</v>
      </c>
      <c r="C70" s="32" t="s">
        <v>145</v>
      </c>
      <c r="D70" s="32" t="s">
        <v>59</v>
      </c>
      <c r="E70" s="32">
        <v>110.49</v>
      </c>
      <c r="F70" s="72">
        <v>165</v>
      </c>
      <c r="G70" s="48">
        <f t="shared" si="52"/>
        <v>173.25</v>
      </c>
      <c r="H70" s="72">
        <v>165</v>
      </c>
      <c r="I70" s="49">
        <v>0.05</v>
      </c>
      <c r="J70" s="48">
        <v>95</v>
      </c>
      <c r="K70" s="48">
        <f>(F70+G70+J70)*$K$5</f>
        <v>25.995</v>
      </c>
      <c r="L70" s="48">
        <f>(F70+G70+J70+K70)*$L$5</f>
        <v>13.77735</v>
      </c>
      <c r="M70" s="76">
        <f t="shared" si="55"/>
        <v>662.23129</v>
      </c>
      <c r="N70" s="77"/>
      <c r="O70" s="48">
        <f t="shared" si="53"/>
        <v>73169.9352321</v>
      </c>
      <c r="P70" s="75"/>
      <c r="Q70" s="78"/>
      <c r="R70" s="46">
        <f t="shared" si="5"/>
        <v>73169.9352321</v>
      </c>
      <c r="S70" s="46">
        <f t="shared" si="6"/>
        <v>473.02235</v>
      </c>
      <c r="T70" s="46" t="b">
        <f t="shared" si="7"/>
        <v>1</v>
      </c>
      <c r="U70" s="46" t="b">
        <f t="shared" si="8"/>
        <v>0</v>
      </c>
    </row>
    <row r="71" s="69" customFormat="1" customHeight="1" outlineLevel="1" spans="1:21">
      <c r="A71" s="32">
        <v>55</v>
      </c>
      <c r="B71" s="32" t="s">
        <v>146</v>
      </c>
      <c r="C71" s="32" t="s">
        <v>147</v>
      </c>
      <c r="D71" s="32" t="s">
        <v>59</v>
      </c>
      <c r="E71" s="32">
        <v>12.67</v>
      </c>
      <c r="F71" s="72">
        <f>F70</f>
        <v>165</v>
      </c>
      <c r="G71" s="48">
        <f t="shared" si="52"/>
        <v>299.25</v>
      </c>
      <c r="H71" s="72">
        <v>285</v>
      </c>
      <c r="I71" s="49">
        <v>0.05</v>
      </c>
      <c r="J71" s="48">
        <v>235</v>
      </c>
      <c r="K71" s="48">
        <f>(F71+G71+J71)*$K$5</f>
        <v>41.955</v>
      </c>
      <c r="L71" s="48">
        <f>(F71+G71+J71+K71)*$L$5</f>
        <v>22.23615</v>
      </c>
      <c r="M71" s="76">
        <f t="shared" si="55"/>
        <v>1068.81761</v>
      </c>
      <c r="N71" s="77"/>
      <c r="O71" s="48">
        <f t="shared" si="53"/>
        <v>13541.9191187</v>
      </c>
      <c r="P71" s="75" t="str">
        <f>P45</f>
        <v>厂家定制</v>
      </c>
      <c r="Q71" s="78"/>
      <c r="R71" s="46">
        <f t="shared" si="5"/>
        <v>13541.9191187</v>
      </c>
      <c r="S71" s="46">
        <f t="shared" si="6"/>
        <v>763.44115</v>
      </c>
      <c r="T71" s="46" t="b">
        <f t="shared" si="7"/>
        <v>1</v>
      </c>
      <c r="U71" s="46" t="b">
        <f t="shared" si="8"/>
        <v>0</v>
      </c>
    </row>
    <row r="72" s="69" customFormat="1" customHeight="1" outlineLevel="1" spans="1:21">
      <c r="A72" s="32">
        <v>56</v>
      </c>
      <c r="B72" s="32" t="s">
        <v>144</v>
      </c>
      <c r="C72" s="32" t="s">
        <v>148</v>
      </c>
      <c r="D72" s="32" t="s">
        <v>59</v>
      </c>
      <c r="E72" s="32">
        <v>31.43</v>
      </c>
      <c r="F72" s="72">
        <v>35</v>
      </c>
      <c r="G72" s="48">
        <f t="shared" si="52"/>
        <v>173.25</v>
      </c>
      <c r="H72" s="72">
        <f>H70</f>
        <v>165</v>
      </c>
      <c r="I72" s="49">
        <v>0.05</v>
      </c>
      <c r="J72" s="48">
        <v>55</v>
      </c>
      <c r="K72" s="48">
        <f>(F72+G72+J72)*$K$5</f>
        <v>15.795</v>
      </c>
      <c r="L72" s="48">
        <f>(F72+G72+J72+K72)*$L$5</f>
        <v>8.37135</v>
      </c>
      <c r="M72" s="76">
        <f t="shared" si="55"/>
        <v>402.38289</v>
      </c>
      <c r="N72" s="77"/>
      <c r="O72" s="48">
        <f t="shared" si="53"/>
        <v>12646.8942327</v>
      </c>
      <c r="P72" s="75"/>
      <c r="Q72" s="78"/>
      <c r="R72" s="46">
        <f t="shared" si="5"/>
        <v>12646.8942327</v>
      </c>
      <c r="S72" s="46">
        <f t="shared" si="6"/>
        <v>287.41635</v>
      </c>
      <c r="T72" s="46" t="b">
        <f t="shared" si="7"/>
        <v>1</v>
      </c>
      <c r="U72" s="46" t="b">
        <f t="shared" si="8"/>
        <v>0</v>
      </c>
    </row>
    <row r="73" s="69" customFormat="1" customHeight="1" outlineLevel="1" spans="1:21">
      <c r="A73" s="32">
        <v>57</v>
      </c>
      <c r="B73" s="32" t="s">
        <v>149</v>
      </c>
      <c r="C73" s="32" t="s">
        <v>150</v>
      </c>
      <c r="D73" s="32" t="s">
        <v>59</v>
      </c>
      <c r="E73" s="32">
        <v>9.14</v>
      </c>
      <c r="F73" s="72">
        <v>25</v>
      </c>
      <c r="G73" s="48">
        <f t="shared" si="52"/>
        <v>148.5</v>
      </c>
      <c r="H73" s="72">
        <v>135</v>
      </c>
      <c r="I73" s="49">
        <v>0.1</v>
      </c>
      <c r="J73" s="48">
        <v>15</v>
      </c>
      <c r="K73" s="48">
        <f>(F73+G73+J73)*$K$5</f>
        <v>11.31</v>
      </c>
      <c r="L73" s="48">
        <f>(F73+G73+J73+K73)*$L$5</f>
        <v>5.9943</v>
      </c>
      <c r="M73" s="76">
        <f t="shared" si="55"/>
        <v>288.12602</v>
      </c>
      <c r="N73" s="77"/>
      <c r="O73" s="48">
        <f t="shared" si="53"/>
        <v>2633.4718228</v>
      </c>
      <c r="P73" s="75"/>
      <c r="Q73" s="78"/>
      <c r="R73" s="46">
        <f t="shared" si="5"/>
        <v>2633.4718228</v>
      </c>
      <c r="S73" s="46">
        <f t="shared" si="6"/>
        <v>205.8043</v>
      </c>
      <c r="T73" s="46" t="b">
        <f t="shared" si="7"/>
        <v>1</v>
      </c>
      <c r="U73" s="46" t="b">
        <f t="shared" si="8"/>
        <v>0</v>
      </c>
    </row>
    <row r="74" s="69" customFormat="1" customHeight="1" outlineLevel="1" spans="1:21">
      <c r="A74" s="32">
        <v>58</v>
      </c>
      <c r="B74" s="32" t="s">
        <v>151</v>
      </c>
      <c r="C74" s="32" t="s">
        <v>152</v>
      </c>
      <c r="D74" s="32" t="s">
        <v>59</v>
      </c>
      <c r="E74" s="32">
        <v>12.31</v>
      </c>
      <c r="F74" s="72">
        <f>F70-20</f>
        <v>145</v>
      </c>
      <c r="G74" s="48">
        <f t="shared" si="52"/>
        <v>141.75</v>
      </c>
      <c r="H74" s="72">
        <v>135</v>
      </c>
      <c r="I74" s="49">
        <f>I70</f>
        <v>0.05</v>
      </c>
      <c r="J74" s="48">
        <f>J70</f>
        <v>95</v>
      </c>
      <c r="K74" s="48">
        <f>(F74+G74+J74)*$K$5</f>
        <v>22.905</v>
      </c>
      <c r="L74" s="48">
        <f>(F74+G74+J74+K74)*$L$5</f>
        <v>12.13965</v>
      </c>
      <c r="M74" s="76">
        <f t="shared" si="55"/>
        <v>583.51251</v>
      </c>
      <c r="N74" s="77"/>
      <c r="O74" s="48">
        <f t="shared" si="53"/>
        <v>7183.0389981</v>
      </c>
      <c r="P74" s="75"/>
      <c r="Q74" s="78"/>
      <c r="R74" s="46">
        <f t="shared" si="5"/>
        <v>7183.0389981</v>
      </c>
      <c r="S74" s="46">
        <f t="shared" si="6"/>
        <v>416.79465</v>
      </c>
      <c r="T74" s="46" t="b">
        <f t="shared" si="7"/>
        <v>1</v>
      </c>
      <c r="U74" s="46" t="b">
        <f t="shared" si="8"/>
        <v>0</v>
      </c>
    </row>
    <row r="75" s="69" customFormat="1" customHeight="1" spans="1:21">
      <c r="A75" s="32"/>
      <c r="B75" s="32" t="s">
        <v>153</v>
      </c>
      <c r="C75" s="32"/>
      <c r="D75" s="32"/>
      <c r="E75" s="32"/>
      <c r="F75" s="72"/>
      <c r="G75" s="48"/>
      <c r="H75" s="72"/>
      <c r="I75" s="49"/>
      <c r="J75" s="48"/>
      <c r="K75" s="48"/>
      <c r="L75" s="48"/>
      <c r="M75" s="48">
        <f>SUM(O76:O86)</f>
        <v>582837.69076162</v>
      </c>
      <c r="N75" s="48"/>
      <c r="O75" s="48"/>
      <c r="P75" s="75"/>
      <c r="Q75" s="78"/>
      <c r="R75" s="46">
        <f t="shared" si="5"/>
        <v>0</v>
      </c>
      <c r="S75" s="46">
        <f t="shared" si="6"/>
        <v>0</v>
      </c>
      <c r="T75" s="46" t="b">
        <f t="shared" si="7"/>
        <v>1</v>
      </c>
      <c r="U75" s="46" t="b">
        <f t="shared" si="8"/>
        <v>0</v>
      </c>
    </row>
    <row r="76" s="69" customFormat="1" customHeight="1" outlineLevel="1" spans="1:21">
      <c r="A76" s="51">
        <v>59</v>
      </c>
      <c r="B76" s="51" t="s">
        <v>69</v>
      </c>
      <c r="C76" s="51" t="s">
        <v>154</v>
      </c>
      <c r="D76" s="51" t="s">
        <v>59</v>
      </c>
      <c r="E76" s="51">
        <f>32.41-2.22</f>
        <v>30.19</v>
      </c>
      <c r="F76" s="79">
        <f>30+20*2+25+10</f>
        <v>105</v>
      </c>
      <c r="G76" s="80">
        <f t="shared" ref="G76:G86" si="58">H76*(1+I76)</f>
        <v>57.24</v>
      </c>
      <c r="H76" s="79">
        <f>15+38</f>
        <v>53</v>
      </c>
      <c r="I76" s="57">
        <v>0.08</v>
      </c>
      <c r="J76" s="80">
        <f>45+10+15+5</f>
        <v>75</v>
      </c>
      <c r="K76" s="80">
        <f>(F76+G76+J76)*$K$5</f>
        <v>14.2344</v>
      </c>
      <c r="L76" s="80">
        <f>(F76+G76+J76+K76)*$L$5</f>
        <v>7.544232</v>
      </c>
      <c r="M76" s="53">
        <v>617.50353</v>
      </c>
      <c r="N76" s="54"/>
      <c r="O76" s="80">
        <f t="shared" ref="O76:O86" si="59">M76*E76</f>
        <v>18642.4315707</v>
      </c>
      <c r="P76" s="58" t="str">
        <f>P13</f>
        <v>龙骨驰龙、石膏板泰山</v>
      </c>
      <c r="Q76" s="78" t="s">
        <v>155</v>
      </c>
      <c r="R76" s="46">
        <f t="shared" ref="R76:R92" si="60">E76*M76</f>
        <v>18642.4315707</v>
      </c>
      <c r="S76" s="46">
        <f t="shared" ref="S76:S92" si="61">F76+G76+J76+K76+L76</f>
        <v>259.018632</v>
      </c>
      <c r="T76" s="46" t="b">
        <f t="shared" ref="T76:T92" si="62">O76=R76</f>
        <v>1</v>
      </c>
      <c r="U76" s="46" t="b">
        <f t="shared" ref="U76:U92" si="63">M76=S76</f>
        <v>0</v>
      </c>
    </row>
    <row r="77" s="69" customFormat="1" customHeight="1" outlineLevel="1" spans="1:21">
      <c r="A77" s="52"/>
      <c r="B77" s="52"/>
      <c r="C77" s="52"/>
      <c r="D77" s="52"/>
      <c r="E77" s="52"/>
      <c r="F77" s="81"/>
      <c r="G77" s="82"/>
      <c r="H77" s="81"/>
      <c r="I77" s="59"/>
      <c r="J77" s="82"/>
      <c r="K77" s="82"/>
      <c r="L77" s="82"/>
      <c r="M77" s="55"/>
      <c r="N77" s="56"/>
      <c r="O77" s="82"/>
      <c r="P77" s="60"/>
      <c r="Q77" s="78"/>
      <c r="R77" s="46">
        <f t="shared" si="60"/>
        <v>0</v>
      </c>
      <c r="S77" s="46">
        <f t="shared" si="61"/>
        <v>0</v>
      </c>
      <c r="T77" s="46" t="b">
        <f t="shared" si="62"/>
        <v>1</v>
      </c>
      <c r="U77" s="46" t="b">
        <f t="shared" si="63"/>
        <v>1</v>
      </c>
    </row>
    <row r="78" s="69" customFormat="1" customHeight="1" outlineLevel="1" spans="1:21">
      <c r="A78" s="32">
        <v>60</v>
      </c>
      <c r="B78" s="32" t="s">
        <v>69</v>
      </c>
      <c r="C78" s="32" t="s">
        <v>156</v>
      </c>
      <c r="D78" s="32" t="s">
        <v>59</v>
      </c>
      <c r="E78" s="32">
        <v>70.53</v>
      </c>
      <c r="F78" s="72">
        <f>F13</f>
        <v>125</v>
      </c>
      <c r="G78" s="48">
        <f t="shared" si="58"/>
        <v>324</v>
      </c>
      <c r="H78" s="72">
        <f>H13</f>
        <v>300</v>
      </c>
      <c r="I78" s="49">
        <v>0.08</v>
      </c>
      <c r="J78" s="48">
        <f>38*2+55+10</f>
        <v>141</v>
      </c>
      <c r="K78" s="48">
        <f>(F78+G78+J78)*$K$5</f>
        <v>35.4</v>
      </c>
      <c r="L78" s="48">
        <f>(F78+G78+J78+K78)*$L$5</f>
        <v>18.762</v>
      </c>
      <c r="M78" s="76">
        <f t="shared" ref="M78:M83" si="64">(F78+G78+J78+K78+L78)*1.4</f>
        <v>901.8268</v>
      </c>
      <c r="N78" s="77"/>
      <c r="O78" s="48">
        <f t="shared" si="59"/>
        <v>63605.844204</v>
      </c>
      <c r="P78" s="75" t="str">
        <f>P76</f>
        <v>龙骨驰龙、石膏板泰山</v>
      </c>
      <c r="Q78" s="78" t="s">
        <v>157</v>
      </c>
      <c r="R78" s="46">
        <f t="shared" si="60"/>
        <v>63605.844204</v>
      </c>
      <c r="S78" s="46">
        <f t="shared" si="61"/>
        <v>644.162</v>
      </c>
      <c r="T78" s="46" t="b">
        <f t="shared" si="62"/>
        <v>1</v>
      </c>
      <c r="U78" s="46" t="b">
        <f t="shared" si="63"/>
        <v>0</v>
      </c>
    </row>
    <row r="79" s="69" customFormat="1" customHeight="1" outlineLevel="1" spans="1:21">
      <c r="A79" s="32">
        <v>61</v>
      </c>
      <c r="B79" s="32" t="s">
        <v>72</v>
      </c>
      <c r="C79" s="32" t="s">
        <v>158</v>
      </c>
      <c r="D79" s="32" t="s">
        <v>59</v>
      </c>
      <c r="E79" s="32">
        <v>151.02</v>
      </c>
      <c r="F79" s="72">
        <f t="shared" ref="F79:J79" si="65">F14</f>
        <v>155</v>
      </c>
      <c r="G79" s="48">
        <f t="shared" si="58"/>
        <v>324</v>
      </c>
      <c r="H79" s="72">
        <f t="shared" si="65"/>
        <v>300</v>
      </c>
      <c r="I79" s="48">
        <f t="shared" si="65"/>
        <v>0.08</v>
      </c>
      <c r="J79" s="48">
        <f t="shared" si="65"/>
        <v>125</v>
      </c>
      <c r="K79" s="48">
        <f>(F79+G79+J79)*$K$5</f>
        <v>36.24</v>
      </c>
      <c r="L79" s="48">
        <f>(F79+G79+J79+K79)*$L$5</f>
        <v>19.2072</v>
      </c>
      <c r="M79" s="76">
        <f t="shared" si="64"/>
        <v>923.22608</v>
      </c>
      <c r="N79" s="77"/>
      <c r="O79" s="48">
        <f t="shared" si="59"/>
        <v>139425.6026016</v>
      </c>
      <c r="P79" s="75" t="str">
        <f>P78</f>
        <v>龙骨驰龙、石膏板泰山</v>
      </c>
      <c r="Q79" s="78" t="s">
        <v>157</v>
      </c>
      <c r="R79" s="46">
        <f t="shared" si="60"/>
        <v>139425.6026016</v>
      </c>
      <c r="S79" s="46">
        <f t="shared" si="61"/>
        <v>659.4472</v>
      </c>
      <c r="T79" s="46" t="b">
        <f t="shared" si="62"/>
        <v>1</v>
      </c>
      <c r="U79" s="46" t="b">
        <f t="shared" si="63"/>
        <v>0</v>
      </c>
    </row>
    <row r="80" s="69" customFormat="1" customHeight="1" outlineLevel="1" spans="1:21">
      <c r="A80" s="51">
        <v>62</v>
      </c>
      <c r="B80" s="51" t="s">
        <v>69</v>
      </c>
      <c r="C80" s="51" t="s">
        <v>159</v>
      </c>
      <c r="D80" s="51" t="s">
        <v>59</v>
      </c>
      <c r="E80" s="51">
        <v>60.33</v>
      </c>
      <c r="F80" s="74">
        <v>185</v>
      </c>
      <c r="G80" s="73">
        <f t="shared" si="58"/>
        <v>291.5</v>
      </c>
      <c r="H80" s="74">
        <v>265</v>
      </c>
      <c r="I80" s="57">
        <v>0.1</v>
      </c>
      <c r="J80" s="73">
        <v>155</v>
      </c>
      <c r="K80" s="73">
        <f>(F80+G80+J80)*$K$5</f>
        <v>37.89</v>
      </c>
      <c r="L80" s="73">
        <f>(F80+G80+J80+K80)*$L$5</f>
        <v>20.0817</v>
      </c>
      <c r="M80" s="76">
        <f t="shared" si="64"/>
        <v>965.26038</v>
      </c>
      <c r="N80" s="77"/>
      <c r="O80" s="73">
        <f t="shared" si="59"/>
        <v>58234.1587254</v>
      </c>
      <c r="P80" s="87" t="str">
        <f>P79</f>
        <v>龙骨驰龙、石膏板泰山</v>
      </c>
      <c r="Q80" s="78" t="s">
        <v>160</v>
      </c>
      <c r="R80" s="46">
        <f t="shared" si="60"/>
        <v>58234.1587254</v>
      </c>
      <c r="S80" s="46">
        <f t="shared" si="61"/>
        <v>689.4717</v>
      </c>
      <c r="T80" s="46" t="b">
        <f t="shared" si="62"/>
        <v>1</v>
      </c>
      <c r="U80" s="46" t="b">
        <f t="shared" si="63"/>
        <v>0</v>
      </c>
    </row>
    <row r="81" s="69" customFormat="1" customHeight="1" outlineLevel="1" spans="1:21">
      <c r="A81" s="51">
        <v>63</v>
      </c>
      <c r="B81" s="51" t="s">
        <v>69</v>
      </c>
      <c r="C81" s="51" t="s">
        <v>161</v>
      </c>
      <c r="D81" s="51" t="s">
        <v>59</v>
      </c>
      <c r="E81" s="51">
        <v>12.56</v>
      </c>
      <c r="F81" s="74">
        <f>35+20*2+35+15</f>
        <v>125</v>
      </c>
      <c r="G81" s="73">
        <f t="shared" si="58"/>
        <v>128.1</v>
      </c>
      <c r="H81" s="74">
        <f>15+42+65</f>
        <v>122</v>
      </c>
      <c r="I81" s="57">
        <v>0.05</v>
      </c>
      <c r="J81" s="73">
        <f>45+5+15</f>
        <v>65</v>
      </c>
      <c r="K81" s="73">
        <f>(F81+G81+J81)*$K$5</f>
        <v>19.086</v>
      </c>
      <c r="L81" s="73">
        <f>(F81+G81+J81+K81)*$L$5</f>
        <v>10.11558</v>
      </c>
      <c r="M81" s="76">
        <f t="shared" si="64"/>
        <v>486.222212</v>
      </c>
      <c r="N81" s="77"/>
      <c r="O81" s="73">
        <f t="shared" si="59"/>
        <v>6106.95098272</v>
      </c>
      <c r="P81" s="73" t="str">
        <f>P80</f>
        <v>龙骨驰龙、石膏板泰山</v>
      </c>
      <c r="Q81" s="78"/>
      <c r="R81" s="46">
        <f t="shared" si="60"/>
        <v>6106.95098272</v>
      </c>
      <c r="S81" s="46">
        <f t="shared" si="61"/>
        <v>347.30158</v>
      </c>
      <c r="T81" s="46" t="b">
        <f t="shared" si="62"/>
        <v>1</v>
      </c>
      <c r="U81" s="46" t="b">
        <f t="shared" si="63"/>
        <v>0</v>
      </c>
    </row>
    <row r="82" s="69" customFormat="1" customHeight="1" outlineLevel="1" spans="1:21">
      <c r="A82" s="32">
        <v>64</v>
      </c>
      <c r="B82" s="32" t="s">
        <v>69</v>
      </c>
      <c r="C82" s="32" t="s">
        <v>162</v>
      </c>
      <c r="D82" s="32" t="s">
        <v>59</v>
      </c>
      <c r="E82" s="32">
        <v>29.65</v>
      </c>
      <c r="F82" s="72">
        <f t="shared" ref="F82:J82" si="66">F81</f>
        <v>125</v>
      </c>
      <c r="G82" s="48">
        <f t="shared" si="58"/>
        <v>88.2</v>
      </c>
      <c r="H82" s="72">
        <f>H81-38</f>
        <v>84</v>
      </c>
      <c r="I82" s="49">
        <f t="shared" si="66"/>
        <v>0.05</v>
      </c>
      <c r="J82" s="48">
        <f t="shared" si="66"/>
        <v>65</v>
      </c>
      <c r="K82" s="48">
        <f>(F82+G82+J82)*$K$5</f>
        <v>16.692</v>
      </c>
      <c r="L82" s="48">
        <f>(F82+G82+J82+K82)*$L$5</f>
        <v>8.84676</v>
      </c>
      <c r="M82" s="76">
        <f t="shared" si="64"/>
        <v>425.234264</v>
      </c>
      <c r="N82" s="77"/>
      <c r="O82" s="48">
        <f t="shared" si="59"/>
        <v>12608.1959276</v>
      </c>
      <c r="P82" s="75" t="str">
        <f>P81</f>
        <v>龙骨驰龙、石膏板泰山</v>
      </c>
      <c r="Q82" s="78" t="s">
        <v>157</v>
      </c>
      <c r="R82" s="46">
        <f t="shared" si="60"/>
        <v>12608.1959276</v>
      </c>
      <c r="S82" s="46">
        <f t="shared" si="61"/>
        <v>303.73876</v>
      </c>
      <c r="T82" s="46" t="b">
        <f t="shared" si="62"/>
        <v>1</v>
      </c>
      <c r="U82" s="46" t="b">
        <f t="shared" si="63"/>
        <v>0</v>
      </c>
    </row>
    <row r="83" s="69" customFormat="1" customHeight="1" outlineLevel="1" spans="1:21">
      <c r="A83" s="51">
        <v>65</v>
      </c>
      <c r="B83" s="51" t="s">
        <v>69</v>
      </c>
      <c r="C83" s="51" t="s">
        <v>163</v>
      </c>
      <c r="D83" s="51" t="s">
        <v>59</v>
      </c>
      <c r="E83" s="51">
        <v>29.2</v>
      </c>
      <c r="F83" s="74">
        <f>F82*1.8</f>
        <v>225</v>
      </c>
      <c r="G83" s="73">
        <f t="shared" si="58"/>
        <v>214.11</v>
      </c>
      <c r="H83" s="74">
        <f>H81*1.3</f>
        <v>158.6</v>
      </c>
      <c r="I83" s="57">
        <v>0.35</v>
      </c>
      <c r="J83" s="73">
        <f>J81*2</f>
        <v>130</v>
      </c>
      <c r="K83" s="73">
        <f>(F83+G83+J83)*$K$5</f>
        <v>34.1466</v>
      </c>
      <c r="L83" s="73">
        <f>(F83+G83+J83+K83)*$L$5</f>
        <v>18.097698</v>
      </c>
      <c r="M83" s="76">
        <f t="shared" si="64"/>
        <v>869.8960172</v>
      </c>
      <c r="N83" s="77"/>
      <c r="O83" s="80">
        <f t="shared" si="59"/>
        <v>25400.96370224</v>
      </c>
      <c r="P83" s="80" t="str">
        <f>P82</f>
        <v>龙骨驰龙、石膏板泰山</v>
      </c>
      <c r="Q83" s="78"/>
      <c r="R83" s="46">
        <f t="shared" si="60"/>
        <v>25400.96370224</v>
      </c>
      <c r="S83" s="46">
        <f t="shared" si="61"/>
        <v>621.354298</v>
      </c>
      <c r="T83" s="46" t="b">
        <f t="shared" si="62"/>
        <v>1</v>
      </c>
      <c r="U83" s="46" t="b">
        <f t="shared" si="63"/>
        <v>0</v>
      </c>
    </row>
    <row r="84" s="69" customFormat="1" customHeight="1" outlineLevel="1" spans="1:21">
      <c r="A84" s="51">
        <v>66</v>
      </c>
      <c r="B84" s="51" t="s">
        <v>69</v>
      </c>
      <c r="C84" s="51" t="s">
        <v>164</v>
      </c>
      <c r="D84" s="51" t="s">
        <v>59</v>
      </c>
      <c r="E84" s="51">
        <v>494.88</v>
      </c>
      <c r="F84" s="74">
        <f t="shared" ref="F84:J84" si="67">F81</f>
        <v>125</v>
      </c>
      <c r="G84" s="73">
        <f t="shared" si="58"/>
        <v>128.1</v>
      </c>
      <c r="H84" s="74">
        <f t="shared" si="67"/>
        <v>122</v>
      </c>
      <c r="I84" s="57">
        <f t="shared" si="67"/>
        <v>0.05</v>
      </c>
      <c r="J84" s="73">
        <f t="shared" si="67"/>
        <v>65</v>
      </c>
      <c r="K84" s="73">
        <f>(F84+G84+J84)*$K$5</f>
        <v>19.086</v>
      </c>
      <c r="L84" s="73">
        <f>(F84+G84+J84+K84)*$L$5</f>
        <v>10.11558</v>
      </c>
      <c r="M84" s="76">
        <f t="shared" ref="M84:M94" si="68">(F84+G84+J84+K84+L84)*1.4</f>
        <v>486.222212</v>
      </c>
      <c r="N84" s="77"/>
      <c r="O84" s="80">
        <f t="shared" si="59"/>
        <v>240621.64827456</v>
      </c>
      <c r="P84" s="80"/>
      <c r="Q84" s="78"/>
      <c r="R84" s="46">
        <f t="shared" si="60"/>
        <v>240621.64827456</v>
      </c>
      <c r="S84" s="46">
        <f t="shared" si="61"/>
        <v>347.30158</v>
      </c>
      <c r="T84" s="46" t="b">
        <f t="shared" si="62"/>
        <v>1</v>
      </c>
      <c r="U84" s="46" t="b">
        <f t="shared" si="63"/>
        <v>0</v>
      </c>
    </row>
    <row r="85" s="69" customFormat="1" customHeight="1" outlineLevel="1" spans="1:21">
      <c r="A85" s="51">
        <v>67</v>
      </c>
      <c r="B85" s="51" t="s">
        <v>165</v>
      </c>
      <c r="C85" s="51" t="s">
        <v>166</v>
      </c>
      <c r="D85" s="51" t="s">
        <v>59</v>
      </c>
      <c r="E85" s="51">
        <v>14.3</v>
      </c>
      <c r="F85" s="74">
        <f>20+135+50</f>
        <v>205</v>
      </c>
      <c r="G85" s="73">
        <f t="shared" si="58"/>
        <v>368</v>
      </c>
      <c r="H85" s="74">
        <v>320</v>
      </c>
      <c r="I85" s="57">
        <v>0.15</v>
      </c>
      <c r="J85" s="73">
        <v>155</v>
      </c>
      <c r="K85" s="73">
        <f>(F85+G85+J85)*$K$5</f>
        <v>43.68</v>
      </c>
      <c r="L85" s="73">
        <f>(F85+G85+J85+K85)*$L$5</f>
        <v>23.1504</v>
      </c>
      <c r="M85" s="76">
        <f t="shared" si="68"/>
        <v>1112.76256</v>
      </c>
      <c r="N85" s="77"/>
      <c r="O85" s="73">
        <f t="shared" si="59"/>
        <v>15912.504608</v>
      </c>
      <c r="P85" s="87"/>
      <c r="Q85" s="78"/>
      <c r="R85" s="46">
        <f t="shared" si="60"/>
        <v>15912.504608</v>
      </c>
      <c r="S85" s="46">
        <f t="shared" si="61"/>
        <v>794.8304</v>
      </c>
      <c r="T85" s="46" t="b">
        <f t="shared" si="62"/>
        <v>1</v>
      </c>
      <c r="U85" s="46" t="b">
        <f t="shared" si="63"/>
        <v>0</v>
      </c>
    </row>
    <row r="86" s="69" customFormat="1" customHeight="1" outlineLevel="1" spans="1:21">
      <c r="A86" s="32">
        <v>68</v>
      </c>
      <c r="B86" s="32" t="s">
        <v>69</v>
      </c>
      <c r="C86" s="32" t="s">
        <v>167</v>
      </c>
      <c r="D86" s="32" t="s">
        <v>59</v>
      </c>
      <c r="E86" s="32">
        <v>2.72</v>
      </c>
      <c r="F86" s="72">
        <v>185</v>
      </c>
      <c r="G86" s="48">
        <f t="shared" si="58"/>
        <v>278.25</v>
      </c>
      <c r="H86" s="72">
        <v>265</v>
      </c>
      <c r="I86" s="49">
        <v>0.05</v>
      </c>
      <c r="J86" s="48">
        <v>85</v>
      </c>
      <c r="K86" s="48">
        <f>(F86+G86+J86)*$K$5</f>
        <v>32.895</v>
      </c>
      <c r="L86" s="48">
        <f>(F86+G86+J86+K86)*$L$5</f>
        <v>17.43435</v>
      </c>
      <c r="M86" s="76">
        <f t="shared" si="68"/>
        <v>838.01109</v>
      </c>
      <c r="N86" s="77"/>
      <c r="O86" s="48">
        <f t="shared" si="59"/>
        <v>2279.3901648</v>
      </c>
      <c r="P86" s="75"/>
      <c r="Q86" s="78"/>
      <c r="R86" s="46">
        <f t="shared" si="60"/>
        <v>2279.3901648</v>
      </c>
      <c r="S86" s="46">
        <f t="shared" si="61"/>
        <v>598.57935</v>
      </c>
      <c r="T86" s="46" t="b">
        <f t="shared" si="62"/>
        <v>1</v>
      </c>
      <c r="U86" s="46" t="b">
        <f t="shared" si="63"/>
        <v>0</v>
      </c>
    </row>
    <row r="87" s="69" customFormat="1" customHeight="1" spans="1:21">
      <c r="A87" s="32"/>
      <c r="B87" s="32" t="s">
        <v>168</v>
      </c>
      <c r="C87" s="32"/>
      <c r="D87" s="32"/>
      <c r="E87" s="32"/>
      <c r="F87" s="72"/>
      <c r="G87" s="48"/>
      <c r="H87" s="72"/>
      <c r="I87" s="49"/>
      <c r="J87" s="48"/>
      <c r="K87" s="48"/>
      <c r="L87" s="48"/>
      <c r="M87" s="48">
        <f>SUM(O88:O335)</f>
        <v>1996209.39689066</v>
      </c>
      <c r="N87" s="48"/>
      <c r="O87" s="48"/>
      <c r="P87" s="75"/>
      <c r="Q87" s="78"/>
      <c r="R87" s="46">
        <f t="shared" si="60"/>
        <v>0</v>
      </c>
      <c r="S87" s="46">
        <f t="shared" si="61"/>
        <v>0</v>
      </c>
      <c r="T87" s="46" t="b">
        <f t="shared" si="62"/>
        <v>1</v>
      </c>
      <c r="U87" s="46" t="b">
        <f t="shared" si="63"/>
        <v>0</v>
      </c>
    </row>
    <row r="88" s="69" customFormat="1" customHeight="1" spans="1:21">
      <c r="A88" s="32"/>
      <c r="B88" s="32" t="s">
        <v>169</v>
      </c>
      <c r="C88" s="32"/>
      <c r="D88" s="32"/>
      <c r="E88" s="32"/>
      <c r="F88" s="72"/>
      <c r="G88" s="48"/>
      <c r="H88" s="72"/>
      <c r="I88" s="49"/>
      <c r="J88" s="48"/>
      <c r="K88" s="48"/>
      <c r="L88" s="48"/>
      <c r="M88" s="48"/>
      <c r="N88" s="48"/>
      <c r="O88" s="48"/>
      <c r="P88" s="75"/>
      <c r="Q88" s="78"/>
      <c r="R88" s="46">
        <f t="shared" si="60"/>
        <v>0</v>
      </c>
      <c r="S88" s="46">
        <f t="shared" si="61"/>
        <v>0</v>
      </c>
      <c r="T88" s="46" t="b">
        <f t="shared" si="62"/>
        <v>1</v>
      </c>
      <c r="U88" s="46" t="b">
        <f t="shared" si="63"/>
        <v>1</v>
      </c>
    </row>
    <row r="89" s="69" customFormat="1" customHeight="1" outlineLevel="1" spans="1:21">
      <c r="A89" s="32">
        <v>69</v>
      </c>
      <c r="B89" s="32" t="s">
        <v>170</v>
      </c>
      <c r="C89" s="32" t="s">
        <v>171</v>
      </c>
      <c r="D89" s="32" t="s">
        <v>59</v>
      </c>
      <c r="E89" s="32">
        <v>3.82</v>
      </c>
      <c r="F89" s="72">
        <f t="shared" ref="F89:J89" si="69">F19</f>
        <v>190</v>
      </c>
      <c r="G89" s="48">
        <f t="shared" ref="G89:G94" si="70">H89*(1+I89)</f>
        <v>315</v>
      </c>
      <c r="H89" s="72">
        <f t="shared" si="69"/>
        <v>300</v>
      </c>
      <c r="I89" s="49">
        <f t="shared" si="69"/>
        <v>0.05</v>
      </c>
      <c r="J89" s="48">
        <f t="shared" si="69"/>
        <v>150</v>
      </c>
      <c r="K89" s="48">
        <f>(F89+G89+J89)*$K$5</f>
        <v>39.3</v>
      </c>
      <c r="L89" s="48">
        <f>(F89+G89+J89+K89)*$L$5</f>
        <v>20.829</v>
      </c>
      <c r="M89" s="76">
        <f t="shared" si="68"/>
        <v>1001.1806</v>
      </c>
      <c r="N89" s="77"/>
      <c r="O89" s="48">
        <f t="shared" ref="O89:O94" si="71">M89*E89</f>
        <v>3824.509892</v>
      </c>
      <c r="P89" s="75" t="str">
        <f>P71</f>
        <v>厂家定制</v>
      </c>
      <c r="Q89" s="78"/>
      <c r="R89" s="46">
        <f t="shared" si="60"/>
        <v>3824.509892</v>
      </c>
      <c r="S89" s="46">
        <f t="shared" si="61"/>
        <v>715.129</v>
      </c>
      <c r="T89" s="46" t="b">
        <f t="shared" si="62"/>
        <v>1</v>
      </c>
      <c r="U89" s="46" t="b">
        <f t="shared" si="63"/>
        <v>0</v>
      </c>
    </row>
    <row r="90" s="69" customFormat="1" customHeight="1" outlineLevel="1" spans="1:21">
      <c r="A90" s="32">
        <v>70</v>
      </c>
      <c r="B90" s="32" t="s">
        <v>172</v>
      </c>
      <c r="C90" s="32" t="s">
        <v>173</v>
      </c>
      <c r="D90" s="32" t="s">
        <v>59</v>
      </c>
      <c r="E90" s="32">
        <v>9.83</v>
      </c>
      <c r="F90" s="72">
        <v>185</v>
      </c>
      <c r="G90" s="48">
        <f t="shared" si="70"/>
        <v>336</v>
      </c>
      <c r="H90" s="72">
        <v>320</v>
      </c>
      <c r="I90" s="49">
        <v>0.05</v>
      </c>
      <c r="J90" s="48">
        <v>35</v>
      </c>
      <c r="K90" s="48">
        <f>(F90+G90+J90)*$K$5</f>
        <v>33.36</v>
      </c>
      <c r="L90" s="48">
        <f>(F90+G90+J90+K90)*$L$5</f>
        <v>17.6808</v>
      </c>
      <c r="M90" s="76">
        <f t="shared" si="68"/>
        <v>849.85712</v>
      </c>
      <c r="N90" s="77"/>
      <c r="O90" s="48">
        <f t="shared" si="71"/>
        <v>8354.0954896</v>
      </c>
      <c r="P90" s="75"/>
      <c r="Q90" s="78"/>
      <c r="R90" s="46">
        <f t="shared" si="60"/>
        <v>8354.0954896</v>
      </c>
      <c r="S90" s="46">
        <f t="shared" si="61"/>
        <v>607.0408</v>
      </c>
      <c r="T90" s="46" t="b">
        <f t="shared" si="62"/>
        <v>1</v>
      </c>
      <c r="U90" s="46" t="b">
        <f t="shared" si="63"/>
        <v>0</v>
      </c>
    </row>
    <row r="91" s="69" customFormat="1" customHeight="1" outlineLevel="1" spans="1:21">
      <c r="A91" s="51">
        <v>71</v>
      </c>
      <c r="B91" s="51" t="s">
        <v>174</v>
      </c>
      <c r="C91" s="51" t="s">
        <v>175</v>
      </c>
      <c r="D91" s="51" t="s">
        <v>59</v>
      </c>
      <c r="E91" s="51">
        <v>27.79</v>
      </c>
      <c r="F91" s="74">
        <v>260</v>
      </c>
      <c r="G91" s="73">
        <f t="shared" si="70"/>
        <v>441</v>
      </c>
      <c r="H91" s="74">
        <v>420</v>
      </c>
      <c r="I91" s="57">
        <v>0.05</v>
      </c>
      <c r="J91" s="73">
        <v>164</v>
      </c>
      <c r="K91" s="73">
        <f>(F91+G91+J91)*$K$5</f>
        <v>51.9</v>
      </c>
      <c r="L91" s="73">
        <f>(F91+G91+J91+K91)*$L$5</f>
        <v>27.507</v>
      </c>
      <c r="M91" s="76">
        <f t="shared" si="68"/>
        <v>1322.1698</v>
      </c>
      <c r="N91" s="77"/>
      <c r="O91" s="73">
        <f t="shared" si="71"/>
        <v>36743.098742</v>
      </c>
      <c r="P91" s="87" t="str">
        <f>P89</f>
        <v>厂家定制</v>
      </c>
      <c r="Q91" s="78"/>
      <c r="R91" s="46">
        <f t="shared" si="60"/>
        <v>36743.098742</v>
      </c>
      <c r="S91" s="46">
        <f t="shared" si="61"/>
        <v>944.407</v>
      </c>
      <c r="T91" s="46" t="b">
        <f t="shared" si="62"/>
        <v>1</v>
      </c>
      <c r="U91" s="46" t="b">
        <f t="shared" si="63"/>
        <v>0</v>
      </c>
    </row>
    <row r="92" s="69" customFormat="1" customHeight="1" outlineLevel="1" spans="1:21">
      <c r="A92" s="51">
        <v>72</v>
      </c>
      <c r="B92" s="51" t="s">
        <v>176</v>
      </c>
      <c r="C92" s="51" t="s">
        <v>177</v>
      </c>
      <c r="D92" s="51" t="s">
        <v>59</v>
      </c>
      <c r="E92" s="51">
        <v>10.83</v>
      </c>
      <c r="F92" s="74">
        <v>220</v>
      </c>
      <c r="G92" s="73">
        <f t="shared" si="70"/>
        <v>273</v>
      </c>
      <c r="H92" s="74">
        <v>260</v>
      </c>
      <c r="I92" s="57">
        <v>0.05</v>
      </c>
      <c r="J92" s="73">
        <v>160</v>
      </c>
      <c r="K92" s="73">
        <f>(F92+G92+J92)*$K$5</f>
        <v>39.18</v>
      </c>
      <c r="L92" s="73">
        <f>(F92+G92+J92+K92)*$L$5</f>
        <v>20.7654</v>
      </c>
      <c r="M92" s="76">
        <f t="shared" si="68"/>
        <v>998.12356</v>
      </c>
      <c r="N92" s="77"/>
      <c r="O92" s="73">
        <f t="shared" si="71"/>
        <v>10809.6781548</v>
      </c>
      <c r="P92" s="87" t="str">
        <f>P89</f>
        <v>厂家定制</v>
      </c>
      <c r="Q92" s="78"/>
      <c r="R92" s="46">
        <f t="shared" si="60"/>
        <v>10809.6781548</v>
      </c>
      <c r="S92" s="46">
        <f t="shared" si="61"/>
        <v>712.9454</v>
      </c>
      <c r="T92" s="46" t="b">
        <f t="shared" si="62"/>
        <v>1</v>
      </c>
      <c r="U92" s="46" t="b">
        <f t="shared" si="63"/>
        <v>0</v>
      </c>
    </row>
    <row r="93" s="69" customFormat="1" customHeight="1" outlineLevel="1" spans="1:21">
      <c r="A93" s="32">
        <v>73</v>
      </c>
      <c r="B93" s="32" t="s">
        <v>178</v>
      </c>
      <c r="C93" s="32" t="s">
        <v>179</v>
      </c>
      <c r="D93" s="32" t="s">
        <v>94</v>
      </c>
      <c r="E93" s="32">
        <v>21.92</v>
      </c>
      <c r="F93" s="72">
        <v>25</v>
      </c>
      <c r="G93" s="48">
        <f t="shared" si="70"/>
        <v>36.75</v>
      </c>
      <c r="H93" s="72">
        <v>35</v>
      </c>
      <c r="I93" s="49">
        <v>0.05</v>
      </c>
      <c r="J93" s="48">
        <v>5</v>
      </c>
      <c r="K93" s="48">
        <f>(F93+G93+J93)*$K$5</f>
        <v>4.005</v>
      </c>
      <c r="L93" s="48">
        <f>(F93+G93+J93+K93)*$L$5</f>
        <v>2.12265</v>
      </c>
      <c r="M93" s="76">
        <f t="shared" si="68"/>
        <v>102.02871</v>
      </c>
      <c r="N93" s="77"/>
      <c r="O93" s="48">
        <f t="shared" si="71"/>
        <v>2236.4693232</v>
      </c>
      <c r="P93" s="75"/>
      <c r="Q93" s="78"/>
      <c r="R93" s="46">
        <f t="shared" ref="R93:R122" si="72">E93*M93</f>
        <v>2236.4693232</v>
      </c>
      <c r="S93" s="46">
        <f t="shared" ref="S93:S122" si="73">F93+G93+J93+K93+L93</f>
        <v>72.87765</v>
      </c>
      <c r="T93" s="46" t="b">
        <f t="shared" ref="T93:T122" si="74">O93=R93</f>
        <v>1</v>
      </c>
      <c r="U93" s="46" t="b">
        <f t="shared" ref="U93:U122" si="75">M93=S93</f>
        <v>0</v>
      </c>
    </row>
    <row r="94" s="69" customFormat="1" customHeight="1" outlineLevel="1" spans="1:21">
      <c r="A94" s="32">
        <v>74</v>
      </c>
      <c r="B94" s="32" t="s">
        <v>178</v>
      </c>
      <c r="C94" s="32" t="s">
        <v>180</v>
      </c>
      <c r="D94" s="32" t="s">
        <v>94</v>
      </c>
      <c r="E94" s="32">
        <v>247.28</v>
      </c>
      <c r="F94" s="72">
        <f>F93</f>
        <v>25</v>
      </c>
      <c r="G94" s="48">
        <f t="shared" si="70"/>
        <v>33.6</v>
      </c>
      <c r="H94" s="72">
        <v>32</v>
      </c>
      <c r="I94" s="49">
        <v>0.05</v>
      </c>
      <c r="J94" s="48">
        <v>5</v>
      </c>
      <c r="K94" s="48">
        <f>(F94+G94+J94)*$K$5</f>
        <v>3.816</v>
      </c>
      <c r="L94" s="48">
        <f>(F94+G94+J94+K94)*$L$5</f>
        <v>2.02248</v>
      </c>
      <c r="M94" s="76">
        <f t="shared" si="68"/>
        <v>97.213872</v>
      </c>
      <c r="N94" s="77"/>
      <c r="O94" s="48">
        <f t="shared" si="71"/>
        <v>24039.04626816</v>
      </c>
      <c r="P94" s="75"/>
      <c r="Q94" s="78"/>
      <c r="R94" s="46">
        <f t="shared" si="72"/>
        <v>24039.04626816</v>
      </c>
      <c r="S94" s="46">
        <f t="shared" si="73"/>
        <v>69.43848</v>
      </c>
      <c r="T94" s="46" t="b">
        <f t="shared" si="74"/>
        <v>1</v>
      </c>
      <c r="U94" s="46" t="b">
        <f t="shared" si="75"/>
        <v>0</v>
      </c>
    </row>
    <row r="95" s="69" customFormat="1" customHeight="1" spans="1:21">
      <c r="A95" s="32"/>
      <c r="B95" s="32" t="s">
        <v>181</v>
      </c>
      <c r="C95" s="32"/>
      <c r="D95" s="32"/>
      <c r="E95" s="32"/>
      <c r="F95" s="72"/>
      <c r="G95" s="48"/>
      <c r="H95" s="72"/>
      <c r="I95" s="49"/>
      <c r="J95" s="48"/>
      <c r="K95" s="48"/>
      <c r="L95" s="48"/>
      <c r="M95" s="48"/>
      <c r="N95" s="48"/>
      <c r="O95" s="48"/>
      <c r="P95" s="75"/>
      <c r="Q95" s="78"/>
      <c r="R95" s="46">
        <f t="shared" si="72"/>
        <v>0</v>
      </c>
      <c r="S95" s="46">
        <f t="shared" si="73"/>
        <v>0</v>
      </c>
      <c r="T95" s="46" t="b">
        <f t="shared" si="74"/>
        <v>1</v>
      </c>
      <c r="U95" s="46" t="b">
        <f t="shared" si="75"/>
        <v>1</v>
      </c>
    </row>
    <row r="96" s="69" customFormat="1" customHeight="1" outlineLevel="1" spans="1:21">
      <c r="A96" s="32"/>
      <c r="B96" s="32" t="s">
        <v>182</v>
      </c>
      <c r="C96" s="32"/>
      <c r="D96" s="32"/>
      <c r="E96" s="32"/>
      <c r="F96" s="72"/>
      <c r="G96" s="48"/>
      <c r="H96" s="72"/>
      <c r="I96" s="49"/>
      <c r="J96" s="48"/>
      <c r="K96" s="48"/>
      <c r="L96" s="48"/>
      <c r="M96" s="48"/>
      <c r="N96" s="48"/>
      <c r="O96" s="48"/>
      <c r="P96" s="75"/>
      <c r="Q96" s="78"/>
      <c r="R96" s="46">
        <f t="shared" si="72"/>
        <v>0</v>
      </c>
      <c r="S96" s="46">
        <f t="shared" si="73"/>
        <v>0</v>
      </c>
      <c r="T96" s="46" t="b">
        <f t="shared" si="74"/>
        <v>1</v>
      </c>
      <c r="U96" s="46" t="b">
        <f t="shared" si="75"/>
        <v>1</v>
      </c>
    </row>
    <row r="97" s="69" customFormat="1" customHeight="1" outlineLevel="1" spans="1:21">
      <c r="A97" s="32">
        <v>75</v>
      </c>
      <c r="B97" s="32" t="s">
        <v>183</v>
      </c>
      <c r="C97" s="32" t="s">
        <v>184</v>
      </c>
      <c r="D97" s="32" t="s">
        <v>59</v>
      </c>
      <c r="E97" s="32">
        <v>38.76</v>
      </c>
      <c r="F97" s="72">
        <v>150</v>
      </c>
      <c r="G97" s="73">
        <f>H97*(1+I97)</f>
        <v>237.6</v>
      </c>
      <c r="H97" s="74">
        <v>220</v>
      </c>
      <c r="I97" s="57">
        <v>0.08</v>
      </c>
      <c r="J97" s="73">
        <v>75</v>
      </c>
      <c r="K97" s="73">
        <f>(F97+G97+J97)*$K$5</f>
        <v>27.756</v>
      </c>
      <c r="L97" s="73">
        <f>(F97+G97+J97+K97)*$L$5</f>
        <v>14.71068</v>
      </c>
      <c r="M97" s="76">
        <f>(F97+G97+J97+K97+L97)*1.4</f>
        <v>707.093352</v>
      </c>
      <c r="N97" s="77"/>
      <c r="O97" s="73">
        <f>M97*E97</f>
        <v>27406.93832352</v>
      </c>
      <c r="P97" s="75" t="str">
        <f>P89</f>
        <v>厂家定制</v>
      </c>
      <c r="Q97" s="78" t="s">
        <v>157</v>
      </c>
      <c r="R97" s="46">
        <f t="shared" si="72"/>
        <v>27406.93832352</v>
      </c>
      <c r="S97" s="46">
        <f t="shared" si="73"/>
        <v>505.06668</v>
      </c>
      <c r="T97" s="46" t="b">
        <f t="shared" si="74"/>
        <v>1</v>
      </c>
      <c r="U97" s="46" t="b">
        <f t="shared" si="75"/>
        <v>0</v>
      </c>
    </row>
    <row r="98" s="69" customFormat="1" customHeight="1" outlineLevel="1" spans="1:21">
      <c r="A98" s="32"/>
      <c r="B98" s="32"/>
      <c r="C98" s="32"/>
      <c r="D98" s="32"/>
      <c r="E98" s="32"/>
      <c r="F98" s="72"/>
      <c r="G98" s="83"/>
      <c r="H98" s="84"/>
      <c r="I98" s="63"/>
      <c r="J98" s="83"/>
      <c r="K98" s="83"/>
      <c r="L98" s="83"/>
      <c r="M98" s="88"/>
      <c r="N98" s="89"/>
      <c r="O98" s="83"/>
      <c r="P98" s="75"/>
      <c r="Q98" s="78"/>
      <c r="R98" s="46">
        <f t="shared" si="72"/>
        <v>0</v>
      </c>
      <c r="S98" s="46">
        <f t="shared" si="73"/>
        <v>0</v>
      </c>
      <c r="T98" s="46" t="b">
        <f t="shared" si="74"/>
        <v>1</v>
      </c>
      <c r="U98" s="46" t="b">
        <f t="shared" si="75"/>
        <v>1</v>
      </c>
    </row>
    <row r="99" s="69" customFormat="1" customHeight="1" outlineLevel="1" spans="1:21">
      <c r="A99" s="32"/>
      <c r="B99" s="32"/>
      <c r="C99" s="32"/>
      <c r="D99" s="32"/>
      <c r="E99" s="32"/>
      <c r="F99" s="72"/>
      <c r="G99" s="85"/>
      <c r="H99" s="86"/>
      <c r="I99" s="59"/>
      <c r="J99" s="85"/>
      <c r="K99" s="85"/>
      <c r="L99" s="85"/>
      <c r="M99" s="90"/>
      <c r="N99" s="91"/>
      <c r="O99" s="85"/>
      <c r="P99" s="75"/>
      <c r="Q99" s="78"/>
      <c r="R99" s="46">
        <f t="shared" si="72"/>
        <v>0</v>
      </c>
      <c r="S99" s="46">
        <f t="shared" si="73"/>
        <v>0</v>
      </c>
      <c r="T99" s="46" t="b">
        <f t="shared" si="74"/>
        <v>1</v>
      </c>
      <c r="U99" s="46" t="b">
        <f t="shared" si="75"/>
        <v>1</v>
      </c>
    </row>
    <row r="100" s="69" customFormat="1" customHeight="1" outlineLevel="1" spans="1:21">
      <c r="A100" s="32"/>
      <c r="B100" s="32" t="s">
        <v>185</v>
      </c>
      <c r="C100" s="32"/>
      <c r="D100" s="32"/>
      <c r="E100" s="32"/>
      <c r="F100" s="72"/>
      <c r="G100" s="48"/>
      <c r="H100" s="72"/>
      <c r="I100" s="49"/>
      <c r="J100" s="48"/>
      <c r="K100" s="48"/>
      <c r="L100" s="48"/>
      <c r="M100" s="48"/>
      <c r="N100" s="48"/>
      <c r="O100" s="48"/>
      <c r="P100" s="75"/>
      <c r="Q100" s="78"/>
      <c r="R100" s="46">
        <f t="shared" si="72"/>
        <v>0</v>
      </c>
      <c r="S100" s="46">
        <f t="shared" si="73"/>
        <v>0</v>
      </c>
      <c r="T100" s="46" t="b">
        <f t="shared" si="74"/>
        <v>1</v>
      </c>
      <c r="U100" s="46" t="b">
        <f t="shared" si="75"/>
        <v>1</v>
      </c>
    </row>
    <row r="101" s="69" customFormat="1" customHeight="1" outlineLevel="1" spans="1:21">
      <c r="A101" s="51">
        <v>76</v>
      </c>
      <c r="B101" s="51" t="s">
        <v>183</v>
      </c>
      <c r="C101" s="51" t="s">
        <v>184</v>
      </c>
      <c r="D101" s="51" t="s">
        <v>59</v>
      </c>
      <c r="E101" s="51">
        <v>38.76</v>
      </c>
      <c r="F101" s="74">
        <f t="shared" ref="F101:J101" si="76">F97</f>
        <v>150</v>
      </c>
      <c r="G101" s="73">
        <f>H101*(1+I101)</f>
        <v>237.6</v>
      </c>
      <c r="H101" s="74">
        <f t="shared" si="76"/>
        <v>220</v>
      </c>
      <c r="I101" s="57">
        <f t="shared" si="76"/>
        <v>0.08</v>
      </c>
      <c r="J101" s="73">
        <f t="shared" si="76"/>
        <v>75</v>
      </c>
      <c r="K101" s="73">
        <f>(F101+G101+J101)*$K$5</f>
        <v>27.756</v>
      </c>
      <c r="L101" s="73">
        <f>(F101+G101+J101+K101)*$L$5</f>
        <v>14.71068</v>
      </c>
      <c r="M101" s="76">
        <f>(F101+G101+J101+K101+L101)*1.4</f>
        <v>707.093352</v>
      </c>
      <c r="N101" s="77"/>
      <c r="O101" s="73">
        <f>M101*E101</f>
        <v>27406.93832352</v>
      </c>
      <c r="P101" s="80" t="str">
        <f>P89</f>
        <v>厂家定制</v>
      </c>
      <c r="Q101" s="78" t="s">
        <v>157</v>
      </c>
      <c r="R101" s="46">
        <f t="shared" si="72"/>
        <v>27406.93832352</v>
      </c>
      <c r="S101" s="46">
        <f t="shared" si="73"/>
        <v>505.06668</v>
      </c>
      <c r="T101" s="46" t="b">
        <f t="shared" si="74"/>
        <v>1</v>
      </c>
      <c r="U101" s="46" t="b">
        <f t="shared" si="75"/>
        <v>0</v>
      </c>
    </row>
    <row r="102" s="69" customFormat="1" customHeight="1" outlineLevel="1" spans="1:21">
      <c r="A102" s="62"/>
      <c r="B102" s="62"/>
      <c r="C102" s="62"/>
      <c r="D102" s="62"/>
      <c r="E102" s="62"/>
      <c r="F102" s="84"/>
      <c r="G102" s="83"/>
      <c r="H102" s="84"/>
      <c r="I102" s="63"/>
      <c r="J102" s="83"/>
      <c r="K102" s="83"/>
      <c r="L102" s="83"/>
      <c r="M102" s="88"/>
      <c r="N102" s="89"/>
      <c r="O102" s="83"/>
      <c r="P102" s="92"/>
      <c r="Q102" s="78"/>
      <c r="R102" s="46">
        <f t="shared" si="72"/>
        <v>0</v>
      </c>
      <c r="S102" s="46">
        <f t="shared" si="73"/>
        <v>0</v>
      </c>
      <c r="T102" s="46" t="b">
        <f t="shared" si="74"/>
        <v>1</v>
      </c>
      <c r="U102" s="46" t="b">
        <f t="shared" si="75"/>
        <v>1</v>
      </c>
    </row>
    <row r="103" s="69" customFormat="1" customHeight="1" outlineLevel="1" spans="1:21">
      <c r="A103" s="62"/>
      <c r="B103" s="62"/>
      <c r="C103" s="62"/>
      <c r="D103" s="62"/>
      <c r="E103" s="62"/>
      <c r="F103" s="84"/>
      <c r="G103" s="83"/>
      <c r="H103" s="84"/>
      <c r="I103" s="63"/>
      <c r="J103" s="83"/>
      <c r="K103" s="83"/>
      <c r="L103" s="83"/>
      <c r="M103" s="88"/>
      <c r="N103" s="89"/>
      <c r="O103" s="83"/>
      <c r="P103" s="92"/>
      <c r="Q103" s="78"/>
      <c r="R103" s="46">
        <f t="shared" si="72"/>
        <v>0</v>
      </c>
      <c r="S103" s="46">
        <f t="shared" si="73"/>
        <v>0</v>
      </c>
      <c r="T103" s="46" t="b">
        <f t="shared" si="74"/>
        <v>1</v>
      </c>
      <c r="U103" s="46" t="b">
        <f t="shared" si="75"/>
        <v>1</v>
      </c>
    </row>
    <row r="104" s="69" customFormat="1" customHeight="1" outlineLevel="1" spans="1:21">
      <c r="A104" s="52"/>
      <c r="B104" s="52"/>
      <c r="C104" s="52"/>
      <c r="D104" s="52"/>
      <c r="E104" s="52"/>
      <c r="F104" s="86"/>
      <c r="G104" s="85"/>
      <c r="H104" s="86"/>
      <c r="I104" s="59"/>
      <c r="J104" s="85"/>
      <c r="K104" s="85"/>
      <c r="L104" s="85"/>
      <c r="M104" s="90"/>
      <c r="N104" s="91"/>
      <c r="O104" s="85"/>
      <c r="P104" s="82"/>
      <c r="Q104" s="78"/>
      <c r="R104" s="46">
        <f t="shared" si="72"/>
        <v>0</v>
      </c>
      <c r="S104" s="46">
        <f t="shared" si="73"/>
        <v>0</v>
      </c>
      <c r="T104" s="46" t="b">
        <f t="shared" si="74"/>
        <v>1</v>
      </c>
      <c r="U104" s="46" t="b">
        <f t="shared" si="75"/>
        <v>1</v>
      </c>
    </row>
    <row r="105" s="69" customFormat="1" customHeight="1" outlineLevel="1" spans="1:21">
      <c r="A105" s="32"/>
      <c r="B105" s="32" t="s">
        <v>186</v>
      </c>
      <c r="C105" s="32"/>
      <c r="D105" s="32"/>
      <c r="E105" s="32"/>
      <c r="F105" s="72"/>
      <c r="G105" s="48"/>
      <c r="H105" s="72"/>
      <c r="I105" s="49"/>
      <c r="J105" s="48"/>
      <c r="K105" s="48"/>
      <c r="L105" s="48"/>
      <c r="M105" s="48"/>
      <c r="N105" s="48"/>
      <c r="O105" s="48"/>
      <c r="P105" s="75"/>
      <c r="Q105" s="78"/>
      <c r="R105" s="46">
        <f t="shared" si="72"/>
        <v>0</v>
      </c>
      <c r="S105" s="46">
        <f t="shared" si="73"/>
        <v>0</v>
      </c>
      <c r="T105" s="46" t="b">
        <f t="shared" si="74"/>
        <v>1</v>
      </c>
      <c r="U105" s="46" t="b">
        <f t="shared" si="75"/>
        <v>1</v>
      </c>
    </row>
    <row r="106" s="69" customFormat="1" customHeight="1" outlineLevel="1" spans="1:21">
      <c r="A106" s="32">
        <v>77</v>
      </c>
      <c r="B106" s="32" t="s">
        <v>187</v>
      </c>
      <c r="C106" s="32" t="s">
        <v>188</v>
      </c>
      <c r="D106" s="32" t="s">
        <v>59</v>
      </c>
      <c r="E106" s="32">
        <v>15.87</v>
      </c>
      <c r="F106" s="72">
        <v>35</v>
      </c>
      <c r="G106" s="48">
        <f t="shared" ref="G106:G108" si="77">H106*(1+I106)</f>
        <v>26.25</v>
      </c>
      <c r="H106" s="72">
        <v>25</v>
      </c>
      <c r="I106" s="49">
        <v>0.05</v>
      </c>
      <c r="J106" s="48">
        <v>15</v>
      </c>
      <c r="K106" s="48">
        <f>(F106+G106+J106)*$K$5</f>
        <v>4.575</v>
      </c>
      <c r="L106" s="48">
        <f>(F106+G106+J106+K106)*$L$5</f>
        <v>2.42475</v>
      </c>
      <c r="M106" s="76">
        <f t="shared" ref="M106:M111" si="78">(F106+G106+J106+K106+L106)*1.4</f>
        <v>116.54965</v>
      </c>
      <c r="N106" s="77"/>
      <c r="O106" s="48">
        <f t="shared" ref="O106:O108" si="79">M106*E106</f>
        <v>1849.6429455</v>
      </c>
      <c r="P106" s="75"/>
      <c r="Q106" s="78"/>
      <c r="R106" s="46">
        <f t="shared" si="72"/>
        <v>1849.6429455</v>
      </c>
      <c r="S106" s="46">
        <f t="shared" si="73"/>
        <v>83.24975</v>
      </c>
      <c r="T106" s="46" t="b">
        <f t="shared" si="74"/>
        <v>1</v>
      </c>
      <c r="U106" s="46" t="b">
        <f t="shared" si="75"/>
        <v>0</v>
      </c>
    </row>
    <row r="107" s="69" customFormat="1" customHeight="1" outlineLevel="1" spans="1:21">
      <c r="A107" s="32">
        <v>78</v>
      </c>
      <c r="B107" s="32" t="s">
        <v>189</v>
      </c>
      <c r="C107" s="32" t="s">
        <v>190</v>
      </c>
      <c r="D107" s="32" t="s">
        <v>94</v>
      </c>
      <c r="E107" s="32">
        <v>15.56</v>
      </c>
      <c r="F107" s="72">
        <v>15</v>
      </c>
      <c r="G107" s="48">
        <f t="shared" si="77"/>
        <v>29.4</v>
      </c>
      <c r="H107" s="72">
        <v>28</v>
      </c>
      <c r="I107" s="49">
        <v>0.05</v>
      </c>
      <c r="J107" s="48">
        <v>1</v>
      </c>
      <c r="K107" s="48">
        <f>(F107+G107+J107)*$K$5</f>
        <v>2.724</v>
      </c>
      <c r="L107" s="48">
        <f>(F107+G107+J107+K107)*$L$5</f>
        <v>1.44372</v>
      </c>
      <c r="M107" s="76">
        <f t="shared" si="78"/>
        <v>69.394808</v>
      </c>
      <c r="N107" s="77"/>
      <c r="O107" s="48">
        <f t="shared" si="79"/>
        <v>1079.78321248</v>
      </c>
      <c r="P107" s="75"/>
      <c r="Q107" s="78"/>
      <c r="R107" s="46">
        <f t="shared" si="72"/>
        <v>1079.78321248</v>
      </c>
      <c r="S107" s="46">
        <f t="shared" si="73"/>
        <v>49.56772</v>
      </c>
      <c r="T107" s="46" t="b">
        <f t="shared" si="74"/>
        <v>1</v>
      </c>
      <c r="U107" s="46" t="b">
        <f t="shared" si="75"/>
        <v>0</v>
      </c>
    </row>
    <row r="108" s="69" customFormat="1" customHeight="1" outlineLevel="1" spans="1:21">
      <c r="A108" s="32">
        <v>79</v>
      </c>
      <c r="B108" s="32" t="s">
        <v>78</v>
      </c>
      <c r="C108" s="32" t="s">
        <v>191</v>
      </c>
      <c r="D108" s="32" t="s">
        <v>59</v>
      </c>
      <c r="E108" s="32">
        <v>36.57</v>
      </c>
      <c r="F108" s="72">
        <v>95</v>
      </c>
      <c r="G108" s="48">
        <f t="shared" si="77"/>
        <v>89.25</v>
      </c>
      <c r="H108" s="72">
        <v>85</v>
      </c>
      <c r="I108" s="49">
        <v>0.05</v>
      </c>
      <c r="J108" s="48">
        <f>25+15+48</f>
        <v>88</v>
      </c>
      <c r="K108" s="48">
        <f>(F108+G108+J108)*$K$5</f>
        <v>16.335</v>
      </c>
      <c r="L108" s="48">
        <f>(F108+G108+J108+K108)*$L$5</f>
        <v>8.65755</v>
      </c>
      <c r="M108" s="76">
        <f t="shared" si="78"/>
        <v>416.13957</v>
      </c>
      <c r="N108" s="77"/>
      <c r="O108" s="48">
        <f t="shared" si="79"/>
        <v>15218.2240749</v>
      </c>
      <c r="P108" s="75"/>
      <c r="Q108" s="78" t="s">
        <v>160</v>
      </c>
      <c r="R108" s="46">
        <f t="shared" si="72"/>
        <v>15218.2240749</v>
      </c>
      <c r="S108" s="46">
        <f t="shared" si="73"/>
        <v>297.24255</v>
      </c>
      <c r="T108" s="46" t="b">
        <f t="shared" si="74"/>
        <v>1</v>
      </c>
      <c r="U108" s="46" t="b">
        <f t="shared" si="75"/>
        <v>0</v>
      </c>
    </row>
    <row r="109" s="69" customFormat="1" customHeight="1" spans="1:21">
      <c r="A109" s="32"/>
      <c r="B109" s="32" t="s">
        <v>192</v>
      </c>
      <c r="C109" s="32"/>
      <c r="D109" s="32"/>
      <c r="E109" s="32"/>
      <c r="F109" s="72"/>
      <c r="G109" s="48"/>
      <c r="H109" s="72"/>
      <c r="I109" s="49"/>
      <c r="J109" s="48"/>
      <c r="K109" s="48"/>
      <c r="L109" s="48"/>
      <c r="M109" s="48"/>
      <c r="N109" s="48"/>
      <c r="O109" s="48"/>
      <c r="P109" s="75"/>
      <c r="Q109" s="78"/>
      <c r="R109" s="46">
        <f t="shared" si="72"/>
        <v>0</v>
      </c>
      <c r="S109" s="46">
        <f t="shared" si="73"/>
        <v>0</v>
      </c>
      <c r="T109" s="46" t="b">
        <f t="shared" si="74"/>
        <v>1</v>
      </c>
      <c r="U109" s="46" t="b">
        <f t="shared" si="75"/>
        <v>1</v>
      </c>
    </row>
    <row r="110" s="69" customFormat="1" customHeight="1" outlineLevel="1" spans="1:21">
      <c r="A110" s="32">
        <v>80</v>
      </c>
      <c r="B110" s="32" t="s">
        <v>193</v>
      </c>
      <c r="C110" s="32" t="s">
        <v>194</v>
      </c>
      <c r="D110" s="32" t="s">
        <v>59</v>
      </c>
      <c r="E110" s="32">
        <v>75.62</v>
      </c>
      <c r="F110" s="72">
        <f t="shared" ref="F110:J110" si="80">F18</f>
        <v>190</v>
      </c>
      <c r="G110" s="48">
        <f t="shared" ref="G110:G114" si="81">H110*(1+I110)</f>
        <v>315</v>
      </c>
      <c r="H110" s="72">
        <f t="shared" si="80"/>
        <v>300</v>
      </c>
      <c r="I110" s="49">
        <v>0.05</v>
      </c>
      <c r="J110" s="72">
        <f t="shared" si="80"/>
        <v>150</v>
      </c>
      <c r="K110" s="48">
        <f>(F110+G110+J110)*$K$5</f>
        <v>39.3</v>
      </c>
      <c r="L110" s="48">
        <f>(F110+G110+J110+K110)*$L$5</f>
        <v>20.829</v>
      </c>
      <c r="M110" s="76">
        <f t="shared" si="78"/>
        <v>1001.1806</v>
      </c>
      <c r="N110" s="77"/>
      <c r="O110" s="48">
        <f t="shared" ref="O110:O114" si="82">M110*E110</f>
        <v>75709.276972</v>
      </c>
      <c r="P110" s="75" t="str">
        <f>P92</f>
        <v>厂家定制</v>
      </c>
      <c r="Q110" s="78"/>
      <c r="R110" s="46">
        <f t="shared" si="72"/>
        <v>75709.276972</v>
      </c>
      <c r="S110" s="46">
        <f t="shared" si="73"/>
        <v>715.129</v>
      </c>
      <c r="T110" s="46" t="b">
        <f t="shared" si="74"/>
        <v>1</v>
      </c>
      <c r="U110" s="46" t="b">
        <f t="shared" si="75"/>
        <v>0</v>
      </c>
    </row>
    <row r="111" s="69" customFormat="1" customHeight="1" outlineLevel="1" spans="1:21">
      <c r="A111" s="32">
        <v>81</v>
      </c>
      <c r="B111" s="32" t="s">
        <v>193</v>
      </c>
      <c r="C111" s="32" t="s">
        <v>195</v>
      </c>
      <c r="D111" s="32" t="s">
        <v>59</v>
      </c>
      <c r="E111" s="32">
        <v>21.16</v>
      </c>
      <c r="F111" s="72">
        <f>F18</f>
        <v>190</v>
      </c>
      <c r="G111" s="73">
        <f t="shared" si="81"/>
        <v>315</v>
      </c>
      <c r="H111" s="74">
        <f t="shared" ref="H111:J111" si="83">H110</f>
        <v>300</v>
      </c>
      <c r="I111" s="57">
        <f t="shared" si="83"/>
        <v>0.05</v>
      </c>
      <c r="J111" s="72">
        <f>J18</f>
        <v>150</v>
      </c>
      <c r="K111" s="73">
        <f>(F111+G111+J111)*$K$5</f>
        <v>39.3</v>
      </c>
      <c r="L111" s="73">
        <f>(F111+G111+J111+K111)*$L$5</f>
        <v>20.829</v>
      </c>
      <c r="M111" s="76">
        <f t="shared" si="78"/>
        <v>1001.1806</v>
      </c>
      <c r="N111" s="77"/>
      <c r="O111" s="73">
        <f t="shared" si="82"/>
        <v>21184.981496</v>
      </c>
      <c r="P111" s="75" t="str">
        <f>P110</f>
        <v>厂家定制</v>
      </c>
      <c r="Q111" s="78"/>
      <c r="R111" s="46">
        <f t="shared" si="72"/>
        <v>21184.981496</v>
      </c>
      <c r="S111" s="46">
        <f t="shared" si="73"/>
        <v>715.129</v>
      </c>
      <c r="T111" s="46" t="b">
        <f t="shared" si="74"/>
        <v>1</v>
      </c>
      <c r="U111" s="46" t="b">
        <f t="shared" si="75"/>
        <v>0</v>
      </c>
    </row>
    <row r="112" s="69" customFormat="1" customHeight="1" outlineLevel="1" spans="1:21">
      <c r="A112" s="32"/>
      <c r="B112" s="32"/>
      <c r="C112" s="32"/>
      <c r="D112" s="32"/>
      <c r="E112" s="32"/>
      <c r="F112" s="72"/>
      <c r="G112" s="83"/>
      <c r="H112" s="84"/>
      <c r="I112" s="63"/>
      <c r="J112" s="72"/>
      <c r="K112" s="83"/>
      <c r="L112" s="83"/>
      <c r="M112" s="88"/>
      <c r="N112" s="89"/>
      <c r="O112" s="83"/>
      <c r="P112" s="75"/>
      <c r="Q112" s="78"/>
      <c r="R112" s="46">
        <f t="shared" si="72"/>
        <v>0</v>
      </c>
      <c r="S112" s="46">
        <f t="shared" si="73"/>
        <v>0</v>
      </c>
      <c r="T112" s="46" t="b">
        <f t="shared" si="74"/>
        <v>1</v>
      </c>
      <c r="U112" s="46" t="b">
        <f t="shared" si="75"/>
        <v>1</v>
      </c>
    </row>
    <row r="113" s="69" customFormat="1" customHeight="1" outlineLevel="1" spans="1:21">
      <c r="A113" s="32"/>
      <c r="B113" s="32"/>
      <c r="C113" s="32"/>
      <c r="D113" s="32"/>
      <c r="E113" s="32"/>
      <c r="F113" s="72"/>
      <c r="G113" s="85"/>
      <c r="H113" s="86"/>
      <c r="I113" s="59"/>
      <c r="J113" s="72"/>
      <c r="K113" s="85"/>
      <c r="L113" s="85"/>
      <c r="M113" s="90"/>
      <c r="N113" s="91"/>
      <c r="O113" s="85"/>
      <c r="P113" s="75"/>
      <c r="Q113" s="78"/>
      <c r="R113" s="46">
        <f t="shared" si="72"/>
        <v>0</v>
      </c>
      <c r="S113" s="46">
        <f t="shared" si="73"/>
        <v>0</v>
      </c>
      <c r="T113" s="46" t="b">
        <f t="shared" si="74"/>
        <v>1</v>
      </c>
      <c r="U113" s="46" t="b">
        <f t="shared" si="75"/>
        <v>1</v>
      </c>
    </row>
    <row r="114" s="69" customFormat="1" customHeight="1" outlineLevel="1" spans="1:21">
      <c r="A114" s="51">
        <v>82</v>
      </c>
      <c r="B114" s="51" t="s">
        <v>193</v>
      </c>
      <c r="C114" s="51" t="s">
        <v>196</v>
      </c>
      <c r="D114" s="51" t="s">
        <v>59</v>
      </c>
      <c r="E114" s="51">
        <v>25.2</v>
      </c>
      <c r="F114" s="74">
        <f>F111</f>
        <v>190</v>
      </c>
      <c r="G114" s="73">
        <f t="shared" si="81"/>
        <v>315</v>
      </c>
      <c r="H114" s="74">
        <f t="shared" ref="F114:J114" si="84">H110</f>
        <v>300</v>
      </c>
      <c r="I114" s="57">
        <f t="shared" si="84"/>
        <v>0.05</v>
      </c>
      <c r="J114" s="73">
        <f>J111</f>
        <v>150</v>
      </c>
      <c r="K114" s="73">
        <f>(F114+G114+J114)*$K$5</f>
        <v>39.3</v>
      </c>
      <c r="L114" s="73">
        <f>(F114+G114+J114+K114)*$L$5</f>
        <v>20.829</v>
      </c>
      <c r="M114" s="76">
        <f>(F114+G114+J114+K114+L114)*1.4</f>
        <v>1001.1806</v>
      </c>
      <c r="N114" s="77"/>
      <c r="O114" s="73">
        <f t="shared" si="82"/>
        <v>25229.75112</v>
      </c>
      <c r="P114" s="80" t="str">
        <f>P110</f>
        <v>厂家定制</v>
      </c>
      <c r="Q114" s="78"/>
      <c r="R114" s="46">
        <f t="shared" si="72"/>
        <v>25229.75112</v>
      </c>
      <c r="S114" s="46">
        <f t="shared" si="73"/>
        <v>715.129</v>
      </c>
      <c r="T114" s="46" t="b">
        <f t="shared" si="74"/>
        <v>1</v>
      </c>
      <c r="U114" s="46" t="b">
        <f t="shared" si="75"/>
        <v>0</v>
      </c>
    </row>
    <row r="115" s="69" customFormat="1" customHeight="1" outlineLevel="1" spans="1:21">
      <c r="A115" s="62"/>
      <c r="B115" s="62"/>
      <c r="C115" s="62"/>
      <c r="D115" s="62"/>
      <c r="E115" s="62"/>
      <c r="F115" s="84"/>
      <c r="G115" s="83"/>
      <c r="H115" s="84"/>
      <c r="I115" s="63"/>
      <c r="J115" s="83"/>
      <c r="K115" s="83"/>
      <c r="L115" s="83"/>
      <c r="M115" s="88"/>
      <c r="N115" s="89"/>
      <c r="O115" s="83"/>
      <c r="P115" s="92"/>
      <c r="Q115" s="78"/>
      <c r="R115" s="46">
        <f t="shared" si="72"/>
        <v>0</v>
      </c>
      <c r="S115" s="46">
        <f t="shared" si="73"/>
        <v>0</v>
      </c>
      <c r="T115" s="46" t="b">
        <f t="shared" si="74"/>
        <v>1</v>
      </c>
      <c r="U115" s="46" t="b">
        <f t="shared" si="75"/>
        <v>1</v>
      </c>
    </row>
    <row r="116" s="69" customFormat="1" customHeight="1" outlineLevel="1" spans="1:21">
      <c r="A116" s="52"/>
      <c r="B116" s="52"/>
      <c r="C116" s="52"/>
      <c r="D116" s="52"/>
      <c r="E116" s="52"/>
      <c r="F116" s="86"/>
      <c r="G116" s="85"/>
      <c r="H116" s="86"/>
      <c r="I116" s="59"/>
      <c r="J116" s="85"/>
      <c r="K116" s="85"/>
      <c r="L116" s="85"/>
      <c r="M116" s="90"/>
      <c r="N116" s="91"/>
      <c r="O116" s="85"/>
      <c r="P116" s="82"/>
      <c r="Q116" s="78"/>
      <c r="R116" s="46">
        <f t="shared" si="72"/>
        <v>0</v>
      </c>
      <c r="S116" s="46">
        <f t="shared" si="73"/>
        <v>0</v>
      </c>
      <c r="T116" s="46" t="b">
        <f t="shared" si="74"/>
        <v>1</v>
      </c>
      <c r="U116" s="46" t="b">
        <f t="shared" si="75"/>
        <v>1</v>
      </c>
    </row>
    <row r="117" s="69" customFormat="1" customHeight="1" outlineLevel="1" spans="1:21">
      <c r="A117" s="32">
        <v>83</v>
      </c>
      <c r="B117" s="32" t="s">
        <v>187</v>
      </c>
      <c r="C117" s="32" t="s">
        <v>197</v>
      </c>
      <c r="D117" s="32" t="s">
        <v>59</v>
      </c>
      <c r="E117" s="32">
        <v>190.66</v>
      </c>
      <c r="F117" s="72">
        <f t="shared" ref="F117:J117" si="85">F106</f>
        <v>35</v>
      </c>
      <c r="G117" s="48">
        <f t="shared" ref="G117:G119" si="86">H117*(1+I117)</f>
        <v>26.25</v>
      </c>
      <c r="H117" s="72">
        <f t="shared" si="85"/>
        <v>25</v>
      </c>
      <c r="I117" s="49">
        <f t="shared" si="85"/>
        <v>0.05</v>
      </c>
      <c r="J117" s="48">
        <f t="shared" si="85"/>
        <v>15</v>
      </c>
      <c r="K117" s="48">
        <f>(F117+G117+J117)*$K$5</f>
        <v>4.575</v>
      </c>
      <c r="L117" s="48">
        <f>(F117+G117+J117+K117)*$L$5</f>
        <v>2.42475</v>
      </c>
      <c r="M117" s="76">
        <f>(F117+G117+J117+K117+L117)*1.4</f>
        <v>116.54965</v>
      </c>
      <c r="N117" s="77"/>
      <c r="O117" s="48">
        <f t="shared" ref="O117:O119" si="87">M117*E117</f>
        <v>22221.356269</v>
      </c>
      <c r="P117" s="75"/>
      <c r="Q117" s="78"/>
      <c r="R117" s="46">
        <f t="shared" si="72"/>
        <v>22221.356269</v>
      </c>
      <c r="S117" s="46">
        <f t="shared" si="73"/>
        <v>83.24975</v>
      </c>
      <c r="T117" s="46" t="b">
        <f t="shared" si="74"/>
        <v>1</v>
      </c>
      <c r="U117" s="46" t="b">
        <f t="shared" si="75"/>
        <v>0</v>
      </c>
    </row>
    <row r="118" s="69" customFormat="1" customHeight="1" outlineLevel="1" spans="1:21">
      <c r="A118" s="32">
        <v>84</v>
      </c>
      <c r="B118" s="32" t="s">
        <v>189</v>
      </c>
      <c r="C118" s="32" t="s">
        <v>198</v>
      </c>
      <c r="D118" s="32" t="s">
        <v>94</v>
      </c>
      <c r="E118" s="32">
        <v>100.82</v>
      </c>
      <c r="F118" s="72">
        <f t="shared" ref="F118:J118" si="88">F107</f>
        <v>15</v>
      </c>
      <c r="G118" s="48">
        <f t="shared" si="86"/>
        <v>29.4</v>
      </c>
      <c r="H118" s="72">
        <f t="shared" si="88"/>
        <v>28</v>
      </c>
      <c r="I118" s="49">
        <f t="shared" si="88"/>
        <v>0.05</v>
      </c>
      <c r="J118" s="48">
        <f t="shared" si="88"/>
        <v>1</v>
      </c>
      <c r="K118" s="48">
        <f>(F118+G118+J118)*$K$5</f>
        <v>2.724</v>
      </c>
      <c r="L118" s="48">
        <f>(F118+G118+J118+K118)*$L$5</f>
        <v>1.44372</v>
      </c>
      <c r="M118" s="76">
        <f>(F118+G118+J118+K118+L118)*1.4</f>
        <v>69.394808</v>
      </c>
      <c r="N118" s="77"/>
      <c r="O118" s="48">
        <f t="shared" si="87"/>
        <v>6996.38454256</v>
      </c>
      <c r="P118" s="75"/>
      <c r="Q118" s="78"/>
      <c r="R118" s="46">
        <f t="shared" si="72"/>
        <v>6996.38454256</v>
      </c>
      <c r="S118" s="46">
        <f t="shared" si="73"/>
        <v>49.56772</v>
      </c>
      <c r="T118" s="46" t="b">
        <f t="shared" si="74"/>
        <v>1</v>
      </c>
      <c r="U118" s="46" t="b">
        <f t="shared" si="75"/>
        <v>0</v>
      </c>
    </row>
    <row r="119" s="69" customFormat="1" customHeight="1" outlineLevel="1" spans="1:21">
      <c r="A119" s="32">
        <v>85</v>
      </c>
      <c r="B119" s="32" t="s">
        <v>108</v>
      </c>
      <c r="C119" s="32" t="s">
        <v>199</v>
      </c>
      <c r="D119" s="32" t="s">
        <v>59</v>
      </c>
      <c r="E119" s="32">
        <v>95.76</v>
      </c>
      <c r="F119" s="72">
        <f t="shared" ref="F119:J119" si="89">F42</f>
        <v>35</v>
      </c>
      <c r="G119" s="73">
        <f t="shared" si="86"/>
        <v>126</v>
      </c>
      <c r="H119" s="74">
        <f t="shared" si="89"/>
        <v>120</v>
      </c>
      <c r="I119" s="57">
        <f t="shared" si="89"/>
        <v>0.05</v>
      </c>
      <c r="J119" s="73">
        <f t="shared" si="89"/>
        <v>220</v>
      </c>
      <c r="K119" s="73">
        <f>(F119+G119+J119)*$K$5</f>
        <v>22.86</v>
      </c>
      <c r="L119" s="73">
        <f>(F119+G119+J119+K119)*$L$5</f>
        <v>12.1158</v>
      </c>
      <c r="M119" s="53">
        <f>(F119+G119+J119+K119+L119)*1.4</f>
        <v>582.36612</v>
      </c>
      <c r="N119" s="54"/>
      <c r="O119" s="73">
        <f t="shared" si="87"/>
        <v>55767.3796512</v>
      </c>
      <c r="P119" s="75"/>
      <c r="Q119" s="78"/>
      <c r="R119" s="46">
        <f t="shared" si="72"/>
        <v>55767.3796512</v>
      </c>
      <c r="S119" s="46">
        <f t="shared" si="73"/>
        <v>415.9758</v>
      </c>
      <c r="T119" s="46" t="b">
        <f t="shared" si="74"/>
        <v>1</v>
      </c>
      <c r="U119" s="46" t="b">
        <f t="shared" si="75"/>
        <v>0</v>
      </c>
    </row>
    <row r="120" s="69" customFormat="1" customHeight="1" outlineLevel="1" spans="1:21">
      <c r="A120" s="32"/>
      <c r="B120" s="32"/>
      <c r="C120" s="32"/>
      <c r="D120" s="32"/>
      <c r="E120" s="32"/>
      <c r="F120" s="72"/>
      <c r="G120" s="85"/>
      <c r="H120" s="86"/>
      <c r="I120" s="59"/>
      <c r="J120" s="85"/>
      <c r="K120" s="85"/>
      <c r="L120" s="85"/>
      <c r="M120" s="65"/>
      <c r="N120" s="66"/>
      <c r="O120" s="85"/>
      <c r="P120" s="75"/>
      <c r="Q120" s="78"/>
      <c r="R120" s="46">
        <f t="shared" si="72"/>
        <v>0</v>
      </c>
      <c r="S120" s="46">
        <f t="shared" si="73"/>
        <v>0</v>
      </c>
      <c r="T120" s="46" t="b">
        <f t="shared" si="74"/>
        <v>1</v>
      </c>
      <c r="U120" s="46" t="b">
        <f t="shared" si="75"/>
        <v>1</v>
      </c>
    </row>
    <row r="121" s="69" customFormat="1" customHeight="1" outlineLevel="1" spans="1:21">
      <c r="A121" s="32">
        <v>86</v>
      </c>
      <c r="B121" s="32" t="s">
        <v>200</v>
      </c>
      <c r="C121" s="32" t="s">
        <v>201</v>
      </c>
      <c r="D121" s="32" t="s">
        <v>91</v>
      </c>
      <c r="E121" s="32">
        <v>1</v>
      </c>
      <c r="F121" s="72">
        <v>200</v>
      </c>
      <c r="G121" s="73">
        <f t="shared" ref="G121:G128" si="90">H121*(1+I121)</f>
        <v>1260.48</v>
      </c>
      <c r="H121" s="74">
        <f>0.8*2.4*650</f>
        <v>1248</v>
      </c>
      <c r="I121" s="57">
        <v>0.01</v>
      </c>
      <c r="J121" s="73">
        <v>150</v>
      </c>
      <c r="K121" s="73">
        <f>(F121+G121+J121)*$K$5</f>
        <v>96.6288</v>
      </c>
      <c r="L121" s="73">
        <f>(F121+G121+J121+K121)*$L$5</f>
        <v>51.213264</v>
      </c>
      <c r="M121" s="53">
        <f>(F121+G121+J121+K121+L121)*1.4</f>
        <v>2461.6508896</v>
      </c>
      <c r="N121" s="54"/>
      <c r="O121" s="73">
        <f t="shared" ref="O121:O128" si="91">M121*E121</f>
        <v>2461.6508896</v>
      </c>
      <c r="P121" s="75"/>
      <c r="Q121" s="78"/>
      <c r="R121" s="46">
        <f t="shared" si="72"/>
        <v>2461.6508896</v>
      </c>
      <c r="S121" s="46">
        <f t="shared" si="73"/>
        <v>1758.322064</v>
      </c>
      <c r="T121" s="46" t="b">
        <f t="shared" si="74"/>
        <v>1</v>
      </c>
      <c r="U121" s="46" t="b">
        <f t="shared" si="75"/>
        <v>0</v>
      </c>
    </row>
    <row r="122" s="69" customFormat="1" customHeight="1" outlineLevel="1" spans="1:21">
      <c r="A122" s="32"/>
      <c r="B122" s="32"/>
      <c r="C122" s="32"/>
      <c r="D122" s="32"/>
      <c r="E122" s="32"/>
      <c r="F122" s="72"/>
      <c r="G122" s="85"/>
      <c r="H122" s="86"/>
      <c r="I122" s="59"/>
      <c r="J122" s="85"/>
      <c r="K122" s="85"/>
      <c r="L122" s="85"/>
      <c r="M122" s="65"/>
      <c r="N122" s="66"/>
      <c r="O122" s="85"/>
      <c r="P122" s="75"/>
      <c r="Q122" s="78"/>
      <c r="R122" s="46">
        <f t="shared" si="72"/>
        <v>0</v>
      </c>
      <c r="S122" s="46">
        <f t="shared" si="73"/>
        <v>0</v>
      </c>
      <c r="T122" s="46" t="b">
        <f t="shared" si="74"/>
        <v>1</v>
      </c>
      <c r="U122" s="46" t="b">
        <f t="shared" si="75"/>
        <v>1</v>
      </c>
    </row>
    <row r="123" s="69" customFormat="1" customHeight="1" spans="1:21">
      <c r="A123" s="32"/>
      <c r="B123" s="32" t="s">
        <v>202</v>
      </c>
      <c r="C123" s="32"/>
      <c r="D123" s="32"/>
      <c r="E123" s="32"/>
      <c r="F123" s="72"/>
      <c r="G123" s="48"/>
      <c r="H123" s="72"/>
      <c r="I123" s="49"/>
      <c r="J123" s="48"/>
      <c r="K123" s="48"/>
      <c r="L123" s="48"/>
      <c r="M123" s="48"/>
      <c r="N123" s="48"/>
      <c r="O123" s="48"/>
      <c r="P123" s="75"/>
      <c r="Q123" s="78"/>
      <c r="R123" s="46">
        <f t="shared" ref="R123:R186" si="92">E123*M123</f>
        <v>0</v>
      </c>
      <c r="S123" s="46">
        <f t="shared" ref="S123:S186" si="93">F123+G123+J123+K123+L123</f>
        <v>0</v>
      </c>
      <c r="T123" s="46" t="b">
        <f t="shared" ref="T123:T186" si="94">O123=R123</f>
        <v>1</v>
      </c>
      <c r="U123" s="46" t="b">
        <f t="shared" ref="U123:U186" si="95">M123=S123</f>
        <v>1</v>
      </c>
    </row>
    <row r="124" s="69" customFormat="1" customHeight="1" outlineLevel="1" spans="1:21">
      <c r="A124" s="32"/>
      <c r="B124" s="32" t="s">
        <v>203</v>
      </c>
      <c r="C124" s="32"/>
      <c r="D124" s="32"/>
      <c r="E124" s="32"/>
      <c r="F124" s="72"/>
      <c r="G124" s="48"/>
      <c r="H124" s="72"/>
      <c r="I124" s="49"/>
      <c r="J124" s="48"/>
      <c r="K124" s="48"/>
      <c r="L124" s="48"/>
      <c r="M124" s="48"/>
      <c r="N124" s="48"/>
      <c r="O124" s="48"/>
      <c r="P124" s="75"/>
      <c r="Q124" s="78"/>
      <c r="R124" s="46">
        <f t="shared" si="92"/>
        <v>0</v>
      </c>
      <c r="S124" s="46">
        <f t="shared" si="93"/>
        <v>0</v>
      </c>
      <c r="T124" s="46" t="b">
        <f t="shared" si="94"/>
        <v>1</v>
      </c>
      <c r="U124" s="46" t="b">
        <f t="shared" si="95"/>
        <v>1</v>
      </c>
    </row>
    <row r="125" s="69" customFormat="1" customHeight="1" outlineLevel="1" spans="1:21">
      <c r="A125" s="32">
        <v>87</v>
      </c>
      <c r="B125" s="32" t="s">
        <v>193</v>
      </c>
      <c r="C125" s="32" t="s">
        <v>194</v>
      </c>
      <c r="D125" s="32" t="s">
        <v>59</v>
      </c>
      <c r="E125" s="32">
        <v>20.23</v>
      </c>
      <c r="F125" s="72">
        <f>F110</f>
        <v>190</v>
      </c>
      <c r="G125" s="48">
        <f t="shared" si="90"/>
        <v>315</v>
      </c>
      <c r="H125" s="72">
        <f>H110</f>
        <v>300</v>
      </c>
      <c r="I125" s="49">
        <f t="shared" ref="F125:J125" si="96">I110</f>
        <v>0.05</v>
      </c>
      <c r="J125" s="48">
        <f t="shared" si="96"/>
        <v>150</v>
      </c>
      <c r="K125" s="48">
        <f>(F125+G125+J125)*$K$5</f>
        <v>39.3</v>
      </c>
      <c r="L125" s="48">
        <f>(F125+G125+J125+K125)*$L$5</f>
        <v>20.829</v>
      </c>
      <c r="M125" s="76">
        <f>(F125+G125+J125+K125+L125)*1.4</f>
        <v>1001.1806</v>
      </c>
      <c r="N125" s="77"/>
      <c r="O125" s="48">
        <f t="shared" si="91"/>
        <v>20253.883538</v>
      </c>
      <c r="P125" s="75" t="str">
        <f>P110</f>
        <v>厂家定制</v>
      </c>
      <c r="Q125" s="78"/>
      <c r="R125" s="46">
        <f t="shared" si="92"/>
        <v>20253.883538</v>
      </c>
      <c r="S125" s="46">
        <f t="shared" si="93"/>
        <v>715.129</v>
      </c>
      <c r="T125" s="46" t="b">
        <f t="shared" si="94"/>
        <v>1</v>
      </c>
      <c r="U125" s="46" t="b">
        <f t="shared" si="95"/>
        <v>0</v>
      </c>
    </row>
    <row r="126" s="69" customFormat="1" customHeight="1" outlineLevel="1" spans="1:21">
      <c r="A126" s="32">
        <v>88</v>
      </c>
      <c r="B126" s="32" t="s">
        <v>187</v>
      </c>
      <c r="C126" s="32" t="s">
        <v>197</v>
      </c>
      <c r="D126" s="32" t="s">
        <v>59</v>
      </c>
      <c r="E126" s="32">
        <v>2.96</v>
      </c>
      <c r="F126" s="72">
        <f t="shared" ref="F126:J126" si="97">F106</f>
        <v>35</v>
      </c>
      <c r="G126" s="48">
        <f t="shared" si="90"/>
        <v>26.25</v>
      </c>
      <c r="H126" s="72">
        <f t="shared" si="97"/>
        <v>25</v>
      </c>
      <c r="I126" s="49">
        <f t="shared" si="97"/>
        <v>0.05</v>
      </c>
      <c r="J126" s="48">
        <f t="shared" si="97"/>
        <v>15</v>
      </c>
      <c r="K126" s="48">
        <f>(F126+G126+J126)*$K$5</f>
        <v>4.575</v>
      </c>
      <c r="L126" s="48">
        <f>(F126+G126+J126+K126)*$L$5</f>
        <v>2.42475</v>
      </c>
      <c r="M126" s="76">
        <f t="shared" ref="M126:M157" si="98">(F126+G126+J126+K126+L126)*1.4</f>
        <v>116.54965</v>
      </c>
      <c r="N126" s="77"/>
      <c r="O126" s="48">
        <f t="shared" si="91"/>
        <v>344.986964</v>
      </c>
      <c r="P126" s="75"/>
      <c r="Q126" s="78"/>
      <c r="R126" s="46">
        <f t="shared" si="92"/>
        <v>344.986964</v>
      </c>
      <c r="S126" s="46">
        <f t="shared" si="93"/>
        <v>83.24975</v>
      </c>
      <c r="T126" s="46" t="b">
        <f t="shared" si="94"/>
        <v>1</v>
      </c>
      <c r="U126" s="46" t="b">
        <f t="shared" si="95"/>
        <v>0</v>
      </c>
    </row>
    <row r="127" s="69" customFormat="1" customHeight="1" outlineLevel="1" spans="1:21">
      <c r="A127" s="32">
        <v>89</v>
      </c>
      <c r="B127" s="32" t="s">
        <v>189</v>
      </c>
      <c r="C127" s="32" t="s">
        <v>198</v>
      </c>
      <c r="D127" s="32" t="s">
        <v>94</v>
      </c>
      <c r="E127" s="32">
        <v>6.85</v>
      </c>
      <c r="F127" s="72">
        <f t="shared" ref="F127:J127" si="99">F107</f>
        <v>15</v>
      </c>
      <c r="G127" s="48">
        <f t="shared" si="90"/>
        <v>29.4</v>
      </c>
      <c r="H127" s="72">
        <f t="shared" si="99"/>
        <v>28</v>
      </c>
      <c r="I127" s="49">
        <f t="shared" si="99"/>
        <v>0.05</v>
      </c>
      <c r="J127" s="48">
        <f t="shared" si="99"/>
        <v>1</v>
      </c>
      <c r="K127" s="48">
        <f>(F127+G127+J127)*$K$5</f>
        <v>2.724</v>
      </c>
      <c r="L127" s="48">
        <f>(F127+G127+J127+K127)*$L$5</f>
        <v>1.44372</v>
      </c>
      <c r="M127" s="76">
        <f t="shared" si="98"/>
        <v>69.394808</v>
      </c>
      <c r="N127" s="77"/>
      <c r="O127" s="48">
        <f t="shared" si="91"/>
        <v>475.3544348</v>
      </c>
      <c r="P127" s="75"/>
      <c r="Q127" s="78"/>
      <c r="R127" s="46">
        <f t="shared" si="92"/>
        <v>475.3544348</v>
      </c>
      <c r="S127" s="46">
        <f t="shared" si="93"/>
        <v>49.56772</v>
      </c>
      <c r="T127" s="46" t="b">
        <f t="shared" si="94"/>
        <v>1</v>
      </c>
      <c r="U127" s="46" t="b">
        <f t="shared" si="95"/>
        <v>0</v>
      </c>
    </row>
    <row r="128" s="69" customFormat="1" customHeight="1" outlineLevel="1" spans="1:21">
      <c r="A128" s="32">
        <v>90</v>
      </c>
      <c r="B128" s="32" t="s">
        <v>108</v>
      </c>
      <c r="C128" s="32" t="s">
        <v>199</v>
      </c>
      <c r="D128" s="32" t="s">
        <v>59</v>
      </c>
      <c r="E128" s="32">
        <v>44.54</v>
      </c>
      <c r="F128" s="72">
        <f t="shared" ref="F128:J128" si="100">F119</f>
        <v>35</v>
      </c>
      <c r="G128" s="73">
        <f t="shared" si="90"/>
        <v>126</v>
      </c>
      <c r="H128" s="74">
        <f t="shared" si="100"/>
        <v>120</v>
      </c>
      <c r="I128" s="57">
        <f t="shared" si="100"/>
        <v>0.05</v>
      </c>
      <c r="J128" s="73">
        <f t="shared" si="100"/>
        <v>220</v>
      </c>
      <c r="K128" s="73">
        <f>(F128+G128+J128)*$K$5</f>
        <v>22.86</v>
      </c>
      <c r="L128" s="73">
        <f>(F128+G128+J128+K128)*$L$5</f>
        <v>12.1158</v>
      </c>
      <c r="M128" s="53">
        <f t="shared" si="98"/>
        <v>582.36612</v>
      </c>
      <c r="N128" s="54"/>
      <c r="O128" s="73">
        <f t="shared" si="91"/>
        <v>25938.5869848</v>
      </c>
      <c r="P128" s="75"/>
      <c r="Q128" s="78"/>
      <c r="R128" s="46">
        <f t="shared" si="92"/>
        <v>25938.5869848</v>
      </c>
      <c r="S128" s="46">
        <f t="shared" si="93"/>
        <v>415.9758</v>
      </c>
      <c r="T128" s="46" t="b">
        <f t="shared" si="94"/>
        <v>1</v>
      </c>
      <c r="U128" s="46" t="b">
        <f t="shared" si="95"/>
        <v>0</v>
      </c>
    </row>
    <row r="129" s="69" customFormat="1" customHeight="1" outlineLevel="1" spans="1:21">
      <c r="A129" s="32"/>
      <c r="B129" s="32"/>
      <c r="C129" s="32"/>
      <c r="D129" s="32"/>
      <c r="E129" s="32"/>
      <c r="F129" s="72"/>
      <c r="G129" s="85"/>
      <c r="H129" s="86"/>
      <c r="I129" s="59"/>
      <c r="J129" s="85"/>
      <c r="K129" s="85"/>
      <c r="L129" s="85"/>
      <c r="M129" s="65"/>
      <c r="N129" s="66"/>
      <c r="O129" s="85"/>
      <c r="P129" s="75"/>
      <c r="Q129" s="78"/>
      <c r="R129" s="46">
        <f t="shared" si="92"/>
        <v>0</v>
      </c>
      <c r="S129" s="46">
        <f t="shared" si="93"/>
        <v>0</v>
      </c>
      <c r="T129" s="46" t="b">
        <f t="shared" si="94"/>
        <v>1</v>
      </c>
      <c r="U129" s="46" t="b">
        <f t="shared" si="95"/>
        <v>1</v>
      </c>
    </row>
    <row r="130" s="69" customFormat="1" customHeight="1" outlineLevel="1" spans="1:21">
      <c r="A130" s="32"/>
      <c r="B130" s="32" t="s">
        <v>204</v>
      </c>
      <c r="C130" s="32"/>
      <c r="D130" s="32"/>
      <c r="E130" s="32"/>
      <c r="F130" s="72"/>
      <c r="G130" s="48"/>
      <c r="H130" s="72"/>
      <c r="I130" s="49"/>
      <c r="J130" s="48"/>
      <c r="K130" s="48"/>
      <c r="L130" s="48"/>
      <c r="M130" s="76">
        <f t="shared" si="98"/>
        <v>0</v>
      </c>
      <c r="N130" s="77"/>
      <c r="O130" s="48"/>
      <c r="P130" s="75"/>
      <c r="Q130" s="78"/>
      <c r="R130" s="46">
        <f t="shared" si="92"/>
        <v>0</v>
      </c>
      <c r="S130" s="46">
        <f t="shared" si="93"/>
        <v>0</v>
      </c>
      <c r="T130" s="46" t="b">
        <f t="shared" si="94"/>
        <v>1</v>
      </c>
      <c r="U130" s="46" t="b">
        <f t="shared" si="95"/>
        <v>1</v>
      </c>
    </row>
    <row r="131" s="69" customFormat="1" customHeight="1" outlineLevel="1" spans="1:21">
      <c r="A131" s="32">
        <v>91</v>
      </c>
      <c r="B131" s="32" t="s">
        <v>78</v>
      </c>
      <c r="C131" s="32" t="s">
        <v>205</v>
      </c>
      <c r="D131" s="32" t="s">
        <v>59</v>
      </c>
      <c r="E131" s="32">
        <v>35.46</v>
      </c>
      <c r="F131" s="72">
        <v>155</v>
      </c>
      <c r="G131" s="48">
        <f t="shared" ref="G131:G135" si="101">H131*(1+I131)</f>
        <v>315</v>
      </c>
      <c r="H131" s="72">
        <f>H18</f>
        <v>300</v>
      </c>
      <c r="I131" s="49">
        <v>0.05</v>
      </c>
      <c r="J131" s="48">
        <v>80</v>
      </c>
      <c r="K131" s="48">
        <f>(F131+G131+J131)*$K$5</f>
        <v>33</v>
      </c>
      <c r="L131" s="48">
        <f>(F131+G131+J131+K131)*$L$5</f>
        <v>17.49</v>
      </c>
      <c r="M131" s="76">
        <f t="shared" si="98"/>
        <v>840.686</v>
      </c>
      <c r="N131" s="77"/>
      <c r="O131" s="48">
        <f t="shared" ref="O131:O135" si="102">M131*E131</f>
        <v>29810.72556</v>
      </c>
      <c r="P131" s="75" t="str">
        <f>P110</f>
        <v>厂家定制</v>
      </c>
      <c r="Q131" s="78"/>
      <c r="R131" s="46">
        <f t="shared" si="92"/>
        <v>29810.72556</v>
      </c>
      <c r="S131" s="46">
        <f t="shared" si="93"/>
        <v>600.49</v>
      </c>
      <c r="T131" s="46" t="b">
        <f t="shared" si="94"/>
        <v>1</v>
      </c>
      <c r="U131" s="46" t="b">
        <f t="shared" si="95"/>
        <v>0</v>
      </c>
    </row>
    <row r="132" s="69" customFormat="1" customHeight="1" outlineLevel="1" spans="1:21">
      <c r="A132" s="32">
        <v>92</v>
      </c>
      <c r="B132" s="32" t="s">
        <v>178</v>
      </c>
      <c r="C132" s="32" t="s">
        <v>206</v>
      </c>
      <c r="D132" s="32" t="s">
        <v>94</v>
      </c>
      <c r="E132" s="32">
        <v>12</v>
      </c>
      <c r="F132" s="72">
        <f t="shared" ref="F132:J132" si="103">F93</f>
        <v>25</v>
      </c>
      <c r="G132" s="48">
        <f t="shared" si="101"/>
        <v>36.75</v>
      </c>
      <c r="H132" s="72">
        <f t="shared" si="103"/>
        <v>35</v>
      </c>
      <c r="I132" s="49">
        <f t="shared" si="103"/>
        <v>0.05</v>
      </c>
      <c r="J132" s="48">
        <f t="shared" si="103"/>
        <v>5</v>
      </c>
      <c r="K132" s="48">
        <f>(F132+G132+J132)*$K$5</f>
        <v>4.005</v>
      </c>
      <c r="L132" s="48">
        <f>(F132+G132+J132+K132)*$L$5</f>
        <v>2.12265</v>
      </c>
      <c r="M132" s="76">
        <f t="shared" si="98"/>
        <v>102.02871</v>
      </c>
      <c r="N132" s="77"/>
      <c r="O132" s="48">
        <f t="shared" si="102"/>
        <v>1224.34452</v>
      </c>
      <c r="P132" s="75"/>
      <c r="Q132" s="78"/>
      <c r="R132" s="46">
        <f t="shared" si="92"/>
        <v>1224.34452</v>
      </c>
      <c r="S132" s="46">
        <f t="shared" si="93"/>
        <v>72.87765</v>
      </c>
      <c r="T132" s="46" t="b">
        <f t="shared" si="94"/>
        <v>1</v>
      </c>
      <c r="U132" s="46" t="b">
        <f t="shared" si="95"/>
        <v>0</v>
      </c>
    </row>
    <row r="133" s="69" customFormat="1" customHeight="1" outlineLevel="1" spans="1:21">
      <c r="A133" s="32">
        <v>93</v>
      </c>
      <c r="B133" s="32" t="s">
        <v>178</v>
      </c>
      <c r="C133" s="32" t="s">
        <v>207</v>
      </c>
      <c r="D133" s="32" t="s">
        <v>94</v>
      </c>
      <c r="E133" s="32">
        <v>1</v>
      </c>
      <c r="F133" s="72">
        <f t="shared" ref="F133:J133" si="104">F94</f>
        <v>25</v>
      </c>
      <c r="G133" s="48">
        <f t="shared" si="101"/>
        <v>33.6</v>
      </c>
      <c r="H133" s="72">
        <f t="shared" si="104"/>
        <v>32</v>
      </c>
      <c r="I133" s="49">
        <f t="shared" si="104"/>
        <v>0.05</v>
      </c>
      <c r="J133" s="48">
        <f t="shared" si="104"/>
        <v>5</v>
      </c>
      <c r="K133" s="48">
        <f>(F133+G133+J133)*$K$5</f>
        <v>3.816</v>
      </c>
      <c r="L133" s="48">
        <f>(F133+G133+J133+K133)*$L$5</f>
        <v>2.02248</v>
      </c>
      <c r="M133" s="76">
        <f t="shared" si="98"/>
        <v>97.213872</v>
      </c>
      <c r="N133" s="77"/>
      <c r="O133" s="48">
        <f t="shared" si="102"/>
        <v>97.213872</v>
      </c>
      <c r="P133" s="75"/>
      <c r="Q133" s="78"/>
      <c r="R133" s="46">
        <f t="shared" si="92"/>
        <v>97.213872</v>
      </c>
      <c r="S133" s="46">
        <f t="shared" si="93"/>
        <v>69.43848</v>
      </c>
      <c r="T133" s="46" t="b">
        <f t="shared" si="94"/>
        <v>1</v>
      </c>
      <c r="U133" s="46" t="b">
        <f t="shared" si="95"/>
        <v>0</v>
      </c>
    </row>
    <row r="134" s="69" customFormat="1" customHeight="1" outlineLevel="1" spans="1:21">
      <c r="A134" s="32">
        <v>94</v>
      </c>
      <c r="B134" s="32" t="s">
        <v>86</v>
      </c>
      <c r="C134" s="32" t="s">
        <v>208</v>
      </c>
      <c r="D134" s="32" t="s">
        <v>88</v>
      </c>
      <c r="E134" s="32">
        <v>12</v>
      </c>
      <c r="F134" s="72">
        <f t="shared" ref="F134:J134" si="105">F23</f>
        <v>10</v>
      </c>
      <c r="G134" s="48">
        <f t="shared" si="101"/>
        <v>30.3</v>
      </c>
      <c r="H134" s="72">
        <f t="shared" si="105"/>
        <v>30</v>
      </c>
      <c r="I134" s="49">
        <f t="shared" si="105"/>
        <v>0.01</v>
      </c>
      <c r="J134" s="48">
        <f t="shared" si="105"/>
        <v>1</v>
      </c>
      <c r="K134" s="48">
        <f>(F134+G134+J134)*$K$5</f>
        <v>2.478</v>
      </c>
      <c r="L134" s="48">
        <f>(F134+G134+J134+K134)*$L$5</f>
        <v>1.31334</v>
      </c>
      <c r="M134" s="76">
        <f t="shared" si="98"/>
        <v>63.127876</v>
      </c>
      <c r="N134" s="77"/>
      <c r="O134" s="48">
        <f t="shared" si="102"/>
        <v>757.534512</v>
      </c>
      <c r="P134" s="75"/>
      <c r="Q134" s="78"/>
      <c r="R134" s="46">
        <f t="shared" si="92"/>
        <v>757.534512</v>
      </c>
      <c r="S134" s="46">
        <f t="shared" si="93"/>
        <v>45.09134</v>
      </c>
      <c r="T134" s="46" t="b">
        <f t="shared" si="94"/>
        <v>1</v>
      </c>
      <c r="U134" s="46" t="b">
        <f t="shared" si="95"/>
        <v>0</v>
      </c>
    </row>
    <row r="135" s="69" customFormat="1" customHeight="1" outlineLevel="1" spans="1:21">
      <c r="A135" s="51">
        <v>95</v>
      </c>
      <c r="B135" s="51" t="s">
        <v>78</v>
      </c>
      <c r="C135" s="51" t="s">
        <v>209</v>
      </c>
      <c r="D135" s="51" t="s">
        <v>59</v>
      </c>
      <c r="E135" s="51">
        <v>22.75</v>
      </c>
      <c r="F135" s="74">
        <f>F125</f>
        <v>190</v>
      </c>
      <c r="G135" s="73">
        <f t="shared" si="101"/>
        <v>315</v>
      </c>
      <c r="H135" s="74">
        <f>H131</f>
        <v>300</v>
      </c>
      <c r="I135" s="57">
        <f>I131</f>
        <v>0.05</v>
      </c>
      <c r="J135" s="73">
        <f>J125</f>
        <v>150</v>
      </c>
      <c r="K135" s="73">
        <f>(F135+G135+J135)*$K$5</f>
        <v>39.3</v>
      </c>
      <c r="L135" s="73">
        <f>(F135+G135+J135+K135)*$L$5</f>
        <v>20.829</v>
      </c>
      <c r="M135" s="53">
        <f t="shared" si="98"/>
        <v>1001.1806</v>
      </c>
      <c r="N135" s="54"/>
      <c r="O135" s="73">
        <f t="shared" si="102"/>
        <v>22776.85865</v>
      </c>
      <c r="P135" s="80" t="s">
        <v>210</v>
      </c>
      <c r="Q135" s="78"/>
      <c r="R135" s="46">
        <f t="shared" si="92"/>
        <v>22776.85865</v>
      </c>
      <c r="S135" s="46">
        <f t="shared" si="93"/>
        <v>715.129</v>
      </c>
      <c r="T135" s="46" t="b">
        <f t="shared" si="94"/>
        <v>1</v>
      </c>
      <c r="U135" s="46" t="b">
        <f t="shared" si="95"/>
        <v>0</v>
      </c>
    </row>
    <row r="136" s="69" customFormat="1" customHeight="1" outlineLevel="1" spans="1:21">
      <c r="A136" s="62"/>
      <c r="B136" s="62"/>
      <c r="C136" s="62"/>
      <c r="D136" s="62"/>
      <c r="E136" s="62"/>
      <c r="F136" s="84"/>
      <c r="G136" s="83"/>
      <c r="H136" s="84"/>
      <c r="I136" s="63"/>
      <c r="J136" s="83"/>
      <c r="K136" s="83"/>
      <c r="L136" s="83"/>
      <c r="M136" s="65"/>
      <c r="N136" s="66"/>
      <c r="O136" s="83"/>
      <c r="P136" s="92"/>
      <c r="Q136" s="78"/>
      <c r="R136" s="46">
        <f t="shared" si="92"/>
        <v>0</v>
      </c>
      <c r="S136" s="46">
        <f t="shared" si="93"/>
        <v>0</v>
      </c>
      <c r="T136" s="46" t="b">
        <f t="shared" si="94"/>
        <v>1</v>
      </c>
      <c r="U136" s="46" t="b">
        <f t="shared" si="95"/>
        <v>1</v>
      </c>
    </row>
    <row r="137" s="69" customFormat="1" customHeight="1" outlineLevel="1" spans="1:21">
      <c r="A137" s="52"/>
      <c r="B137" s="52"/>
      <c r="C137" s="52"/>
      <c r="D137" s="52"/>
      <c r="E137" s="52"/>
      <c r="F137" s="86"/>
      <c r="G137" s="85"/>
      <c r="H137" s="86"/>
      <c r="I137" s="59"/>
      <c r="J137" s="85"/>
      <c r="K137" s="85"/>
      <c r="L137" s="85"/>
      <c r="M137" s="65"/>
      <c r="N137" s="66"/>
      <c r="O137" s="85"/>
      <c r="P137" s="82"/>
      <c r="Q137" s="78"/>
      <c r="R137" s="46">
        <f t="shared" si="92"/>
        <v>0</v>
      </c>
      <c r="S137" s="46">
        <f t="shared" si="93"/>
        <v>0</v>
      </c>
      <c r="T137" s="46" t="b">
        <f t="shared" si="94"/>
        <v>1</v>
      </c>
      <c r="U137" s="46" t="b">
        <f t="shared" si="95"/>
        <v>1</v>
      </c>
    </row>
    <row r="138" s="69" customFormat="1" customHeight="1" outlineLevel="1" spans="1:21">
      <c r="A138" s="32">
        <v>96</v>
      </c>
      <c r="B138" s="32" t="s">
        <v>189</v>
      </c>
      <c r="C138" s="32" t="s">
        <v>198</v>
      </c>
      <c r="D138" s="32" t="s">
        <v>94</v>
      </c>
      <c r="E138" s="32">
        <v>8.32</v>
      </c>
      <c r="F138" s="72">
        <f t="shared" ref="F138:J138" si="106">F107</f>
        <v>15</v>
      </c>
      <c r="G138" s="48">
        <f t="shared" ref="G138:G142" si="107">H138*(1+I138)</f>
        <v>29.4</v>
      </c>
      <c r="H138" s="72">
        <f t="shared" si="106"/>
        <v>28</v>
      </c>
      <c r="I138" s="49">
        <f t="shared" si="106"/>
        <v>0.05</v>
      </c>
      <c r="J138" s="48">
        <f t="shared" si="106"/>
        <v>1</v>
      </c>
      <c r="K138" s="48">
        <f>(F138+G138+J138)*$K$5</f>
        <v>2.724</v>
      </c>
      <c r="L138" s="48">
        <f>(F138+G138+J138+K138)*$L$5</f>
        <v>1.44372</v>
      </c>
      <c r="M138" s="76">
        <f t="shared" si="98"/>
        <v>69.394808</v>
      </c>
      <c r="N138" s="77"/>
      <c r="O138" s="48">
        <f t="shared" ref="O138:O146" si="108">M138*E138</f>
        <v>577.36480256</v>
      </c>
      <c r="P138" s="75"/>
      <c r="Q138" s="78"/>
      <c r="R138" s="46">
        <f t="shared" si="92"/>
        <v>577.36480256</v>
      </c>
      <c r="S138" s="46">
        <f t="shared" si="93"/>
        <v>49.56772</v>
      </c>
      <c r="T138" s="46" t="b">
        <f t="shared" si="94"/>
        <v>1</v>
      </c>
      <c r="U138" s="46" t="b">
        <f t="shared" si="95"/>
        <v>0</v>
      </c>
    </row>
    <row r="139" s="69" customFormat="1" customHeight="1" outlineLevel="1" spans="1:21">
      <c r="A139" s="32"/>
      <c r="B139" s="32" t="s">
        <v>211</v>
      </c>
      <c r="C139" s="32"/>
      <c r="D139" s="32"/>
      <c r="E139" s="32"/>
      <c r="F139" s="72"/>
      <c r="G139" s="48"/>
      <c r="H139" s="72"/>
      <c r="I139" s="49"/>
      <c r="J139" s="48"/>
      <c r="K139" s="48"/>
      <c r="L139" s="48"/>
      <c r="M139" s="76">
        <f t="shared" si="98"/>
        <v>0</v>
      </c>
      <c r="N139" s="77"/>
      <c r="O139" s="48"/>
      <c r="P139" s="75"/>
      <c r="Q139" s="78"/>
      <c r="R139" s="46">
        <f t="shared" si="92"/>
        <v>0</v>
      </c>
      <c r="S139" s="46">
        <f t="shared" si="93"/>
        <v>0</v>
      </c>
      <c r="T139" s="46" t="b">
        <f t="shared" si="94"/>
        <v>1</v>
      </c>
      <c r="U139" s="46" t="b">
        <f t="shared" si="95"/>
        <v>1</v>
      </c>
    </row>
    <row r="140" s="69" customFormat="1" customHeight="1" outlineLevel="1" spans="1:21">
      <c r="A140" s="32">
        <v>97</v>
      </c>
      <c r="B140" s="32" t="s">
        <v>78</v>
      </c>
      <c r="C140" s="32" t="s">
        <v>212</v>
      </c>
      <c r="D140" s="32" t="s">
        <v>59</v>
      </c>
      <c r="E140" s="32">
        <v>26.08</v>
      </c>
      <c r="F140" s="72">
        <v>145</v>
      </c>
      <c r="G140" s="48">
        <f t="shared" si="107"/>
        <v>236.25</v>
      </c>
      <c r="H140" s="72">
        <v>225</v>
      </c>
      <c r="I140" s="49">
        <v>0.05</v>
      </c>
      <c r="J140" s="48">
        <f>35+25+10</f>
        <v>70</v>
      </c>
      <c r="K140" s="48">
        <f>(F140+G140+J140)*$K$5</f>
        <v>27.075</v>
      </c>
      <c r="L140" s="48">
        <f>(F140+G140+J140+K140)*$L$5</f>
        <v>14.34975</v>
      </c>
      <c r="M140" s="76">
        <f t="shared" si="98"/>
        <v>689.74465</v>
      </c>
      <c r="N140" s="77"/>
      <c r="O140" s="48">
        <f t="shared" si="108"/>
        <v>17988.540472</v>
      </c>
      <c r="P140" s="75"/>
      <c r="Q140" s="78"/>
      <c r="R140" s="46">
        <f t="shared" si="92"/>
        <v>17988.540472</v>
      </c>
      <c r="S140" s="46">
        <f t="shared" si="93"/>
        <v>492.67475</v>
      </c>
      <c r="T140" s="46" t="b">
        <f t="shared" si="94"/>
        <v>1</v>
      </c>
      <c r="U140" s="46" t="b">
        <f t="shared" si="95"/>
        <v>0</v>
      </c>
    </row>
    <row r="141" s="70" customFormat="1" customHeight="1" outlineLevel="1" spans="1:21">
      <c r="A141" s="32">
        <v>98</v>
      </c>
      <c r="B141" s="32" t="s">
        <v>78</v>
      </c>
      <c r="C141" s="32" t="s">
        <v>213</v>
      </c>
      <c r="D141" s="32" t="s">
        <v>59</v>
      </c>
      <c r="E141" s="32">
        <v>27.6</v>
      </c>
      <c r="F141" s="72">
        <v>150</v>
      </c>
      <c r="G141" s="48">
        <f t="shared" si="107"/>
        <v>173.25</v>
      </c>
      <c r="H141" s="72">
        <v>165</v>
      </c>
      <c r="I141" s="49">
        <v>0.05</v>
      </c>
      <c r="J141" s="48">
        <v>50</v>
      </c>
      <c r="K141" s="48">
        <f>(F141+G141+J141)*$K$5</f>
        <v>22.395</v>
      </c>
      <c r="L141" s="48">
        <f>(F141+G141+J141+K141)*$L$5</f>
        <v>11.86935</v>
      </c>
      <c r="M141" s="76">
        <f t="shared" si="98"/>
        <v>570.52009</v>
      </c>
      <c r="N141" s="77"/>
      <c r="O141" s="48">
        <f t="shared" si="108"/>
        <v>15746.354484</v>
      </c>
      <c r="P141" s="75"/>
      <c r="Q141" s="78"/>
      <c r="R141" s="46">
        <f t="shared" si="92"/>
        <v>15746.354484</v>
      </c>
      <c r="S141" s="46">
        <f t="shared" si="93"/>
        <v>407.51435</v>
      </c>
      <c r="T141" s="46" t="b">
        <f t="shared" si="94"/>
        <v>1</v>
      </c>
      <c r="U141" s="46" t="b">
        <f t="shared" si="95"/>
        <v>0</v>
      </c>
    </row>
    <row r="142" s="70" customFormat="1" customHeight="1" outlineLevel="1" spans="1:21">
      <c r="A142" s="32">
        <v>99</v>
      </c>
      <c r="B142" s="32" t="s">
        <v>214</v>
      </c>
      <c r="C142" s="32" t="s">
        <v>215</v>
      </c>
      <c r="D142" s="32" t="s">
        <v>59</v>
      </c>
      <c r="E142" s="32">
        <v>13.68</v>
      </c>
      <c r="F142" s="72">
        <v>260</v>
      </c>
      <c r="G142" s="48">
        <f t="shared" si="107"/>
        <v>1942.5</v>
      </c>
      <c r="H142" s="72">
        <v>1850</v>
      </c>
      <c r="I142" s="50">
        <v>0.05</v>
      </c>
      <c r="J142" s="48">
        <v>120</v>
      </c>
      <c r="K142" s="48">
        <f>(F142+G142+J142)*$K$5</f>
        <v>139.35</v>
      </c>
      <c r="L142" s="48">
        <f>(F142+G142+J142+K142)*$L$5</f>
        <v>73.8555</v>
      </c>
      <c r="M142" s="76">
        <f t="shared" si="98"/>
        <v>3549.9877</v>
      </c>
      <c r="N142" s="77"/>
      <c r="O142" s="48">
        <f t="shared" si="108"/>
        <v>48563.831736</v>
      </c>
      <c r="P142" s="75"/>
      <c r="Q142" s="78"/>
      <c r="R142" s="46">
        <f t="shared" si="92"/>
        <v>48563.831736</v>
      </c>
      <c r="S142" s="46">
        <f t="shared" si="93"/>
        <v>2535.7055</v>
      </c>
      <c r="T142" s="46" t="b">
        <f t="shared" si="94"/>
        <v>1</v>
      </c>
      <c r="U142" s="46" t="b">
        <f t="shared" si="95"/>
        <v>0</v>
      </c>
    </row>
    <row r="143" s="70" customFormat="1" customHeight="1" outlineLevel="1" spans="1:21">
      <c r="A143" s="32">
        <v>100</v>
      </c>
      <c r="B143" s="32" t="s">
        <v>214</v>
      </c>
      <c r="C143" s="32" t="s">
        <v>216</v>
      </c>
      <c r="D143" s="32" t="s">
        <v>59</v>
      </c>
      <c r="E143" s="32">
        <v>13.92</v>
      </c>
      <c r="F143" s="72">
        <v>260</v>
      </c>
      <c r="G143" s="48">
        <v>0</v>
      </c>
      <c r="H143" s="72">
        <v>0</v>
      </c>
      <c r="I143" s="50">
        <v>0</v>
      </c>
      <c r="J143" s="48">
        <v>120</v>
      </c>
      <c r="K143" s="48">
        <f>(F143+G143+J143)*$K$5</f>
        <v>22.8</v>
      </c>
      <c r="L143" s="48">
        <f>(F143+G143+J143+K143)*$L$5</f>
        <v>12.084</v>
      </c>
      <c r="M143" s="76">
        <f t="shared" si="98"/>
        <v>580.8376</v>
      </c>
      <c r="N143" s="77"/>
      <c r="O143" s="48">
        <f t="shared" si="108"/>
        <v>8085.259392</v>
      </c>
      <c r="P143" s="75" t="s">
        <v>217</v>
      </c>
      <c r="Q143" s="78"/>
      <c r="R143" s="46">
        <f t="shared" si="92"/>
        <v>8085.259392</v>
      </c>
      <c r="S143" s="46">
        <f t="shared" si="93"/>
        <v>414.884</v>
      </c>
      <c r="T143" s="46" t="b">
        <f t="shared" si="94"/>
        <v>1</v>
      </c>
      <c r="U143" s="46" t="b">
        <f t="shared" si="95"/>
        <v>0</v>
      </c>
    </row>
    <row r="144" s="69" customFormat="1" customHeight="1" outlineLevel="1" spans="1:21">
      <c r="A144" s="32">
        <v>101</v>
      </c>
      <c r="B144" s="32" t="s">
        <v>78</v>
      </c>
      <c r="C144" s="32" t="s">
        <v>218</v>
      </c>
      <c r="D144" s="32" t="s">
        <v>59</v>
      </c>
      <c r="E144" s="32">
        <v>11.61</v>
      </c>
      <c r="F144" s="72">
        <f>F110</f>
        <v>190</v>
      </c>
      <c r="G144" s="48">
        <f t="shared" ref="G144:G146" si="109">H144*(1+I144)</f>
        <v>315</v>
      </c>
      <c r="H144" s="72">
        <f>H19</f>
        <v>300</v>
      </c>
      <c r="I144" s="49">
        <f>I19</f>
        <v>0.05</v>
      </c>
      <c r="J144" s="48">
        <f>J110</f>
        <v>150</v>
      </c>
      <c r="K144" s="48">
        <f>(F144+G144+J144)*$K$5</f>
        <v>39.3</v>
      </c>
      <c r="L144" s="48">
        <f>(F144+G144+J144+K144)*$L$5</f>
        <v>20.829</v>
      </c>
      <c r="M144" s="76">
        <f t="shared" si="98"/>
        <v>1001.1806</v>
      </c>
      <c r="N144" s="77"/>
      <c r="O144" s="48">
        <f t="shared" si="108"/>
        <v>11623.706766</v>
      </c>
      <c r="P144" s="75" t="str">
        <f>P131</f>
        <v>厂家定制</v>
      </c>
      <c r="Q144" s="78"/>
      <c r="R144" s="46">
        <f t="shared" si="92"/>
        <v>11623.706766</v>
      </c>
      <c r="S144" s="46">
        <f t="shared" si="93"/>
        <v>715.129</v>
      </c>
      <c r="T144" s="46" t="b">
        <f t="shared" si="94"/>
        <v>1</v>
      </c>
      <c r="U144" s="46" t="b">
        <f t="shared" si="95"/>
        <v>0</v>
      </c>
    </row>
    <row r="145" s="69" customFormat="1" customHeight="1" outlineLevel="1" spans="1:21">
      <c r="A145" s="32">
        <v>102</v>
      </c>
      <c r="B145" s="32" t="s">
        <v>78</v>
      </c>
      <c r="C145" s="32" t="s">
        <v>219</v>
      </c>
      <c r="D145" s="32" t="s">
        <v>59</v>
      </c>
      <c r="E145" s="32">
        <v>45.49</v>
      </c>
      <c r="F145" s="72">
        <f>F144</f>
        <v>190</v>
      </c>
      <c r="G145" s="48">
        <f t="shared" si="109"/>
        <v>336</v>
      </c>
      <c r="H145" s="72">
        <v>320</v>
      </c>
      <c r="I145" s="49">
        <v>0.05</v>
      </c>
      <c r="J145" s="48">
        <f>J144</f>
        <v>150</v>
      </c>
      <c r="K145" s="48">
        <f>(F145+G145+J145)*$K$5</f>
        <v>40.56</v>
      </c>
      <c r="L145" s="48">
        <f>(F145+G145+J145+K145)*$L$5</f>
        <v>21.4968</v>
      </c>
      <c r="M145" s="76">
        <f t="shared" si="98"/>
        <v>1033.27952</v>
      </c>
      <c r="N145" s="77"/>
      <c r="O145" s="48">
        <f t="shared" si="108"/>
        <v>47003.8853648</v>
      </c>
      <c r="P145" s="75"/>
      <c r="Q145" s="78"/>
      <c r="R145" s="46">
        <f t="shared" si="92"/>
        <v>47003.8853648</v>
      </c>
      <c r="S145" s="46">
        <f t="shared" si="93"/>
        <v>738.0568</v>
      </c>
      <c r="T145" s="46" t="b">
        <f t="shared" si="94"/>
        <v>1</v>
      </c>
      <c r="U145" s="46" t="b">
        <f t="shared" si="95"/>
        <v>0</v>
      </c>
    </row>
    <row r="146" s="69" customFormat="1" customHeight="1" outlineLevel="1" spans="1:21">
      <c r="A146" s="32">
        <v>103</v>
      </c>
      <c r="B146" s="32" t="s">
        <v>189</v>
      </c>
      <c r="C146" s="32" t="s">
        <v>198</v>
      </c>
      <c r="D146" s="32" t="s">
        <v>94</v>
      </c>
      <c r="E146" s="32">
        <v>3.51</v>
      </c>
      <c r="F146" s="72">
        <f t="shared" ref="F146:J146" si="110">F107</f>
        <v>15</v>
      </c>
      <c r="G146" s="48">
        <f t="shared" si="109"/>
        <v>29.4</v>
      </c>
      <c r="H146" s="72">
        <f t="shared" si="110"/>
        <v>28</v>
      </c>
      <c r="I146" s="49">
        <f t="shared" si="110"/>
        <v>0.05</v>
      </c>
      <c r="J146" s="48">
        <f t="shared" si="110"/>
        <v>1</v>
      </c>
      <c r="K146" s="48">
        <f>(F146+G146+J146)*$K$5</f>
        <v>2.724</v>
      </c>
      <c r="L146" s="48">
        <f>(F146+G146+J146+K146)*$L$5</f>
        <v>1.44372</v>
      </c>
      <c r="M146" s="76">
        <f t="shared" si="98"/>
        <v>69.394808</v>
      </c>
      <c r="N146" s="77"/>
      <c r="O146" s="48">
        <f t="shared" si="108"/>
        <v>243.57577608</v>
      </c>
      <c r="P146" s="75"/>
      <c r="Q146" s="78"/>
      <c r="R146" s="46">
        <f t="shared" si="92"/>
        <v>243.57577608</v>
      </c>
      <c r="S146" s="46">
        <f t="shared" si="93"/>
        <v>49.56772</v>
      </c>
      <c r="T146" s="46" t="b">
        <f t="shared" si="94"/>
        <v>1</v>
      </c>
      <c r="U146" s="46" t="b">
        <f t="shared" si="95"/>
        <v>0</v>
      </c>
    </row>
    <row r="147" s="69" customFormat="1" customHeight="1" spans="1:21">
      <c r="A147" s="32"/>
      <c r="B147" s="32" t="s">
        <v>220</v>
      </c>
      <c r="C147" s="32"/>
      <c r="D147" s="32"/>
      <c r="E147" s="32"/>
      <c r="F147" s="72"/>
      <c r="G147" s="48"/>
      <c r="H147" s="72"/>
      <c r="I147" s="49"/>
      <c r="J147" s="48"/>
      <c r="K147" s="48"/>
      <c r="L147" s="48"/>
      <c r="M147" s="76">
        <f t="shared" si="98"/>
        <v>0</v>
      </c>
      <c r="N147" s="77"/>
      <c r="O147" s="48"/>
      <c r="P147" s="75"/>
      <c r="Q147" s="78"/>
      <c r="R147" s="46">
        <f t="shared" si="92"/>
        <v>0</v>
      </c>
      <c r="S147" s="46">
        <f t="shared" si="93"/>
        <v>0</v>
      </c>
      <c r="T147" s="46" t="b">
        <f t="shared" si="94"/>
        <v>1</v>
      </c>
      <c r="U147" s="46" t="b">
        <f t="shared" si="95"/>
        <v>1</v>
      </c>
    </row>
    <row r="148" s="69" customFormat="1" customHeight="1" outlineLevel="1" spans="1:21">
      <c r="A148" s="32">
        <v>104</v>
      </c>
      <c r="B148" s="32" t="s">
        <v>187</v>
      </c>
      <c r="C148" s="32" t="s">
        <v>197</v>
      </c>
      <c r="D148" s="32" t="s">
        <v>59</v>
      </c>
      <c r="E148" s="32">
        <v>42.25</v>
      </c>
      <c r="F148" s="72">
        <f t="shared" ref="F148:J148" si="111">F106</f>
        <v>35</v>
      </c>
      <c r="G148" s="48">
        <f t="shared" ref="G148:G155" si="112">H148*(1+I148)</f>
        <v>26.25</v>
      </c>
      <c r="H148" s="72">
        <f t="shared" si="111"/>
        <v>25</v>
      </c>
      <c r="I148" s="49">
        <f t="shared" si="111"/>
        <v>0.05</v>
      </c>
      <c r="J148" s="48">
        <f t="shared" si="111"/>
        <v>15</v>
      </c>
      <c r="K148" s="48">
        <f>(F148+G148+J148)*$K$5</f>
        <v>4.575</v>
      </c>
      <c r="L148" s="48">
        <f>(F148+G148+J148+K148)*$L$5</f>
        <v>2.42475</v>
      </c>
      <c r="M148" s="76">
        <f t="shared" si="98"/>
        <v>116.54965</v>
      </c>
      <c r="N148" s="77"/>
      <c r="O148" s="48">
        <f t="shared" ref="O148:O155" si="113">M148*E148</f>
        <v>4924.2227125</v>
      </c>
      <c r="P148" s="75"/>
      <c r="Q148" s="78"/>
      <c r="R148" s="46">
        <f t="shared" si="92"/>
        <v>4924.2227125</v>
      </c>
      <c r="S148" s="46">
        <f t="shared" si="93"/>
        <v>83.24975</v>
      </c>
      <c r="T148" s="46" t="b">
        <f t="shared" si="94"/>
        <v>1</v>
      </c>
      <c r="U148" s="46" t="b">
        <f t="shared" si="95"/>
        <v>0</v>
      </c>
    </row>
    <row r="149" s="69" customFormat="1" customHeight="1" outlineLevel="1" spans="1:21">
      <c r="A149" s="32">
        <v>105</v>
      </c>
      <c r="B149" s="32" t="s">
        <v>78</v>
      </c>
      <c r="C149" s="32" t="s">
        <v>212</v>
      </c>
      <c r="D149" s="32" t="s">
        <v>59</v>
      </c>
      <c r="E149" s="32">
        <v>10.59</v>
      </c>
      <c r="F149" s="72">
        <f t="shared" ref="F149:J149" si="114">F140</f>
        <v>145</v>
      </c>
      <c r="G149" s="48">
        <f t="shared" si="112"/>
        <v>236.25</v>
      </c>
      <c r="H149" s="72">
        <f t="shared" si="114"/>
        <v>225</v>
      </c>
      <c r="I149" s="49">
        <f t="shared" si="114"/>
        <v>0.05</v>
      </c>
      <c r="J149" s="48">
        <f t="shared" si="114"/>
        <v>70</v>
      </c>
      <c r="K149" s="48">
        <f>(F149+G149+J149)*$K$5</f>
        <v>27.075</v>
      </c>
      <c r="L149" s="48">
        <f>(F149+G149+J149+K149)*$L$5</f>
        <v>14.34975</v>
      </c>
      <c r="M149" s="76">
        <f t="shared" si="98"/>
        <v>689.74465</v>
      </c>
      <c r="N149" s="77"/>
      <c r="O149" s="48">
        <f t="shared" si="113"/>
        <v>7304.3958435</v>
      </c>
      <c r="P149" s="75"/>
      <c r="Q149" s="78"/>
      <c r="R149" s="46">
        <f t="shared" si="92"/>
        <v>7304.3958435</v>
      </c>
      <c r="S149" s="46">
        <f t="shared" si="93"/>
        <v>492.67475</v>
      </c>
      <c r="T149" s="46" t="b">
        <f t="shared" si="94"/>
        <v>1</v>
      </c>
      <c r="U149" s="46" t="b">
        <f t="shared" si="95"/>
        <v>0</v>
      </c>
    </row>
    <row r="150" s="69" customFormat="1" customHeight="1" outlineLevel="1" spans="1:21">
      <c r="A150" s="32">
        <v>106</v>
      </c>
      <c r="B150" s="32" t="s">
        <v>214</v>
      </c>
      <c r="C150" s="32" t="s">
        <v>221</v>
      </c>
      <c r="D150" s="32" t="s">
        <v>59</v>
      </c>
      <c r="E150" s="32">
        <v>0</v>
      </c>
      <c r="F150" s="72">
        <f t="shared" ref="F150:J150" si="115">F142</f>
        <v>260</v>
      </c>
      <c r="G150" s="48">
        <f t="shared" si="112"/>
        <v>1942.5</v>
      </c>
      <c r="H150" s="72">
        <f t="shared" si="115"/>
        <v>1850</v>
      </c>
      <c r="I150" s="95">
        <f t="shared" si="115"/>
        <v>0.05</v>
      </c>
      <c r="J150" s="72">
        <f t="shared" si="115"/>
        <v>120</v>
      </c>
      <c r="K150" s="48">
        <f>(F150+G150+J150)*$K$5</f>
        <v>139.35</v>
      </c>
      <c r="L150" s="48">
        <f>(F150+G150+J150+K150)*$L$5</f>
        <v>73.8555</v>
      </c>
      <c r="M150" s="76">
        <f t="shared" si="98"/>
        <v>3549.9877</v>
      </c>
      <c r="N150" s="77"/>
      <c r="O150" s="48">
        <f t="shared" si="113"/>
        <v>0</v>
      </c>
      <c r="P150" s="32" t="s">
        <v>222</v>
      </c>
      <c r="Q150" s="78"/>
      <c r="R150" s="46">
        <f t="shared" si="92"/>
        <v>0</v>
      </c>
      <c r="S150" s="46">
        <f t="shared" si="93"/>
        <v>2535.7055</v>
      </c>
      <c r="T150" s="46" t="b">
        <f t="shared" si="94"/>
        <v>1</v>
      </c>
      <c r="U150" s="46" t="b">
        <f t="shared" si="95"/>
        <v>0</v>
      </c>
    </row>
    <row r="151" s="69" customFormat="1" customHeight="1" outlineLevel="1" spans="1:21">
      <c r="A151" s="32">
        <v>107</v>
      </c>
      <c r="B151" s="32" t="s">
        <v>223</v>
      </c>
      <c r="C151" s="32" t="s">
        <v>224</v>
      </c>
      <c r="D151" s="32" t="s">
        <v>59</v>
      </c>
      <c r="E151" s="32">
        <v>44.66</v>
      </c>
      <c r="F151" s="72">
        <v>150</v>
      </c>
      <c r="G151" s="48">
        <f t="shared" si="112"/>
        <v>141.75</v>
      </c>
      <c r="H151" s="72">
        <f>35+15+85</f>
        <v>135</v>
      </c>
      <c r="I151" s="49">
        <v>0.05</v>
      </c>
      <c r="J151" s="48">
        <v>85</v>
      </c>
      <c r="K151" s="48">
        <f>(F151+G151+J151)*$K$5</f>
        <v>22.605</v>
      </c>
      <c r="L151" s="48">
        <f>(F151+G151+J151+K151)*$L$5</f>
        <v>11.98065</v>
      </c>
      <c r="M151" s="76">
        <f t="shared" si="98"/>
        <v>575.86991</v>
      </c>
      <c r="N151" s="77"/>
      <c r="O151" s="48">
        <f t="shared" si="113"/>
        <v>25718.3501806</v>
      </c>
      <c r="P151" s="75"/>
      <c r="Q151" s="78"/>
      <c r="R151" s="46">
        <f t="shared" si="92"/>
        <v>25718.3501806</v>
      </c>
      <c r="S151" s="46">
        <f t="shared" si="93"/>
        <v>411.33565</v>
      </c>
      <c r="T151" s="46" t="b">
        <f t="shared" si="94"/>
        <v>1</v>
      </c>
      <c r="U151" s="46" t="b">
        <f t="shared" si="95"/>
        <v>0</v>
      </c>
    </row>
    <row r="152" s="70" customFormat="1" customHeight="1" outlineLevel="1" spans="1:21">
      <c r="A152" s="32">
        <v>108</v>
      </c>
      <c r="B152" s="32" t="s">
        <v>223</v>
      </c>
      <c r="C152" s="32" t="s">
        <v>225</v>
      </c>
      <c r="D152" s="32" t="s">
        <v>59</v>
      </c>
      <c r="E152" s="32">
        <v>28.15</v>
      </c>
      <c r="F152" s="93">
        <f>F151</f>
        <v>150</v>
      </c>
      <c r="G152" s="94">
        <f t="shared" si="112"/>
        <v>141.75</v>
      </c>
      <c r="H152" s="93">
        <f>H151</f>
        <v>135</v>
      </c>
      <c r="I152" s="49">
        <f>I151</f>
        <v>0.05</v>
      </c>
      <c r="J152" s="94">
        <f>J151</f>
        <v>85</v>
      </c>
      <c r="K152" s="48">
        <f>(F152+G152+J152)*$K$5</f>
        <v>22.605</v>
      </c>
      <c r="L152" s="48">
        <f>(F152+G152+J152+K152)*$L$5</f>
        <v>11.98065</v>
      </c>
      <c r="M152" s="76">
        <f t="shared" si="98"/>
        <v>575.86991</v>
      </c>
      <c r="N152" s="77"/>
      <c r="O152" s="48">
        <f t="shared" si="113"/>
        <v>16210.7379665</v>
      </c>
      <c r="P152" s="94"/>
      <c r="Q152" s="78"/>
      <c r="R152" s="46">
        <f t="shared" si="92"/>
        <v>16210.7379665</v>
      </c>
      <c r="S152" s="46">
        <f t="shared" si="93"/>
        <v>411.33565</v>
      </c>
      <c r="T152" s="46" t="b">
        <f t="shared" si="94"/>
        <v>1</v>
      </c>
      <c r="U152" s="46" t="b">
        <f t="shared" si="95"/>
        <v>0</v>
      </c>
    </row>
    <row r="153" s="70" customFormat="1" customHeight="1" outlineLevel="1" spans="1:21">
      <c r="A153" s="32">
        <v>109</v>
      </c>
      <c r="B153" s="32" t="s">
        <v>214</v>
      </c>
      <c r="C153" s="32" t="s">
        <v>226</v>
      </c>
      <c r="D153" s="32" t="s">
        <v>59</v>
      </c>
      <c r="E153" s="32">
        <v>21.36</v>
      </c>
      <c r="F153" s="93">
        <f t="shared" ref="F153:J153" si="116">F142</f>
        <v>260</v>
      </c>
      <c r="G153" s="48">
        <f t="shared" si="112"/>
        <v>1942.5</v>
      </c>
      <c r="H153" s="93">
        <f t="shared" si="116"/>
        <v>1850</v>
      </c>
      <c r="I153" s="96">
        <f t="shared" si="116"/>
        <v>0.05</v>
      </c>
      <c r="J153" s="93">
        <f t="shared" si="116"/>
        <v>120</v>
      </c>
      <c r="K153" s="48">
        <f>(F153+G153+J153)*$K$5</f>
        <v>139.35</v>
      </c>
      <c r="L153" s="48">
        <f>(F153+G153+J153+K153)*$L$5</f>
        <v>73.8555</v>
      </c>
      <c r="M153" s="76">
        <f t="shared" si="98"/>
        <v>3549.9877</v>
      </c>
      <c r="N153" s="77"/>
      <c r="O153" s="48">
        <f t="shared" si="113"/>
        <v>75827.737272</v>
      </c>
      <c r="P153" s="75" t="s">
        <v>227</v>
      </c>
      <c r="Q153" s="78"/>
      <c r="R153" s="46">
        <f t="shared" si="92"/>
        <v>75827.737272</v>
      </c>
      <c r="S153" s="46">
        <f t="shared" si="93"/>
        <v>2535.7055</v>
      </c>
      <c r="T153" s="46" t="b">
        <f t="shared" si="94"/>
        <v>1</v>
      </c>
      <c r="U153" s="46" t="b">
        <f t="shared" si="95"/>
        <v>0</v>
      </c>
    </row>
    <row r="154" s="69" customFormat="1" customHeight="1" outlineLevel="1" spans="1:21">
      <c r="A154" s="32">
        <v>110</v>
      </c>
      <c r="B154" s="32" t="s">
        <v>189</v>
      </c>
      <c r="C154" s="32" t="s">
        <v>198</v>
      </c>
      <c r="D154" s="32" t="s">
        <v>94</v>
      </c>
      <c r="E154" s="32">
        <v>59.51</v>
      </c>
      <c r="F154" s="72">
        <f t="shared" ref="F154:J154" si="117">F107</f>
        <v>15</v>
      </c>
      <c r="G154" s="48">
        <f t="shared" si="112"/>
        <v>29.4</v>
      </c>
      <c r="H154" s="72">
        <f t="shared" si="117"/>
        <v>28</v>
      </c>
      <c r="I154" s="49">
        <f t="shared" si="117"/>
        <v>0.05</v>
      </c>
      <c r="J154" s="48">
        <f t="shared" si="117"/>
        <v>1</v>
      </c>
      <c r="K154" s="48">
        <f>(F154+G154+J154)*$K$5</f>
        <v>2.724</v>
      </c>
      <c r="L154" s="48">
        <f>(F154+G154+J154+K154)*$L$5</f>
        <v>1.44372</v>
      </c>
      <c r="M154" s="76">
        <f t="shared" si="98"/>
        <v>69.394808</v>
      </c>
      <c r="N154" s="77"/>
      <c r="O154" s="48">
        <f t="shared" si="113"/>
        <v>4129.68502408</v>
      </c>
      <c r="P154" s="75"/>
      <c r="Q154" s="78"/>
      <c r="R154" s="46">
        <f t="shared" si="92"/>
        <v>4129.68502408</v>
      </c>
      <c r="S154" s="46">
        <f t="shared" si="93"/>
        <v>49.56772</v>
      </c>
      <c r="T154" s="46" t="b">
        <f t="shared" si="94"/>
        <v>1</v>
      </c>
      <c r="U154" s="46" t="b">
        <f t="shared" si="95"/>
        <v>0</v>
      </c>
    </row>
    <row r="155" s="69" customFormat="1" customHeight="1" outlineLevel="1" spans="1:21">
      <c r="A155" s="32">
        <v>111</v>
      </c>
      <c r="B155" s="32" t="s">
        <v>228</v>
      </c>
      <c r="C155" s="32" t="s">
        <v>229</v>
      </c>
      <c r="D155" s="32" t="s">
        <v>59</v>
      </c>
      <c r="E155" s="32">
        <v>2.76</v>
      </c>
      <c r="F155" s="72">
        <f t="shared" ref="F155:J155" si="118">F151</f>
        <v>150</v>
      </c>
      <c r="G155" s="48">
        <f t="shared" si="112"/>
        <v>141.75</v>
      </c>
      <c r="H155" s="72">
        <f t="shared" si="118"/>
        <v>135</v>
      </c>
      <c r="I155" s="49">
        <f t="shared" si="118"/>
        <v>0.05</v>
      </c>
      <c r="J155" s="48">
        <f t="shared" si="118"/>
        <v>85</v>
      </c>
      <c r="K155" s="48">
        <f>(F155+G155+J155)*$K$5</f>
        <v>22.605</v>
      </c>
      <c r="L155" s="48">
        <f>(F155+G155+J155+K155)*$L$5</f>
        <v>11.98065</v>
      </c>
      <c r="M155" s="76">
        <f t="shared" si="98"/>
        <v>575.86991</v>
      </c>
      <c r="N155" s="77"/>
      <c r="O155" s="48">
        <f t="shared" si="113"/>
        <v>1589.4009516</v>
      </c>
      <c r="P155" s="75"/>
      <c r="Q155" s="78"/>
      <c r="R155" s="46">
        <f t="shared" si="92"/>
        <v>1589.4009516</v>
      </c>
      <c r="S155" s="46">
        <f t="shared" si="93"/>
        <v>411.33565</v>
      </c>
      <c r="T155" s="46" t="b">
        <f t="shared" si="94"/>
        <v>1</v>
      </c>
      <c r="U155" s="46" t="b">
        <f t="shared" si="95"/>
        <v>0</v>
      </c>
    </row>
    <row r="156" s="69" customFormat="1" customHeight="1" spans="1:21">
      <c r="A156" s="32"/>
      <c r="B156" s="32" t="s">
        <v>230</v>
      </c>
      <c r="C156" s="32"/>
      <c r="D156" s="32"/>
      <c r="E156" s="32"/>
      <c r="F156" s="72"/>
      <c r="G156" s="48"/>
      <c r="H156" s="72"/>
      <c r="I156" s="49"/>
      <c r="J156" s="48"/>
      <c r="K156" s="48"/>
      <c r="L156" s="48"/>
      <c r="M156" s="76">
        <f t="shared" si="98"/>
        <v>0</v>
      </c>
      <c r="N156" s="77"/>
      <c r="O156" s="48"/>
      <c r="P156" s="75"/>
      <c r="Q156" s="78"/>
      <c r="R156" s="46">
        <f t="shared" si="92"/>
        <v>0</v>
      </c>
      <c r="S156" s="46">
        <f t="shared" si="93"/>
        <v>0</v>
      </c>
      <c r="T156" s="46" t="b">
        <f t="shared" si="94"/>
        <v>1</v>
      </c>
      <c r="U156" s="46" t="b">
        <f t="shared" si="95"/>
        <v>1</v>
      </c>
    </row>
    <row r="157" s="69" customFormat="1" customHeight="1" outlineLevel="1" spans="1:21">
      <c r="A157" s="51">
        <v>112</v>
      </c>
      <c r="B157" s="51" t="s">
        <v>183</v>
      </c>
      <c r="C157" s="51" t="s">
        <v>231</v>
      </c>
      <c r="D157" s="51" t="s">
        <v>59</v>
      </c>
      <c r="E157" s="51">
        <v>62.97</v>
      </c>
      <c r="F157" s="74">
        <f t="shared" ref="F157:J157" si="119">F97</f>
        <v>150</v>
      </c>
      <c r="G157" s="73">
        <f t="shared" ref="G157:G161" si="120">H157*(1+I157)</f>
        <v>226.8</v>
      </c>
      <c r="H157" s="74">
        <v>210</v>
      </c>
      <c r="I157" s="57">
        <f t="shared" si="119"/>
        <v>0.08</v>
      </c>
      <c r="J157" s="73">
        <f t="shared" si="119"/>
        <v>75</v>
      </c>
      <c r="K157" s="73">
        <f>(F157+G157+J157)*$K$5</f>
        <v>27.108</v>
      </c>
      <c r="L157" s="73">
        <f>(F157+G157+J157+K157)*$L$5</f>
        <v>14.36724</v>
      </c>
      <c r="M157" s="53">
        <f t="shared" si="98"/>
        <v>690.585336</v>
      </c>
      <c r="N157" s="54"/>
      <c r="O157" s="73">
        <f t="shared" ref="O157:O161" si="121">M157*E157</f>
        <v>43486.15860792</v>
      </c>
      <c r="P157" s="87"/>
      <c r="Q157" s="78"/>
      <c r="R157" s="46">
        <f t="shared" si="92"/>
        <v>43486.15860792</v>
      </c>
      <c r="S157" s="46">
        <f t="shared" si="93"/>
        <v>493.27524</v>
      </c>
      <c r="T157" s="46" t="b">
        <f t="shared" si="94"/>
        <v>1</v>
      </c>
      <c r="U157" s="46" t="b">
        <f t="shared" si="95"/>
        <v>0</v>
      </c>
    </row>
    <row r="158" s="69" customFormat="1" customHeight="1" outlineLevel="1" spans="1:21">
      <c r="A158" s="62"/>
      <c r="B158" s="62"/>
      <c r="C158" s="62"/>
      <c r="D158" s="62"/>
      <c r="E158" s="62"/>
      <c r="F158" s="84"/>
      <c r="G158" s="83"/>
      <c r="H158" s="84"/>
      <c r="I158" s="63"/>
      <c r="J158" s="83"/>
      <c r="K158" s="83"/>
      <c r="L158" s="83"/>
      <c r="M158" s="65"/>
      <c r="N158" s="66"/>
      <c r="O158" s="83"/>
      <c r="P158" s="97"/>
      <c r="Q158" s="78"/>
      <c r="R158" s="46">
        <f t="shared" si="92"/>
        <v>0</v>
      </c>
      <c r="S158" s="46">
        <f t="shared" si="93"/>
        <v>0</v>
      </c>
      <c r="T158" s="46" t="b">
        <f t="shared" si="94"/>
        <v>1</v>
      </c>
      <c r="U158" s="46" t="b">
        <f t="shared" si="95"/>
        <v>1</v>
      </c>
    </row>
    <row r="159" s="69" customFormat="1" customHeight="1" outlineLevel="1" spans="1:21">
      <c r="A159" s="52"/>
      <c r="B159" s="52"/>
      <c r="C159" s="52"/>
      <c r="D159" s="52"/>
      <c r="E159" s="52"/>
      <c r="F159" s="86"/>
      <c r="G159" s="85"/>
      <c r="H159" s="86"/>
      <c r="I159" s="59"/>
      <c r="J159" s="85"/>
      <c r="K159" s="85"/>
      <c r="L159" s="85"/>
      <c r="M159" s="65"/>
      <c r="N159" s="66"/>
      <c r="O159" s="85"/>
      <c r="P159" s="98"/>
      <c r="Q159" s="78"/>
      <c r="R159" s="46">
        <f t="shared" si="92"/>
        <v>0</v>
      </c>
      <c r="S159" s="46">
        <f t="shared" si="93"/>
        <v>0</v>
      </c>
      <c r="T159" s="46" t="b">
        <f t="shared" si="94"/>
        <v>1</v>
      </c>
      <c r="U159" s="46" t="b">
        <f t="shared" si="95"/>
        <v>1</v>
      </c>
    </row>
    <row r="160" s="69" customFormat="1" customHeight="1" outlineLevel="1" spans="1:21">
      <c r="A160" s="32">
        <v>113</v>
      </c>
      <c r="B160" s="32" t="s">
        <v>189</v>
      </c>
      <c r="C160" s="32" t="s">
        <v>198</v>
      </c>
      <c r="D160" s="32" t="s">
        <v>94</v>
      </c>
      <c r="E160" s="32">
        <v>14.63</v>
      </c>
      <c r="F160" s="72">
        <f t="shared" ref="F160:J160" si="122">F107</f>
        <v>15</v>
      </c>
      <c r="G160" s="48">
        <f t="shared" si="120"/>
        <v>29.4</v>
      </c>
      <c r="H160" s="72">
        <f t="shared" si="122"/>
        <v>28</v>
      </c>
      <c r="I160" s="49">
        <f t="shared" si="122"/>
        <v>0.05</v>
      </c>
      <c r="J160" s="48">
        <f t="shared" si="122"/>
        <v>1</v>
      </c>
      <c r="K160" s="48">
        <f>(F160+G160+J160)*$K$5</f>
        <v>2.724</v>
      </c>
      <c r="L160" s="48">
        <f>(F160+G160+J160+K160)*$L$5</f>
        <v>1.44372</v>
      </c>
      <c r="M160" s="76">
        <f t="shared" ref="M158:M189" si="123">(F160+G160+J160+K160+L160)*1.4</f>
        <v>69.394808</v>
      </c>
      <c r="N160" s="77"/>
      <c r="O160" s="48">
        <f t="shared" si="121"/>
        <v>1015.24604104</v>
      </c>
      <c r="P160" s="75"/>
      <c r="Q160" s="78"/>
      <c r="R160" s="46">
        <f t="shared" si="92"/>
        <v>1015.24604104</v>
      </c>
      <c r="S160" s="46">
        <f t="shared" si="93"/>
        <v>49.56772</v>
      </c>
      <c r="T160" s="46" t="b">
        <f t="shared" si="94"/>
        <v>1</v>
      </c>
      <c r="U160" s="46" t="b">
        <f t="shared" si="95"/>
        <v>0</v>
      </c>
    </row>
    <row r="161" s="69" customFormat="1" customHeight="1" outlineLevel="1" spans="1:21">
      <c r="A161" s="32">
        <v>114</v>
      </c>
      <c r="B161" s="32" t="s">
        <v>232</v>
      </c>
      <c r="C161" s="32" t="s">
        <v>233</v>
      </c>
      <c r="D161" s="32" t="s">
        <v>94</v>
      </c>
      <c r="E161" s="32">
        <v>14.63</v>
      </c>
      <c r="F161" s="72">
        <f t="shared" ref="F161:J161" si="124">F160</f>
        <v>15</v>
      </c>
      <c r="G161" s="48">
        <f t="shared" si="120"/>
        <v>29.4</v>
      </c>
      <c r="H161" s="72">
        <f t="shared" si="124"/>
        <v>28</v>
      </c>
      <c r="I161" s="49">
        <f t="shared" si="124"/>
        <v>0.05</v>
      </c>
      <c r="J161" s="48">
        <f t="shared" si="124"/>
        <v>1</v>
      </c>
      <c r="K161" s="48">
        <f>(F161+G161+J161)*$K$5</f>
        <v>2.724</v>
      </c>
      <c r="L161" s="48">
        <f>(F161+G161+J161+K161)*$L$5</f>
        <v>1.44372</v>
      </c>
      <c r="M161" s="76">
        <f t="shared" si="123"/>
        <v>69.394808</v>
      </c>
      <c r="N161" s="77"/>
      <c r="O161" s="48">
        <f t="shared" si="121"/>
        <v>1015.24604104</v>
      </c>
      <c r="P161" s="75"/>
      <c r="Q161" s="78"/>
      <c r="R161" s="46">
        <f t="shared" si="92"/>
        <v>1015.24604104</v>
      </c>
      <c r="S161" s="46">
        <f t="shared" si="93"/>
        <v>49.56772</v>
      </c>
      <c r="T161" s="46" t="b">
        <f t="shared" si="94"/>
        <v>1</v>
      </c>
      <c r="U161" s="46" t="b">
        <f t="shared" si="95"/>
        <v>0</v>
      </c>
    </row>
    <row r="162" s="69" customFormat="1" customHeight="1" spans="1:21">
      <c r="A162" s="32"/>
      <c r="B162" s="32" t="s">
        <v>234</v>
      </c>
      <c r="C162" s="32"/>
      <c r="D162" s="32"/>
      <c r="E162" s="32"/>
      <c r="F162" s="72"/>
      <c r="G162" s="48"/>
      <c r="H162" s="72"/>
      <c r="I162" s="49"/>
      <c r="J162" s="48"/>
      <c r="K162" s="48"/>
      <c r="L162" s="48"/>
      <c r="M162" s="76">
        <f t="shared" si="123"/>
        <v>0</v>
      </c>
      <c r="N162" s="77"/>
      <c r="O162" s="48"/>
      <c r="P162" s="75"/>
      <c r="Q162" s="78"/>
      <c r="R162" s="46">
        <f t="shared" si="92"/>
        <v>0</v>
      </c>
      <c r="S162" s="46">
        <f t="shared" si="93"/>
        <v>0</v>
      </c>
      <c r="T162" s="46" t="b">
        <f t="shared" si="94"/>
        <v>1</v>
      </c>
      <c r="U162" s="46" t="b">
        <f t="shared" si="95"/>
        <v>1</v>
      </c>
    </row>
    <row r="163" s="69" customFormat="1" customHeight="1" outlineLevel="1" spans="1:21">
      <c r="A163" s="32">
        <v>115</v>
      </c>
      <c r="B163" s="32" t="s">
        <v>187</v>
      </c>
      <c r="C163" s="32" t="s">
        <v>197</v>
      </c>
      <c r="D163" s="32" t="s">
        <v>59</v>
      </c>
      <c r="E163" s="32">
        <v>32.1</v>
      </c>
      <c r="F163" s="72">
        <f t="shared" ref="F163:J163" si="125">F106</f>
        <v>35</v>
      </c>
      <c r="G163" s="48">
        <f t="shared" ref="G163:G170" si="126">H163*(1+I163)</f>
        <v>26.25</v>
      </c>
      <c r="H163" s="72">
        <f>H106</f>
        <v>25</v>
      </c>
      <c r="I163" s="49">
        <f t="shared" si="125"/>
        <v>0.05</v>
      </c>
      <c r="J163" s="48">
        <f t="shared" si="125"/>
        <v>15</v>
      </c>
      <c r="K163" s="48">
        <f>(F163+G163+J163)*$K$5</f>
        <v>4.575</v>
      </c>
      <c r="L163" s="48">
        <f>(F163+G163+J163+K163)*$L$5</f>
        <v>2.42475</v>
      </c>
      <c r="M163" s="76">
        <f t="shared" si="123"/>
        <v>116.54965</v>
      </c>
      <c r="N163" s="77"/>
      <c r="O163" s="48">
        <f t="shared" ref="O163:O170" si="127">M163*E163</f>
        <v>3741.243765</v>
      </c>
      <c r="P163" s="75"/>
      <c r="Q163" s="78"/>
      <c r="R163" s="46">
        <f t="shared" si="92"/>
        <v>3741.243765</v>
      </c>
      <c r="S163" s="46">
        <f t="shared" si="93"/>
        <v>83.24975</v>
      </c>
      <c r="T163" s="46" t="b">
        <f t="shared" si="94"/>
        <v>1</v>
      </c>
      <c r="U163" s="46" t="b">
        <f t="shared" si="95"/>
        <v>0</v>
      </c>
    </row>
    <row r="164" s="69" customFormat="1" customHeight="1" outlineLevel="1" spans="1:21">
      <c r="A164" s="32">
        <v>116</v>
      </c>
      <c r="B164" s="32" t="s">
        <v>189</v>
      </c>
      <c r="C164" s="32" t="s">
        <v>198</v>
      </c>
      <c r="D164" s="32" t="s">
        <v>94</v>
      </c>
      <c r="E164" s="32">
        <v>10.27</v>
      </c>
      <c r="F164" s="72">
        <f t="shared" ref="F164:J164" si="128">F107</f>
        <v>15</v>
      </c>
      <c r="G164" s="48">
        <f t="shared" si="126"/>
        <v>29.4</v>
      </c>
      <c r="H164" s="72">
        <f t="shared" si="128"/>
        <v>28</v>
      </c>
      <c r="I164" s="49">
        <f t="shared" si="128"/>
        <v>0.05</v>
      </c>
      <c r="J164" s="48">
        <f t="shared" si="128"/>
        <v>1</v>
      </c>
      <c r="K164" s="48">
        <f>(F164+G164+J164)*$K$5</f>
        <v>2.724</v>
      </c>
      <c r="L164" s="48">
        <f>(F164+G164+J164+K164)*$L$5</f>
        <v>1.44372</v>
      </c>
      <c r="M164" s="76">
        <f t="shared" si="123"/>
        <v>69.394808</v>
      </c>
      <c r="N164" s="77"/>
      <c r="O164" s="48">
        <f t="shared" si="127"/>
        <v>712.68467816</v>
      </c>
      <c r="P164" s="75"/>
      <c r="Q164" s="78"/>
      <c r="R164" s="46">
        <f t="shared" si="92"/>
        <v>712.68467816</v>
      </c>
      <c r="S164" s="46">
        <f t="shared" si="93"/>
        <v>49.56772</v>
      </c>
      <c r="T164" s="46" t="b">
        <f t="shared" si="94"/>
        <v>1</v>
      </c>
      <c r="U164" s="46" t="b">
        <f t="shared" si="95"/>
        <v>0</v>
      </c>
    </row>
    <row r="165" s="69" customFormat="1" customHeight="1" outlineLevel="1" spans="1:21">
      <c r="A165" s="32">
        <v>117</v>
      </c>
      <c r="B165" s="32" t="s">
        <v>235</v>
      </c>
      <c r="C165" s="32" t="s">
        <v>236</v>
      </c>
      <c r="D165" s="32" t="s">
        <v>59</v>
      </c>
      <c r="E165" s="32">
        <v>8.94</v>
      </c>
      <c r="F165" s="72">
        <v>150</v>
      </c>
      <c r="G165" s="48">
        <f t="shared" si="126"/>
        <v>336</v>
      </c>
      <c r="H165" s="72">
        <v>320</v>
      </c>
      <c r="I165" s="49">
        <v>0.05</v>
      </c>
      <c r="J165" s="48">
        <v>165</v>
      </c>
      <c r="K165" s="48">
        <f>(F165+G165+J165)*$K$5</f>
        <v>39.06</v>
      </c>
      <c r="L165" s="48">
        <f>(F165+G165+J165+K165)*$L$5</f>
        <v>20.7018</v>
      </c>
      <c r="M165" s="76">
        <f t="shared" si="123"/>
        <v>995.06652</v>
      </c>
      <c r="N165" s="77"/>
      <c r="O165" s="48">
        <f t="shared" si="127"/>
        <v>8895.8946888</v>
      </c>
      <c r="P165" s="75"/>
      <c r="Q165" s="78"/>
      <c r="R165" s="46">
        <f t="shared" si="92"/>
        <v>8895.8946888</v>
      </c>
      <c r="S165" s="46">
        <f t="shared" si="93"/>
        <v>710.7618</v>
      </c>
      <c r="T165" s="46" t="b">
        <f t="shared" si="94"/>
        <v>1</v>
      </c>
      <c r="U165" s="46" t="b">
        <f t="shared" si="95"/>
        <v>0</v>
      </c>
    </row>
    <row r="166" s="69" customFormat="1" customHeight="1" outlineLevel="1" spans="1:21">
      <c r="A166" s="32">
        <v>118</v>
      </c>
      <c r="B166" s="32" t="s">
        <v>237</v>
      </c>
      <c r="C166" s="32" t="s">
        <v>238</v>
      </c>
      <c r="D166" s="32" t="s">
        <v>59</v>
      </c>
      <c r="E166" s="32">
        <v>0.68</v>
      </c>
      <c r="F166" s="72">
        <f t="shared" ref="F166:J166" si="129">F165</f>
        <v>150</v>
      </c>
      <c r="G166" s="48">
        <f t="shared" si="126"/>
        <v>336</v>
      </c>
      <c r="H166" s="72">
        <f t="shared" si="129"/>
        <v>320</v>
      </c>
      <c r="I166" s="49">
        <f t="shared" si="129"/>
        <v>0.05</v>
      </c>
      <c r="J166" s="48">
        <f t="shared" si="129"/>
        <v>165</v>
      </c>
      <c r="K166" s="48">
        <f>(F166+G166+J166)*$K$5</f>
        <v>39.06</v>
      </c>
      <c r="L166" s="48">
        <f>(F166+G166+J166+K166)*$L$5</f>
        <v>20.7018</v>
      </c>
      <c r="M166" s="76">
        <f t="shared" si="123"/>
        <v>995.06652</v>
      </c>
      <c r="N166" s="77"/>
      <c r="O166" s="48">
        <f t="shared" si="127"/>
        <v>676.6452336</v>
      </c>
      <c r="P166" s="75"/>
      <c r="Q166" s="78"/>
      <c r="R166" s="46">
        <f t="shared" si="92"/>
        <v>676.6452336</v>
      </c>
      <c r="S166" s="46">
        <f t="shared" si="93"/>
        <v>710.7618</v>
      </c>
      <c r="T166" s="46" t="b">
        <f t="shared" si="94"/>
        <v>1</v>
      </c>
      <c r="U166" s="46" t="b">
        <f t="shared" si="95"/>
        <v>0</v>
      </c>
    </row>
    <row r="167" s="69" customFormat="1" customHeight="1" outlineLevel="1" spans="1:21">
      <c r="A167" s="32">
        <v>119</v>
      </c>
      <c r="B167" s="32" t="s">
        <v>239</v>
      </c>
      <c r="C167" s="32" t="s">
        <v>240</v>
      </c>
      <c r="D167" s="32" t="s">
        <v>94</v>
      </c>
      <c r="E167" s="32">
        <v>3.6</v>
      </c>
      <c r="F167" s="72">
        <v>450</v>
      </c>
      <c r="G167" s="48">
        <f t="shared" si="126"/>
        <v>959.5</v>
      </c>
      <c r="H167" s="72">
        <v>950</v>
      </c>
      <c r="I167" s="49">
        <v>0.01</v>
      </c>
      <c r="J167" s="48">
        <v>220</v>
      </c>
      <c r="K167" s="48">
        <f>(F167+G167+J167)*$K$5</f>
        <v>97.77</v>
      </c>
      <c r="L167" s="48">
        <f>(F167+G167+J167+K167)*$L$5</f>
        <v>51.8181</v>
      </c>
      <c r="M167" s="76">
        <f t="shared" si="123"/>
        <v>2490.72334</v>
      </c>
      <c r="N167" s="77"/>
      <c r="O167" s="48">
        <f t="shared" si="127"/>
        <v>8966.604024</v>
      </c>
      <c r="P167" s="75"/>
      <c r="Q167" s="78"/>
      <c r="R167" s="46">
        <f t="shared" si="92"/>
        <v>8966.604024</v>
      </c>
      <c r="S167" s="46">
        <f t="shared" si="93"/>
        <v>1779.0881</v>
      </c>
      <c r="T167" s="46" t="b">
        <f t="shared" si="94"/>
        <v>1</v>
      </c>
      <c r="U167" s="46" t="b">
        <f t="shared" si="95"/>
        <v>0</v>
      </c>
    </row>
    <row r="168" s="69" customFormat="1" customHeight="1" outlineLevel="1" spans="1:21">
      <c r="A168" s="32">
        <v>120</v>
      </c>
      <c r="B168" s="32" t="s">
        <v>200</v>
      </c>
      <c r="C168" s="32" t="s">
        <v>241</v>
      </c>
      <c r="D168" s="32" t="s">
        <v>59</v>
      </c>
      <c r="E168" s="32">
        <v>1.92</v>
      </c>
      <c r="F168" s="72">
        <v>150</v>
      </c>
      <c r="G168" s="48">
        <f t="shared" si="126"/>
        <v>682.5</v>
      </c>
      <c r="H168" s="72">
        <f>H121/$E$168</f>
        <v>650</v>
      </c>
      <c r="I168" s="49">
        <v>0.05</v>
      </c>
      <c r="J168" s="48">
        <v>100</v>
      </c>
      <c r="K168" s="48">
        <f>(F168+G168+J168)*$K$5</f>
        <v>55.95</v>
      </c>
      <c r="L168" s="48">
        <f>(F168+G168+J168+K168)*$L$5</f>
        <v>29.6535</v>
      </c>
      <c r="M168" s="76">
        <f t="shared" si="123"/>
        <v>1425.3449</v>
      </c>
      <c r="N168" s="77"/>
      <c r="O168" s="48">
        <f t="shared" si="127"/>
        <v>2736.662208</v>
      </c>
      <c r="P168" s="75"/>
      <c r="Q168" s="78"/>
      <c r="R168" s="46">
        <f t="shared" si="92"/>
        <v>2736.662208</v>
      </c>
      <c r="S168" s="46">
        <f t="shared" si="93"/>
        <v>1018.1035</v>
      </c>
      <c r="T168" s="46" t="b">
        <f t="shared" si="94"/>
        <v>1</v>
      </c>
      <c r="U168" s="46" t="b">
        <f t="shared" si="95"/>
        <v>0</v>
      </c>
    </row>
    <row r="169" s="69" customFormat="1" customHeight="1" outlineLevel="1" spans="1:21">
      <c r="A169" s="32">
        <v>121</v>
      </c>
      <c r="B169" s="32" t="s">
        <v>78</v>
      </c>
      <c r="C169" s="32" t="s">
        <v>242</v>
      </c>
      <c r="D169" s="32" t="s">
        <v>59</v>
      </c>
      <c r="E169" s="32">
        <v>1.28</v>
      </c>
      <c r="F169" s="72">
        <f>F21</f>
        <v>165</v>
      </c>
      <c r="G169" s="48">
        <f t="shared" si="126"/>
        <v>315</v>
      </c>
      <c r="H169" s="72">
        <f t="shared" ref="F169:I169" si="130">H131</f>
        <v>300</v>
      </c>
      <c r="I169" s="49">
        <f t="shared" si="130"/>
        <v>0.05</v>
      </c>
      <c r="J169" s="48">
        <v>135</v>
      </c>
      <c r="K169" s="48">
        <f>(F169+G169+J169)*$K$5</f>
        <v>36.9</v>
      </c>
      <c r="L169" s="48">
        <f>(F169+G169+J169+K169)*$L$5</f>
        <v>19.557</v>
      </c>
      <c r="M169" s="76">
        <f t="shared" si="123"/>
        <v>940.0398</v>
      </c>
      <c r="N169" s="77"/>
      <c r="O169" s="48">
        <f t="shared" si="127"/>
        <v>1203.250944</v>
      </c>
      <c r="P169" s="75" t="str">
        <f>P144</f>
        <v>厂家定制</v>
      </c>
      <c r="Q169" s="78"/>
      <c r="R169" s="46">
        <f t="shared" si="92"/>
        <v>1203.250944</v>
      </c>
      <c r="S169" s="46">
        <f t="shared" si="93"/>
        <v>671.457</v>
      </c>
      <c r="T169" s="46" t="b">
        <f t="shared" si="94"/>
        <v>1</v>
      </c>
      <c r="U169" s="46" t="b">
        <f t="shared" si="95"/>
        <v>0</v>
      </c>
    </row>
    <row r="170" s="69" customFormat="1" customHeight="1" outlineLevel="1" spans="1:21">
      <c r="A170" s="32">
        <v>122</v>
      </c>
      <c r="B170" s="32" t="s">
        <v>170</v>
      </c>
      <c r="C170" s="32" t="s">
        <v>243</v>
      </c>
      <c r="D170" s="32" t="s">
        <v>91</v>
      </c>
      <c r="E170" s="32">
        <v>1</v>
      </c>
      <c r="F170" s="72">
        <v>300</v>
      </c>
      <c r="G170" s="48">
        <f t="shared" si="126"/>
        <v>1111</v>
      </c>
      <c r="H170" s="72">
        <v>1100</v>
      </c>
      <c r="I170" s="49">
        <v>0.01</v>
      </c>
      <c r="J170" s="48">
        <v>310</v>
      </c>
      <c r="K170" s="48">
        <f>(F170+G170+J170)*$K$5</f>
        <v>103.26</v>
      </c>
      <c r="L170" s="48">
        <f>(F170+G170+J170+K170)*$L$5</f>
        <v>54.7278</v>
      </c>
      <c r="M170" s="76">
        <f t="shared" si="123"/>
        <v>2630.58292</v>
      </c>
      <c r="N170" s="77"/>
      <c r="O170" s="48">
        <f t="shared" si="127"/>
        <v>2630.58292</v>
      </c>
      <c r="P170" s="75" t="str">
        <f>P144</f>
        <v>厂家定制</v>
      </c>
      <c r="Q170" s="78"/>
      <c r="R170" s="46">
        <f t="shared" si="92"/>
        <v>2630.58292</v>
      </c>
      <c r="S170" s="46">
        <f t="shared" si="93"/>
        <v>1878.9878</v>
      </c>
      <c r="T170" s="46" t="b">
        <f t="shared" si="94"/>
        <v>1</v>
      </c>
      <c r="U170" s="46" t="b">
        <f t="shared" si="95"/>
        <v>0</v>
      </c>
    </row>
    <row r="171" s="69" customFormat="1" customHeight="1" spans="1:21">
      <c r="A171" s="32"/>
      <c r="B171" s="32" t="s">
        <v>244</v>
      </c>
      <c r="C171" s="32"/>
      <c r="D171" s="32"/>
      <c r="E171" s="32"/>
      <c r="F171" s="72"/>
      <c r="G171" s="48"/>
      <c r="H171" s="72"/>
      <c r="I171" s="49"/>
      <c r="J171" s="48"/>
      <c r="K171" s="48"/>
      <c r="L171" s="48"/>
      <c r="M171" s="76">
        <f t="shared" si="123"/>
        <v>0</v>
      </c>
      <c r="N171" s="77"/>
      <c r="O171" s="48"/>
      <c r="P171" s="75"/>
      <c r="Q171" s="78"/>
      <c r="R171" s="46">
        <f t="shared" si="92"/>
        <v>0</v>
      </c>
      <c r="S171" s="46">
        <f t="shared" si="93"/>
        <v>0</v>
      </c>
      <c r="T171" s="46" t="b">
        <f t="shared" si="94"/>
        <v>1</v>
      </c>
      <c r="U171" s="46" t="b">
        <f t="shared" si="95"/>
        <v>1</v>
      </c>
    </row>
    <row r="172" s="69" customFormat="1" customHeight="1" outlineLevel="1" spans="1:21">
      <c r="A172" s="32">
        <v>123</v>
      </c>
      <c r="B172" s="32" t="s">
        <v>78</v>
      </c>
      <c r="C172" s="32" t="s">
        <v>245</v>
      </c>
      <c r="D172" s="32" t="s">
        <v>59</v>
      </c>
      <c r="E172" s="32">
        <v>7.86</v>
      </c>
      <c r="F172" s="72">
        <f t="shared" ref="F172:J172" si="131">F169</f>
        <v>165</v>
      </c>
      <c r="G172" s="48">
        <f t="shared" ref="G172:G178" si="132">H172*(1+I172)</f>
        <v>315</v>
      </c>
      <c r="H172" s="72">
        <f t="shared" si="131"/>
        <v>300</v>
      </c>
      <c r="I172" s="49">
        <f t="shared" si="131"/>
        <v>0.05</v>
      </c>
      <c r="J172" s="48">
        <f t="shared" si="131"/>
        <v>135</v>
      </c>
      <c r="K172" s="48">
        <f>(F172+G172+J172)*$K$5</f>
        <v>36.9</v>
      </c>
      <c r="L172" s="48">
        <f>(F172+G172+J172+K172)*$L$5</f>
        <v>19.557</v>
      </c>
      <c r="M172" s="76">
        <f t="shared" si="123"/>
        <v>940.0398</v>
      </c>
      <c r="N172" s="77"/>
      <c r="O172" s="48">
        <f t="shared" ref="O172:O178" si="133">M172*E172</f>
        <v>7388.712828</v>
      </c>
      <c r="P172" s="75" t="str">
        <f>P144</f>
        <v>厂家定制</v>
      </c>
      <c r="Q172" s="78"/>
      <c r="R172" s="46">
        <f t="shared" si="92"/>
        <v>7388.712828</v>
      </c>
      <c r="S172" s="46">
        <f t="shared" si="93"/>
        <v>671.457</v>
      </c>
      <c r="T172" s="46" t="b">
        <f t="shared" si="94"/>
        <v>1</v>
      </c>
      <c r="U172" s="46" t="b">
        <f t="shared" si="95"/>
        <v>0</v>
      </c>
    </row>
    <row r="173" s="69" customFormat="1" customHeight="1" outlineLevel="1" spans="1:21">
      <c r="A173" s="32">
        <v>124</v>
      </c>
      <c r="B173" s="32" t="s">
        <v>78</v>
      </c>
      <c r="C173" s="32" t="s">
        <v>246</v>
      </c>
      <c r="D173" s="32" t="s">
        <v>59</v>
      </c>
      <c r="E173" s="32">
        <v>32.33</v>
      </c>
      <c r="F173" s="72">
        <v>125</v>
      </c>
      <c r="G173" s="48">
        <f t="shared" si="132"/>
        <v>162</v>
      </c>
      <c r="H173" s="72">
        <v>135</v>
      </c>
      <c r="I173" s="49">
        <v>0.2</v>
      </c>
      <c r="J173" s="48">
        <f>38*2+25</f>
        <v>101</v>
      </c>
      <c r="K173" s="48">
        <f>(F173+G173+J173)*$K$5</f>
        <v>23.28</v>
      </c>
      <c r="L173" s="48">
        <f>(F173+G173+J173+K173)*$L$5</f>
        <v>12.3384</v>
      </c>
      <c r="M173" s="76">
        <f t="shared" si="123"/>
        <v>593.06576</v>
      </c>
      <c r="N173" s="77"/>
      <c r="O173" s="48">
        <f t="shared" si="133"/>
        <v>19173.8160208</v>
      </c>
      <c r="P173" s="75"/>
      <c r="Q173" s="78"/>
      <c r="R173" s="46">
        <f t="shared" si="92"/>
        <v>19173.8160208</v>
      </c>
      <c r="S173" s="46">
        <f t="shared" si="93"/>
        <v>423.6184</v>
      </c>
      <c r="T173" s="46" t="b">
        <f t="shared" si="94"/>
        <v>1</v>
      </c>
      <c r="U173" s="46" t="b">
        <f t="shared" si="95"/>
        <v>0</v>
      </c>
    </row>
    <row r="174" s="69" customFormat="1" customHeight="1" outlineLevel="1" spans="1:21">
      <c r="A174" s="32">
        <v>125</v>
      </c>
      <c r="B174" s="32" t="s">
        <v>78</v>
      </c>
      <c r="C174" s="32" t="s">
        <v>247</v>
      </c>
      <c r="D174" s="32" t="s">
        <v>59</v>
      </c>
      <c r="E174" s="32">
        <v>1.5</v>
      </c>
      <c r="F174" s="72">
        <f t="shared" ref="F174:I174" si="134">F140</f>
        <v>145</v>
      </c>
      <c r="G174" s="48">
        <f t="shared" si="132"/>
        <v>236.25</v>
      </c>
      <c r="H174" s="72">
        <f t="shared" si="134"/>
        <v>225</v>
      </c>
      <c r="I174" s="49">
        <f t="shared" si="134"/>
        <v>0.05</v>
      </c>
      <c r="J174" s="48">
        <f>J140+15</f>
        <v>85</v>
      </c>
      <c r="K174" s="48">
        <f>(F174+G174+J174)*$K$5</f>
        <v>27.975</v>
      </c>
      <c r="L174" s="48">
        <f>(F174+G174+J174+K174)*$L$5</f>
        <v>14.82675</v>
      </c>
      <c r="M174" s="76">
        <f t="shared" si="123"/>
        <v>712.67245</v>
      </c>
      <c r="N174" s="77"/>
      <c r="O174" s="48">
        <f t="shared" si="133"/>
        <v>1069.008675</v>
      </c>
      <c r="P174" s="75"/>
      <c r="Q174" s="78"/>
      <c r="R174" s="46">
        <f t="shared" si="92"/>
        <v>1069.008675</v>
      </c>
      <c r="S174" s="46">
        <f t="shared" si="93"/>
        <v>509.05175</v>
      </c>
      <c r="T174" s="46" t="b">
        <f t="shared" si="94"/>
        <v>1</v>
      </c>
      <c r="U174" s="46" t="b">
        <f t="shared" si="95"/>
        <v>0</v>
      </c>
    </row>
    <row r="175" s="69" customFormat="1" customHeight="1" outlineLevel="1" spans="1:21">
      <c r="A175" s="32">
        <v>126</v>
      </c>
      <c r="B175" s="32" t="s">
        <v>189</v>
      </c>
      <c r="C175" s="32" t="s">
        <v>198</v>
      </c>
      <c r="D175" s="32" t="s">
        <v>94</v>
      </c>
      <c r="E175" s="32">
        <v>9.01</v>
      </c>
      <c r="F175" s="72">
        <f t="shared" ref="F175:J175" si="135">F107</f>
        <v>15</v>
      </c>
      <c r="G175" s="48">
        <f t="shared" si="132"/>
        <v>29.4</v>
      </c>
      <c r="H175" s="72">
        <f t="shared" si="135"/>
        <v>28</v>
      </c>
      <c r="I175" s="49">
        <f t="shared" si="135"/>
        <v>0.05</v>
      </c>
      <c r="J175" s="48">
        <f t="shared" si="135"/>
        <v>1</v>
      </c>
      <c r="K175" s="48">
        <f>(F175+G175+J175)*$K$5</f>
        <v>2.724</v>
      </c>
      <c r="L175" s="48">
        <f>(F175+G175+J175+K175)*$L$5</f>
        <v>1.44372</v>
      </c>
      <c r="M175" s="76">
        <f t="shared" si="123"/>
        <v>69.394808</v>
      </c>
      <c r="N175" s="77"/>
      <c r="O175" s="48">
        <f t="shared" si="133"/>
        <v>625.24722008</v>
      </c>
      <c r="P175" s="75"/>
      <c r="Q175" s="78"/>
      <c r="R175" s="46">
        <f t="shared" si="92"/>
        <v>625.24722008</v>
      </c>
      <c r="S175" s="46">
        <f t="shared" si="93"/>
        <v>49.56772</v>
      </c>
      <c r="T175" s="46" t="b">
        <f t="shared" si="94"/>
        <v>1</v>
      </c>
      <c r="U175" s="46" t="b">
        <f t="shared" si="95"/>
        <v>0</v>
      </c>
    </row>
    <row r="176" s="69" customFormat="1" customHeight="1" outlineLevel="1" spans="1:21">
      <c r="A176" s="32">
        <v>127</v>
      </c>
      <c r="B176" s="32" t="s">
        <v>248</v>
      </c>
      <c r="C176" s="32" t="s">
        <v>249</v>
      </c>
      <c r="D176" s="32" t="s">
        <v>59</v>
      </c>
      <c r="E176" s="32">
        <v>6.49</v>
      </c>
      <c r="F176" s="72">
        <v>350</v>
      </c>
      <c r="G176" s="48">
        <f t="shared" si="132"/>
        <v>1111</v>
      </c>
      <c r="H176" s="72">
        <v>1100</v>
      </c>
      <c r="I176" s="49">
        <v>0.01</v>
      </c>
      <c r="J176" s="48">
        <v>350</v>
      </c>
      <c r="K176" s="48">
        <f>(F176+G176+J176)*$K$5</f>
        <v>108.66</v>
      </c>
      <c r="L176" s="48">
        <f>(F176+G176+J176+K176)*$L$5</f>
        <v>57.5898</v>
      </c>
      <c r="M176" s="76">
        <f t="shared" si="123"/>
        <v>2768.14972</v>
      </c>
      <c r="N176" s="77"/>
      <c r="O176" s="48">
        <f t="shared" si="133"/>
        <v>17965.2916828</v>
      </c>
      <c r="P176" s="75" t="str">
        <f>P172</f>
        <v>厂家定制</v>
      </c>
      <c r="Q176" s="78"/>
      <c r="R176" s="46">
        <f t="shared" si="92"/>
        <v>17965.2916828</v>
      </c>
      <c r="S176" s="46">
        <f t="shared" si="93"/>
        <v>1977.2498</v>
      </c>
      <c r="T176" s="46" t="b">
        <f t="shared" si="94"/>
        <v>1</v>
      </c>
      <c r="U176" s="46" t="b">
        <f t="shared" si="95"/>
        <v>0</v>
      </c>
    </row>
    <row r="177" s="69" customFormat="1" customHeight="1" outlineLevel="1" spans="1:21">
      <c r="A177" s="32">
        <v>128</v>
      </c>
      <c r="B177" s="32" t="s">
        <v>250</v>
      </c>
      <c r="C177" s="32" t="s">
        <v>251</v>
      </c>
      <c r="D177" s="32" t="s">
        <v>59</v>
      </c>
      <c r="E177" s="32">
        <v>1.83</v>
      </c>
      <c r="F177" s="72">
        <f>F176</f>
        <v>350</v>
      </c>
      <c r="G177" s="48">
        <f t="shared" si="132"/>
        <v>959.5</v>
      </c>
      <c r="H177" s="72">
        <v>950</v>
      </c>
      <c r="I177" s="49">
        <f>I176</f>
        <v>0.01</v>
      </c>
      <c r="J177" s="48">
        <v>260</v>
      </c>
      <c r="K177" s="48">
        <f>(F177+G177+J177)*$K$5</f>
        <v>94.17</v>
      </c>
      <c r="L177" s="48">
        <f>(F177+G177+J177+K177)*$L$5</f>
        <v>49.9101</v>
      </c>
      <c r="M177" s="76">
        <f t="shared" si="123"/>
        <v>2399.01214</v>
      </c>
      <c r="N177" s="77"/>
      <c r="O177" s="48">
        <f t="shared" si="133"/>
        <v>4390.1922162</v>
      </c>
      <c r="P177" s="75"/>
      <c r="Q177" s="78"/>
      <c r="R177" s="46">
        <f t="shared" si="92"/>
        <v>4390.1922162</v>
      </c>
      <c r="S177" s="46">
        <f t="shared" si="93"/>
        <v>1713.5801</v>
      </c>
      <c r="T177" s="46" t="b">
        <f t="shared" si="94"/>
        <v>1</v>
      </c>
      <c r="U177" s="46" t="b">
        <f t="shared" si="95"/>
        <v>0</v>
      </c>
    </row>
    <row r="178" s="69" customFormat="1" customHeight="1" outlineLevel="1" spans="1:21">
      <c r="A178" s="32">
        <v>129</v>
      </c>
      <c r="B178" s="32" t="s">
        <v>200</v>
      </c>
      <c r="C178" s="32" t="s">
        <v>252</v>
      </c>
      <c r="D178" s="32" t="s">
        <v>91</v>
      </c>
      <c r="E178" s="32">
        <v>1</v>
      </c>
      <c r="F178" s="72">
        <f t="shared" ref="F178:J178" si="136">F121</f>
        <v>200</v>
      </c>
      <c r="G178" s="73">
        <f t="shared" si="132"/>
        <v>1260.48</v>
      </c>
      <c r="H178" s="72">
        <f t="shared" si="136"/>
        <v>1248</v>
      </c>
      <c r="I178" s="49">
        <f t="shared" si="136"/>
        <v>0.01</v>
      </c>
      <c r="J178" s="48">
        <f t="shared" si="136"/>
        <v>150</v>
      </c>
      <c r="K178" s="73">
        <f>(F178+G178+J178)*$K$5</f>
        <v>96.6288</v>
      </c>
      <c r="L178" s="73">
        <f>(F178+G178+J178+K178)*$L$5</f>
        <v>51.213264</v>
      </c>
      <c r="M178" s="53">
        <f t="shared" si="123"/>
        <v>2461.6508896</v>
      </c>
      <c r="N178" s="54"/>
      <c r="O178" s="73">
        <f t="shared" si="133"/>
        <v>2461.6508896</v>
      </c>
      <c r="P178" s="75"/>
      <c r="Q178" s="78"/>
      <c r="R178" s="46">
        <f t="shared" si="92"/>
        <v>2461.6508896</v>
      </c>
      <c r="S178" s="46">
        <f t="shared" si="93"/>
        <v>1758.322064</v>
      </c>
      <c r="T178" s="46" t="b">
        <f t="shared" si="94"/>
        <v>1</v>
      </c>
      <c r="U178" s="46" t="b">
        <f t="shared" si="95"/>
        <v>0</v>
      </c>
    </row>
    <row r="179" s="69" customFormat="1" customHeight="1" outlineLevel="1" spans="1:21">
      <c r="A179" s="32"/>
      <c r="B179" s="32"/>
      <c r="C179" s="32"/>
      <c r="D179" s="32"/>
      <c r="E179" s="32"/>
      <c r="F179" s="72"/>
      <c r="G179" s="83"/>
      <c r="H179" s="72"/>
      <c r="I179" s="49"/>
      <c r="J179" s="48"/>
      <c r="K179" s="83"/>
      <c r="L179" s="83"/>
      <c r="M179" s="65"/>
      <c r="N179" s="66"/>
      <c r="O179" s="83"/>
      <c r="P179" s="75"/>
      <c r="Q179" s="78"/>
      <c r="R179" s="46">
        <f t="shared" si="92"/>
        <v>0</v>
      </c>
      <c r="S179" s="46">
        <f t="shared" si="93"/>
        <v>0</v>
      </c>
      <c r="T179" s="46" t="b">
        <f t="shared" si="94"/>
        <v>1</v>
      </c>
      <c r="U179" s="46" t="b">
        <f t="shared" si="95"/>
        <v>1</v>
      </c>
    </row>
    <row r="180" s="69" customFormat="1" customHeight="1" outlineLevel="1" spans="1:21">
      <c r="A180" s="32"/>
      <c r="B180" s="32"/>
      <c r="C180" s="32"/>
      <c r="D180" s="32"/>
      <c r="E180" s="32"/>
      <c r="F180" s="72"/>
      <c r="G180" s="85"/>
      <c r="H180" s="72"/>
      <c r="I180" s="49"/>
      <c r="J180" s="48"/>
      <c r="K180" s="85"/>
      <c r="L180" s="85"/>
      <c r="M180" s="65"/>
      <c r="N180" s="66"/>
      <c r="O180" s="85"/>
      <c r="P180" s="75"/>
      <c r="Q180" s="78"/>
      <c r="R180" s="46">
        <f t="shared" si="92"/>
        <v>0</v>
      </c>
      <c r="S180" s="46">
        <f t="shared" si="93"/>
        <v>0</v>
      </c>
      <c r="T180" s="46" t="b">
        <f t="shared" si="94"/>
        <v>1</v>
      </c>
      <c r="U180" s="46" t="b">
        <f t="shared" si="95"/>
        <v>1</v>
      </c>
    </row>
    <row r="181" s="69" customFormat="1" customHeight="1" spans="1:21">
      <c r="A181" s="32"/>
      <c r="B181" s="32" t="s">
        <v>253</v>
      </c>
      <c r="C181" s="32"/>
      <c r="D181" s="32"/>
      <c r="E181" s="32"/>
      <c r="F181" s="72"/>
      <c r="G181" s="48"/>
      <c r="H181" s="72"/>
      <c r="I181" s="49"/>
      <c r="J181" s="48"/>
      <c r="K181" s="48"/>
      <c r="L181" s="48"/>
      <c r="M181" s="76">
        <f t="shared" si="123"/>
        <v>0</v>
      </c>
      <c r="N181" s="77"/>
      <c r="O181" s="48"/>
      <c r="P181" s="75"/>
      <c r="Q181" s="78"/>
      <c r="R181" s="46">
        <f t="shared" si="92"/>
        <v>0</v>
      </c>
      <c r="S181" s="46">
        <f t="shared" si="93"/>
        <v>0</v>
      </c>
      <c r="T181" s="46" t="b">
        <f t="shared" si="94"/>
        <v>1</v>
      </c>
      <c r="U181" s="46" t="b">
        <f t="shared" si="95"/>
        <v>1</v>
      </c>
    </row>
    <row r="182" s="69" customFormat="1" customHeight="1" outlineLevel="1" spans="1:21">
      <c r="A182" s="32">
        <v>130</v>
      </c>
      <c r="B182" s="32" t="s">
        <v>187</v>
      </c>
      <c r="C182" s="32" t="s">
        <v>254</v>
      </c>
      <c r="D182" s="32" t="s">
        <v>59</v>
      </c>
      <c r="E182" s="32">
        <v>74.96</v>
      </c>
      <c r="F182" s="72">
        <v>30</v>
      </c>
      <c r="G182" s="48">
        <f>H182*(1+I182)</f>
        <v>15.75</v>
      </c>
      <c r="H182" s="72">
        <v>15</v>
      </c>
      <c r="I182" s="50">
        <v>0.05</v>
      </c>
      <c r="J182" s="48">
        <v>8</v>
      </c>
      <c r="K182" s="48">
        <f>(F182+G182+J182)*$K$5</f>
        <v>3.225</v>
      </c>
      <c r="L182" s="48">
        <f>(F182+G182+J182+K182)*$L$5</f>
        <v>1.70925</v>
      </c>
      <c r="M182" s="76">
        <f t="shared" si="123"/>
        <v>82.15795</v>
      </c>
      <c r="N182" s="77"/>
      <c r="O182" s="48">
        <f t="shared" ref="O182:O186" si="137">M182*E182</f>
        <v>6158.559932</v>
      </c>
      <c r="P182" s="75" t="str">
        <f>P135</f>
        <v>立邦</v>
      </c>
      <c r="Q182" s="78"/>
      <c r="R182" s="46">
        <f t="shared" si="92"/>
        <v>6158.559932</v>
      </c>
      <c r="S182" s="46">
        <f t="shared" si="93"/>
        <v>58.68425</v>
      </c>
      <c r="T182" s="46" t="b">
        <f t="shared" si="94"/>
        <v>1</v>
      </c>
      <c r="U182" s="46" t="b">
        <f t="shared" si="95"/>
        <v>0</v>
      </c>
    </row>
    <row r="183" s="69" customFormat="1" customHeight="1" outlineLevel="1" spans="1:21">
      <c r="A183" s="32">
        <v>131</v>
      </c>
      <c r="B183" s="32" t="s">
        <v>189</v>
      </c>
      <c r="C183" s="32" t="s">
        <v>198</v>
      </c>
      <c r="D183" s="32" t="s">
        <v>94</v>
      </c>
      <c r="E183" s="32">
        <v>23.32</v>
      </c>
      <c r="F183" s="72">
        <f t="shared" ref="F183:J183" si="138">F175</f>
        <v>15</v>
      </c>
      <c r="G183" s="48">
        <f t="shared" ref="G182:G186" si="139">H183*(1+I183)</f>
        <v>29.4</v>
      </c>
      <c r="H183" s="72">
        <f t="shared" si="138"/>
        <v>28</v>
      </c>
      <c r="I183" s="49">
        <f t="shared" si="138"/>
        <v>0.05</v>
      </c>
      <c r="J183" s="48">
        <f t="shared" si="138"/>
        <v>1</v>
      </c>
      <c r="K183" s="48">
        <f>(F183+G183+J183)*$K$5</f>
        <v>2.724</v>
      </c>
      <c r="L183" s="48">
        <f>(F183+G183+J183+K183)*$L$5</f>
        <v>1.44372</v>
      </c>
      <c r="M183" s="76">
        <f t="shared" si="123"/>
        <v>69.394808</v>
      </c>
      <c r="N183" s="77"/>
      <c r="O183" s="48">
        <f t="shared" si="137"/>
        <v>1618.28692256</v>
      </c>
      <c r="P183" s="75"/>
      <c r="Q183" s="78"/>
      <c r="R183" s="46">
        <f t="shared" si="92"/>
        <v>1618.28692256</v>
      </c>
      <c r="S183" s="46">
        <f t="shared" si="93"/>
        <v>49.56772</v>
      </c>
      <c r="T183" s="46" t="b">
        <f t="shared" si="94"/>
        <v>1</v>
      </c>
      <c r="U183" s="46" t="b">
        <f t="shared" si="95"/>
        <v>0</v>
      </c>
    </row>
    <row r="184" s="69" customFormat="1" customHeight="1" outlineLevel="1" spans="1:21">
      <c r="A184" s="32">
        <v>132</v>
      </c>
      <c r="B184" s="32" t="s">
        <v>200</v>
      </c>
      <c r="C184" s="32" t="s">
        <v>241</v>
      </c>
      <c r="D184" s="32" t="s">
        <v>59</v>
      </c>
      <c r="E184" s="32">
        <v>1.92</v>
      </c>
      <c r="F184" s="72">
        <f t="shared" ref="F184:J184" si="140">F168</f>
        <v>150</v>
      </c>
      <c r="G184" s="48">
        <f t="shared" si="139"/>
        <v>682.5</v>
      </c>
      <c r="H184" s="72">
        <f t="shared" si="140"/>
        <v>650</v>
      </c>
      <c r="I184" s="49">
        <f t="shared" si="140"/>
        <v>0.05</v>
      </c>
      <c r="J184" s="48">
        <f t="shared" si="140"/>
        <v>100</v>
      </c>
      <c r="K184" s="48">
        <f>(F184+G184+J184)*$K$5</f>
        <v>55.95</v>
      </c>
      <c r="L184" s="48">
        <f>(F184+G184+J184+K184)*$L$5</f>
        <v>29.6535</v>
      </c>
      <c r="M184" s="76">
        <f t="shared" si="123"/>
        <v>1425.3449</v>
      </c>
      <c r="N184" s="77"/>
      <c r="O184" s="48">
        <f t="shared" si="137"/>
        <v>2736.662208</v>
      </c>
      <c r="P184" s="75"/>
      <c r="Q184" s="78"/>
      <c r="R184" s="46">
        <f t="shared" si="92"/>
        <v>2736.662208</v>
      </c>
      <c r="S184" s="46">
        <f t="shared" si="93"/>
        <v>1018.1035</v>
      </c>
      <c r="T184" s="46" t="b">
        <f t="shared" si="94"/>
        <v>1</v>
      </c>
      <c r="U184" s="46" t="b">
        <f t="shared" si="95"/>
        <v>0</v>
      </c>
    </row>
    <row r="185" s="69" customFormat="1" customHeight="1" outlineLevel="1" spans="1:21">
      <c r="A185" s="32">
        <v>133</v>
      </c>
      <c r="B185" s="32" t="s">
        <v>78</v>
      </c>
      <c r="C185" s="32" t="s">
        <v>242</v>
      </c>
      <c r="D185" s="32" t="s">
        <v>59</v>
      </c>
      <c r="E185" s="32">
        <v>1.28</v>
      </c>
      <c r="F185" s="72">
        <f t="shared" ref="F185:J185" si="141">F169</f>
        <v>165</v>
      </c>
      <c r="G185" s="48">
        <f t="shared" si="139"/>
        <v>315</v>
      </c>
      <c r="H185" s="72">
        <f t="shared" si="141"/>
        <v>300</v>
      </c>
      <c r="I185" s="49">
        <f t="shared" si="141"/>
        <v>0.05</v>
      </c>
      <c r="J185" s="48">
        <f t="shared" si="141"/>
        <v>135</v>
      </c>
      <c r="K185" s="48">
        <f>(F185+G185+J185)*$K$5</f>
        <v>36.9</v>
      </c>
      <c r="L185" s="48">
        <f>(F185+G185+J185+K185)*$L$5</f>
        <v>19.557</v>
      </c>
      <c r="M185" s="76">
        <f t="shared" si="123"/>
        <v>940.0398</v>
      </c>
      <c r="N185" s="77"/>
      <c r="O185" s="48">
        <f t="shared" si="137"/>
        <v>1203.250944</v>
      </c>
      <c r="P185" s="75" t="str">
        <f>P172</f>
        <v>厂家定制</v>
      </c>
      <c r="Q185" s="78"/>
      <c r="R185" s="46">
        <f t="shared" si="92"/>
        <v>1203.250944</v>
      </c>
      <c r="S185" s="46">
        <f t="shared" si="93"/>
        <v>671.457</v>
      </c>
      <c r="T185" s="46" t="b">
        <f t="shared" si="94"/>
        <v>1</v>
      </c>
      <c r="U185" s="46" t="b">
        <f t="shared" si="95"/>
        <v>0</v>
      </c>
    </row>
    <row r="186" s="69" customFormat="1" customHeight="1" outlineLevel="1" spans="1:21">
      <c r="A186" s="32">
        <v>134</v>
      </c>
      <c r="B186" s="32" t="s">
        <v>170</v>
      </c>
      <c r="C186" s="32" t="s">
        <v>243</v>
      </c>
      <c r="D186" s="32" t="s">
        <v>91</v>
      </c>
      <c r="E186" s="32">
        <v>1</v>
      </c>
      <c r="F186" s="72">
        <f t="shared" ref="F186:J186" si="142">F170</f>
        <v>300</v>
      </c>
      <c r="G186" s="48">
        <f t="shared" si="139"/>
        <v>1111</v>
      </c>
      <c r="H186" s="72">
        <f t="shared" si="142"/>
        <v>1100</v>
      </c>
      <c r="I186" s="49">
        <f t="shared" si="142"/>
        <v>0.01</v>
      </c>
      <c r="J186" s="48">
        <f t="shared" si="142"/>
        <v>310</v>
      </c>
      <c r="K186" s="48">
        <f>(F186+G186+J186)*$K$5</f>
        <v>103.26</v>
      </c>
      <c r="L186" s="48">
        <f>(F186+G186+J186+K186)*$L$5</f>
        <v>54.7278</v>
      </c>
      <c r="M186" s="76">
        <f t="shared" si="123"/>
        <v>2630.58292</v>
      </c>
      <c r="N186" s="77"/>
      <c r="O186" s="48">
        <f t="shared" si="137"/>
        <v>2630.58292</v>
      </c>
      <c r="P186" s="75" t="str">
        <f>P172</f>
        <v>厂家定制</v>
      </c>
      <c r="Q186" s="78"/>
      <c r="R186" s="46">
        <f t="shared" si="92"/>
        <v>2630.58292</v>
      </c>
      <c r="S186" s="46">
        <f t="shared" si="93"/>
        <v>1878.9878</v>
      </c>
      <c r="T186" s="46" t="b">
        <f t="shared" si="94"/>
        <v>1</v>
      </c>
      <c r="U186" s="46" t="b">
        <f t="shared" si="95"/>
        <v>0</v>
      </c>
    </row>
    <row r="187" s="69" customFormat="1" customHeight="1" spans="1:21">
      <c r="A187" s="32"/>
      <c r="B187" s="32" t="s">
        <v>255</v>
      </c>
      <c r="C187" s="32"/>
      <c r="D187" s="32"/>
      <c r="E187" s="32"/>
      <c r="F187" s="72"/>
      <c r="G187" s="48"/>
      <c r="H187" s="72"/>
      <c r="I187" s="49"/>
      <c r="J187" s="48"/>
      <c r="K187" s="48"/>
      <c r="L187" s="48"/>
      <c r="M187" s="76">
        <f t="shared" si="123"/>
        <v>0</v>
      </c>
      <c r="N187" s="77"/>
      <c r="O187" s="48"/>
      <c r="P187" s="75"/>
      <c r="Q187" s="78"/>
      <c r="R187" s="46">
        <f t="shared" ref="R187:R250" si="143">E187*M187</f>
        <v>0</v>
      </c>
      <c r="S187" s="46">
        <f t="shared" ref="S187:S250" si="144">F187+G187+J187+K187+L187</f>
        <v>0</v>
      </c>
      <c r="T187" s="46" t="b">
        <f t="shared" ref="T187:T250" si="145">O187=R187</f>
        <v>1</v>
      </c>
      <c r="U187" s="46" t="b">
        <f t="shared" ref="U187:U250" si="146">M187=S187</f>
        <v>1</v>
      </c>
    </row>
    <row r="188" s="69" customFormat="1" customHeight="1" outlineLevel="1" spans="1:21">
      <c r="A188" s="32">
        <v>135</v>
      </c>
      <c r="B188" s="32" t="s">
        <v>187</v>
      </c>
      <c r="C188" s="32" t="s">
        <v>254</v>
      </c>
      <c r="D188" s="32" t="s">
        <v>59</v>
      </c>
      <c r="E188" s="32">
        <v>43.37</v>
      </c>
      <c r="F188" s="72">
        <f>F182</f>
        <v>30</v>
      </c>
      <c r="G188" s="48">
        <f t="shared" ref="G188:G193" si="147">H188*(1+I188)</f>
        <v>15.75</v>
      </c>
      <c r="H188" s="72">
        <f>H182</f>
        <v>15</v>
      </c>
      <c r="I188" s="49">
        <f>I106</f>
        <v>0.05</v>
      </c>
      <c r="J188" s="48">
        <f>J182</f>
        <v>8</v>
      </c>
      <c r="K188" s="48">
        <f>(F188+G188+J188)*$K$5</f>
        <v>3.225</v>
      </c>
      <c r="L188" s="48">
        <f>(F188+G188+J188+K188)*$L$5</f>
        <v>1.70925</v>
      </c>
      <c r="M188" s="76">
        <f t="shared" si="123"/>
        <v>82.15795</v>
      </c>
      <c r="N188" s="77"/>
      <c r="O188" s="48">
        <f t="shared" ref="O188:O193" si="148">M188*E188</f>
        <v>3563.1902915</v>
      </c>
      <c r="P188" s="75" t="str">
        <f>P135</f>
        <v>立邦</v>
      </c>
      <c r="Q188" s="78"/>
      <c r="R188" s="46">
        <f t="shared" si="143"/>
        <v>3563.1902915</v>
      </c>
      <c r="S188" s="46">
        <f t="shared" si="144"/>
        <v>58.68425</v>
      </c>
      <c r="T188" s="46" t="b">
        <f t="shared" si="145"/>
        <v>1</v>
      </c>
      <c r="U188" s="46" t="b">
        <f t="shared" si="146"/>
        <v>0</v>
      </c>
    </row>
    <row r="189" s="69" customFormat="1" customHeight="1" outlineLevel="1" spans="1:21">
      <c r="A189" s="32">
        <v>136</v>
      </c>
      <c r="B189" s="32" t="s">
        <v>172</v>
      </c>
      <c r="C189" s="32" t="s">
        <v>173</v>
      </c>
      <c r="D189" s="32" t="s">
        <v>59</v>
      </c>
      <c r="E189" s="32">
        <v>2.3</v>
      </c>
      <c r="F189" s="72">
        <f t="shared" ref="F189:J189" si="149">F90</f>
        <v>185</v>
      </c>
      <c r="G189" s="48">
        <f t="shared" si="147"/>
        <v>336</v>
      </c>
      <c r="H189" s="72">
        <f t="shared" si="149"/>
        <v>320</v>
      </c>
      <c r="I189" s="49">
        <f t="shared" si="149"/>
        <v>0.05</v>
      </c>
      <c r="J189" s="48">
        <f t="shared" si="149"/>
        <v>35</v>
      </c>
      <c r="K189" s="48">
        <f>(F189+G189+J189)*$K$5</f>
        <v>33.36</v>
      </c>
      <c r="L189" s="48">
        <f>(F189+G189+J189+K189)*$L$5</f>
        <v>17.6808</v>
      </c>
      <c r="M189" s="76">
        <f t="shared" si="123"/>
        <v>849.85712</v>
      </c>
      <c r="N189" s="77"/>
      <c r="O189" s="48">
        <f t="shared" si="148"/>
        <v>1954.671376</v>
      </c>
      <c r="P189" s="75"/>
      <c r="Q189" s="78"/>
      <c r="R189" s="46">
        <f t="shared" si="143"/>
        <v>1954.671376</v>
      </c>
      <c r="S189" s="46">
        <f t="shared" si="144"/>
        <v>607.0408</v>
      </c>
      <c r="T189" s="46" t="b">
        <f t="shared" si="145"/>
        <v>1</v>
      </c>
      <c r="U189" s="46" t="b">
        <f t="shared" si="146"/>
        <v>0</v>
      </c>
    </row>
    <row r="190" s="69" customFormat="1" customHeight="1" outlineLevel="1" spans="1:21">
      <c r="A190" s="32">
        <v>137</v>
      </c>
      <c r="B190" s="32" t="s">
        <v>189</v>
      </c>
      <c r="C190" s="32" t="s">
        <v>198</v>
      </c>
      <c r="D190" s="32" t="s">
        <v>94</v>
      </c>
      <c r="E190" s="32">
        <v>13.9</v>
      </c>
      <c r="F190" s="72">
        <f t="shared" ref="F190:J190" si="150">F175</f>
        <v>15</v>
      </c>
      <c r="G190" s="48">
        <f t="shared" si="147"/>
        <v>29.4</v>
      </c>
      <c r="H190" s="72">
        <f t="shared" si="150"/>
        <v>28</v>
      </c>
      <c r="I190" s="49">
        <f t="shared" si="150"/>
        <v>0.05</v>
      </c>
      <c r="J190" s="48">
        <f t="shared" si="150"/>
        <v>1</v>
      </c>
      <c r="K190" s="48">
        <f>(F190+G190+J190)*$K$5</f>
        <v>2.724</v>
      </c>
      <c r="L190" s="48">
        <f>(F190+G190+J190+K190)*$L$5</f>
        <v>1.44372</v>
      </c>
      <c r="M190" s="76">
        <f t="shared" ref="M190:M221" si="151">(F190+G190+J190+K190+L190)*1.4</f>
        <v>69.394808</v>
      </c>
      <c r="N190" s="77"/>
      <c r="O190" s="48">
        <f t="shared" si="148"/>
        <v>964.5878312</v>
      </c>
      <c r="P190" s="75"/>
      <c r="Q190" s="78"/>
      <c r="R190" s="46">
        <f t="shared" si="143"/>
        <v>964.5878312</v>
      </c>
      <c r="S190" s="46">
        <f t="shared" si="144"/>
        <v>49.56772</v>
      </c>
      <c r="T190" s="46" t="b">
        <f t="shared" si="145"/>
        <v>1</v>
      </c>
      <c r="U190" s="46" t="b">
        <f t="shared" si="146"/>
        <v>0</v>
      </c>
    </row>
    <row r="191" s="69" customFormat="1" customHeight="1" outlineLevel="1" spans="1:21">
      <c r="A191" s="32">
        <v>138</v>
      </c>
      <c r="B191" s="32" t="s">
        <v>200</v>
      </c>
      <c r="C191" s="32" t="s">
        <v>241</v>
      </c>
      <c r="D191" s="32" t="s">
        <v>59</v>
      </c>
      <c r="E191" s="32">
        <v>1.92</v>
      </c>
      <c r="F191" s="72">
        <f t="shared" ref="F191:J191" si="152">F168</f>
        <v>150</v>
      </c>
      <c r="G191" s="48">
        <f t="shared" si="147"/>
        <v>682.5</v>
      </c>
      <c r="H191" s="72">
        <f t="shared" si="152"/>
        <v>650</v>
      </c>
      <c r="I191" s="49">
        <f t="shared" si="152"/>
        <v>0.05</v>
      </c>
      <c r="J191" s="48">
        <f t="shared" si="152"/>
        <v>100</v>
      </c>
      <c r="K191" s="48">
        <f>(F191+G191+J191)*$K$5</f>
        <v>55.95</v>
      </c>
      <c r="L191" s="48">
        <f>(F191+G191+J191+K191)*$L$5</f>
        <v>29.6535</v>
      </c>
      <c r="M191" s="76">
        <f t="shared" si="151"/>
        <v>1425.3449</v>
      </c>
      <c r="N191" s="77"/>
      <c r="O191" s="48">
        <f t="shared" si="148"/>
        <v>2736.662208</v>
      </c>
      <c r="P191" s="75"/>
      <c r="Q191" s="78"/>
      <c r="R191" s="46">
        <f t="shared" si="143"/>
        <v>2736.662208</v>
      </c>
      <c r="S191" s="46">
        <f t="shared" si="144"/>
        <v>1018.1035</v>
      </c>
      <c r="T191" s="46" t="b">
        <f t="shared" si="145"/>
        <v>1</v>
      </c>
      <c r="U191" s="46" t="b">
        <f t="shared" si="146"/>
        <v>0</v>
      </c>
    </row>
    <row r="192" s="69" customFormat="1" customHeight="1" outlineLevel="1" spans="1:21">
      <c r="A192" s="32">
        <v>139</v>
      </c>
      <c r="B192" s="32" t="s">
        <v>78</v>
      </c>
      <c r="C192" s="32" t="s">
        <v>242</v>
      </c>
      <c r="D192" s="32" t="s">
        <v>59</v>
      </c>
      <c r="E192" s="32">
        <v>1.28</v>
      </c>
      <c r="F192" s="72">
        <f t="shared" ref="F192:J192" si="153">F169</f>
        <v>165</v>
      </c>
      <c r="G192" s="48">
        <f t="shared" si="147"/>
        <v>315</v>
      </c>
      <c r="H192" s="72">
        <f t="shared" si="153"/>
        <v>300</v>
      </c>
      <c r="I192" s="49">
        <f t="shared" si="153"/>
        <v>0.05</v>
      </c>
      <c r="J192" s="48">
        <f t="shared" si="153"/>
        <v>135</v>
      </c>
      <c r="K192" s="48">
        <f>(F192+G192+J192)*$K$5</f>
        <v>36.9</v>
      </c>
      <c r="L192" s="48">
        <f>(F192+G192+J192+K192)*$L$5</f>
        <v>19.557</v>
      </c>
      <c r="M192" s="76">
        <f t="shared" si="151"/>
        <v>940.0398</v>
      </c>
      <c r="N192" s="77"/>
      <c r="O192" s="48">
        <f t="shared" si="148"/>
        <v>1203.250944</v>
      </c>
      <c r="P192" s="75" t="str">
        <f>P172</f>
        <v>厂家定制</v>
      </c>
      <c r="Q192" s="78"/>
      <c r="R192" s="46">
        <f t="shared" si="143"/>
        <v>1203.250944</v>
      </c>
      <c r="S192" s="46">
        <f t="shared" si="144"/>
        <v>671.457</v>
      </c>
      <c r="T192" s="46" t="b">
        <f t="shared" si="145"/>
        <v>1</v>
      </c>
      <c r="U192" s="46" t="b">
        <f t="shared" si="146"/>
        <v>0</v>
      </c>
    </row>
    <row r="193" s="69" customFormat="1" customHeight="1" outlineLevel="1" spans="1:21">
      <c r="A193" s="32">
        <v>140</v>
      </c>
      <c r="B193" s="32" t="s">
        <v>170</v>
      </c>
      <c r="C193" s="32" t="s">
        <v>243</v>
      </c>
      <c r="D193" s="32" t="s">
        <v>91</v>
      </c>
      <c r="E193" s="32">
        <v>1</v>
      </c>
      <c r="F193" s="72">
        <f t="shared" ref="F193:J193" si="154">F170</f>
        <v>300</v>
      </c>
      <c r="G193" s="48">
        <f t="shared" si="147"/>
        <v>1111</v>
      </c>
      <c r="H193" s="72">
        <f t="shared" si="154"/>
        <v>1100</v>
      </c>
      <c r="I193" s="49">
        <f t="shared" si="154"/>
        <v>0.01</v>
      </c>
      <c r="J193" s="48">
        <f t="shared" si="154"/>
        <v>310</v>
      </c>
      <c r="K193" s="48">
        <f>(F193+G193+J193)*$K$5</f>
        <v>103.26</v>
      </c>
      <c r="L193" s="48">
        <f>(F193+G193+J193+K193)*$L$5</f>
        <v>54.7278</v>
      </c>
      <c r="M193" s="76">
        <f t="shared" si="151"/>
        <v>2630.58292</v>
      </c>
      <c r="N193" s="77"/>
      <c r="O193" s="48">
        <f t="shared" si="148"/>
        <v>2630.58292</v>
      </c>
      <c r="P193" s="75" t="str">
        <f>P186</f>
        <v>厂家定制</v>
      </c>
      <c r="Q193" s="78"/>
      <c r="R193" s="46">
        <f t="shared" si="143"/>
        <v>2630.58292</v>
      </c>
      <c r="S193" s="46">
        <f t="shared" si="144"/>
        <v>1878.9878</v>
      </c>
      <c r="T193" s="46" t="b">
        <f t="shared" si="145"/>
        <v>1</v>
      </c>
      <c r="U193" s="46" t="b">
        <f t="shared" si="146"/>
        <v>0</v>
      </c>
    </row>
    <row r="194" s="69" customFormat="1" customHeight="1" spans="1:21">
      <c r="A194" s="32"/>
      <c r="B194" s="32" t="s">
        <v>256</v>
      </c>
      <c r="C194" s="32"/>
      <c r="D194" s="32"/>
      <c r="E194" s="32"/>
      <c r="F194" s="72"/>
      <c r="G194" s="48"/>
      <c r="H194" s="72"/>
      <c r="I194" s="49"/>
      <c r="J194" s="48"/>
      <c r="K194" s="48"/>
      <c r="L194" s="48"/>
      <c r="M194" s="76">
        <f t="shared" si="151"/>
        <v>0</v>
      </c>
      <c r="N194" s="77"/>
      <c r="O194" s="48"/>
      <c r="P194" s="75"/>
      <c r="Q194" s="78"/>
      <c r="R194" s="46">
        <f t="shared" si="143"/>
        <v>0</v>
      </c>
      <c r="S194" s="46">
        <f t="shared" si="144"/>
        <v>0</v>
      </c>
      <c r="T194" s="46" t="b">
        <f t="shared" si="145"/>
        <v>1</v>
      </c>
      <c r="U194" s="46" t="b">
        <f t="shared" si="146"/>
        <v>1</v>
      </c>
    </row>
    <row r="195" s="69" customFormat="1" customHeight="1" outlineLevel="1" spans="1:21">
      <c r="A195" s="32">
        <v>141</v>
      </c>
      <c r="B195" s="32" t="s">
        <v>187</v>
      </c>
      <c r="C195" s="32" t="s">
        <v>254</v>
      </c>
      <c r="D195" s="32" t="s">
        <v>59</v>
      </c>
      <c r="E195" s="32">
        <v>31.81</v>
      </c>
      <c r="F195" s="72">
        <f>F182</f>
        <v>30</v>
      </c>
      <c r="G195" s="48">
        <f t="shared" ref="G195:G200" si="155">H195*(1+I195)</f>
        <v>15.75</v>
      </c>
      <c r="H195" s="72">
        <f>H182</f>
        <v>15</v>
      </c>
      <c r="I195" s="48">
        <f>I106</f>
        <v>0.05</v>
      </c>
      <c r="J195" s="48">
        <f>J182</f>
        <v>8</v>
      </c>
      <c r="K195" s="48">
        <f>(F195+G195+J195)*$K$5</f>
        <v>3.225</v>
      </c>
      <c r="L195" s="48">
        <f>(F195+G195+J195+K195)*$L$5</f>
        <v>1.70925</v>
      </c>
      <c r="M195" s="76">
        <f t="shared" si="151"/>
        <v>82.15795</v>
      </c>
      <c r="N195" s="77"/>
      <c r="O195" s="48">
        <f t="shared" ref="O195:O200" si="156">M195*E195</f>
        <v>2613.4443895</v>
      </c>
      <c r="P195" s="75" t="str">
        <f>P135</f>
        <v>立邦</v>
      </c>
      <c r="Q195" s="78"/>
      <c r="R195" s="46">
        <f t="shared" si="143"/>
        <v>2613.4443895</v>
      </c>
      <c r="S195" s="46">
        <f t="shared" si="144"/>
        <v>58.68425</v>
      </c>
      <c r="T195" s="46" t="b">
        <f t="shared" si="145"/>
        <v>1</v>
      </c>
      <c r="U195" s="46" t="b">
        <f t="shared" si="146"/>
        <v>0</v>
      </c>
    </row>
    <row r="196" s="69" customFormat="1" customHeight="1" outlineLevel="1" spans="1:21">
      <c r="A196" s="32">
        <v>142</v>
      </c>
      <c r="B196" s="32" t="s">
        <v>172</v>
      </c>
      <c r="C196" s="32" t="s">
        <v>173</v>
      </c>
      <c r="D196" s="32" t="s">
        <v>59</v>
      </c>
      <c r="E196" s="32">
        <v>8.63</v>
      </c>
      <c r="F196" s="72">
        <f t="shared" ref="F196:J196" si="157">F90</f>
        <v>185</v>
      </c>
      <c r="G196" s="48">
        <f t="shared" si="155"/>
        <v>336</v>
      </c>
      <c r="H196" s="72">
        <f t="shared" si="157"/>
        <v>320</v>
      </c>
      <c r="I196" s="49">
        <f t="shared" si="157"/>
        <v>0.05</v>
      </c>
      <c r="J196" s="48">
        <f t="shared" si="157"/>
        <v>35</v>
      </c>
      <c r="K196" s="48">
        <f>(F196+G196+J196)*$K$5</f>
        <v>33.36</v>
      </c>
      <c r="L196" s="48">
        <f>(F196+G196+J196+K196)*$L$5</f>
        <v>17.6808</v>
      </c>
      <c r="M196" s="76">
        <f t="shared" si="151"/>
        <v>849.85712</v>
      </c>
      <c r="N196" s="77"/>
      <c r="O196" s="48">
        <f t="shared" si="156"/>
        <v>7334.2669456</v>
      </c>
      <c r="P196" s="75"/>
      <c r="Q196" s="78"/>
      <c r="R196" s="46">
        <f t="shared" si="143"/>
        <v>7334.2669456</v>
      </c>
      <c r="S196" s="46">
        <f t="shared" si="144"/>
        <v>607.0408</v>
      </c>
      <c r="T196" s="46" t="b">
        <f t="shared" si="145"/>
        <v>1</v>
      </c>
      <c r="U196" s="46" t="b">
        <f t="shared" si="146"/>
        <v>0</v>
      </c>
    </row>
    <row r="197" s="69" customFormat="1" customHeight="1" outlineLevel="1" spans="1:21">
      <c r="A197" s="32">
        <v>143</v>
      </c>
      <c r="B197" s="32" t="s">
        <v>189</v>
      </c>
      <c r="C197" s="32" t="s">
        <v>198</v>
      </c>
      <c r="D197" s="32" t="s">
        <v>94</v>
      </c>
      <c r="E197" s="32">
        <v>10.2</v>
      </c>
      <c r="F197" s="72">
        <f t="shared" ref="F197:J197" si="158">F175</f>
        <v>15</v>
      </c>
      <c r="G197" s="48">
        <f t="shared" si="155"/>
        <v>29.4</v>
      </c>
      <c r="H197" s="72">
        <f t="shared" si="158"/>
        <v>28</v>
      </c>
      <c r="I197" s="49">
        <f t="shared" si="158"/>
        <v>0.05</v>
      </c>
      <c r="J197" s="48">
        <f t="shared" si="158"/>
        <v>1</v>
      </c>
      <c r="K197" s="48">
        <f>(F197+G197+J197)*$K$5</f>
        <v>2.724</v>
      </c>
      <c r="L197" s="48">
        <f>(F197+G197+J197+K197)*$L$5</f>
        <v>1.44372</v>
      </c>
      <c r="M197" s="76">
        <f t="shared" si="151"/>
        <v>69.394808</v>
      </c>
      <c r="N197" s="77"/>
      <c r="O197" s="48">
        <f t="shared" si="156"/>
        <v>707.8270416</v>
      </c>
      <c r="P197" s="75"/>
      <c r="Q197" s="78"/>
      <c r="R197" s="46">
        <f t="shared" si="143"/>
        <v>707.8270416</v>
      </c>
      <c r="S197" s="46">
        <f t="shared" si="144"/>
        <v>49.56772</v>
      </c>
      <c r="T197" s="46" t="b">
        <f t="shared" si="145"/>
        <v>1</v>
      </c>
      <c r="U197" s="46" t="b">
        <f t="shared" si="146"/>
        <v>0</v>
      </c>
    </row>
    <row r="198" s="69" customFormat="1" customHeight="1" outlineLevel="1" spans="1:21">
      <c r="A198" s="32">
        <v>144</v>
      </c>
      <c r="B198" s="32" t="s">
        <v>200</v>
      </c>
      <c r="C198" s="32" t="s">
        <v>241</v>
      </c>
      <c r="D198" s="32" t="s">
        <v>59</v>
      </c>
      <c r="E198" s="32">
        <v>1.92</v>
      </c>
      <c r="F198" s="72">
        <f t="shared" ref="F198:J198" si="159">F168</f>
        <v>150</v>
      </c>
      <c r="G198" s="48">
        <f t="shared" si="155"/>
        <v>682.5</v>
      </c>
      <c r="H198" s="72">
        <f t="shared" si="159"/>
        <v>650</v>
      </c>
      <c r="I198" s="49">
        <f t="shared" si="159"/>
        <v>0.05</v>
      </c>
      <c r="J198" s="48">
        <f t="shared" si="159"/>
        <v>100</v>
      </c>
      <c r="K198" s="48">
        <f>(F198+G198+J198)*$K$5</f>
        <v>55.95</v>
      </c>
      <c r="L198" s="48">
        <f>(F198+G198+J198+K198)*$L$5</f>
        <v>29.6535</v>
      </c>
      <c r="M198" s="76">
        <f t="shared" si="151"/>
        <v>1425.3449</v>
      </c>
      <c r="N198" s="77"/>
      <c r="O198" s="48">
        <f t="shared" si="156"/>
        <v>2736.662208</v>
      </c>
      <c r="P198" s="75"/>
      <c r="Q198" s="78"/>
      <c r="R198" s="46">
        <f t="shared" si="143"/>
        <v>2736.662208</v>
      </c>
      <c r="S198" s="46">
        <f t="shared" si="144"/>
        <v>1018.1035</v>
      </c>
      <c r="T198" s="46" t="b">
        <f t="shared" si="145"/>
        <v>1</v>
      </c>
      <c r="U198" s="46" t="b">
        <f t="shared" si="146"/>
        <v>0</v>
      </c>
    </row>
    <row r="199" s="69" customFormat="1" customHeight="1" outlineLevel="1" spans="1:21">
      <c r="A199" s="32">
        <v>145</v>
      </c>
      <c r="B199" s="32" t="s">
        <v>78</v>
      </c>
      <c r="C199" s="32" t="s">
        <v>242</v>
      </c>
      <c r="D199" s="32" t="s">
        <v>59</v>
      </c>
      <c r="E199" s="32">
        <v>1.28</v>
      </c>
      <c r="F199" s="72">
        <f t="shared" ref="F199:J199" si="160">F169</f>
        <v>165</v>
      </c>
      <c r="G199" s="48">
        <f t="shared" si="155"/>
        <v>315</v>
      </c>
      <c r="H199" s="72">
        <f t="shared" si="160"/>
        <v>300</v>
      </c>
      <c r="I199" s="49">
        <f t="shared" si="160"/>
        <v>0.05</v>
      </c>
      <c r="J199" s="48">
        <f t="shared" si="160"/>
        <v>135</v>
      </c>
      <c r="K199" s="48">
        <f>(F199+G199+J199)*$K$5</f>
        <v>36.9</v>
      </c>
      <c r="L199" s="48">
        <f>(F199+G199+J199+K199)*$L$5</f>
        <v>19.557</v>
      </c>
      <c r="M199" s="76">
        <f t="shared" si="151"/>
        <v>940.0398</v>
      </c>
      <c r="N199" s="77"/>
      <c r="O199" s="48">
        <f t="shared" si="156"/>
        <v>1203.250944</v>
      </c>
      <c r="P199" s="75" t="str">
        <f>P186</f>
        <v>厂家定制</v>
      </c>
      <c r="Q199" s="78"/>
      <c r="R199" s="46">
        <f t="shared" si="143"/>
        <v>1203.250944</v>
      </c>
      <c r="S199" s="46">
        <f t="shared" si="144"/>
        <v>671.457</v>
      </c>
      <c r="T199" s="46" t="b">
        <f t="shared" si="145"/>
        <v>1</v>
      </c>
      <c r="U199" s="46" t="b">
        <f t="shared" si="146"/>
        <v>0</v>
      </c>
    </row>
    <row r="200" s="69" customFormat="1" customHeight="1" outlineLevel="1" spans="1:21">
      <c r="A200" s="32">
        <v>146</v>
      </c>
      <c r="B200" s="32" t="s">
        <v>170</v>
      </c>
      <c r="C200" s="32" t="s">
        <v>243</v>
      </c>
      <c r="D200" s="32" t="s">
        <v>91</v>
      </c>
      <c r="E200" s="32">
        <v>1</v>
      </c>
      <c r="F200" s="72">
        <f t="shared" ref="F200:J200" si="161">F170</f>
        <v>300</v>
      </c>
      <c r="G200" s="48">
        <f t="shared" si="155"/>
        <v>1111</v>
      </c>
      <c r="H200" s="72">
        <f t="shared" si="161"/>
        <v>1100</v>
      </c>
      <c r="I200" s="49">
        <f t="shared" si="161"/>
        <v>0.01</v>
      </c>
      <c r="J200" s="48">
        <f t="shared" si="161"/>
        <v>310</v>
      </c>
      <c r="K200" s="48">
        <f>(F200+G200+J200)*$K$5</f>
        <v>103.26</v>
      </c>
      <c r="L200" s="48">
        <f>(F200+G200+J200+K200)*$L$5</f>
        <v>54.7278</v>
      </c>
      <c r="M200" s="76">
        <f t="shared" si="151"/>
        <v>2630.58292</v>
      </c>
      <c r="N200" s="77"/>
      <c r="O200" s="48">
        <f t="shared" si="156"/>
        <v>2630.58292</v>
      </c>
      <c r="P200" s="75" t="str">
        <f>P186</f>
        <v>厂家定制</v>
      </c>
      <c r="Q200" s="78"/>
      <c r="R200" s="46">
        <f t="shared" si="143"/>
        <v>2630.58292</v>
      </c>
      <c r="S200" s="46">
        <f t="shared" si="144"/>
        <v>1878.9878</v>
      </c>
      <c r="T200" s="46" t="b">
        <f t="shared" si="145"/>
        <v>1</v>
      </c>
      <c r="U200" s="46" t="b">
        <f t="shared" si="146"/>
        <v>0</v>
      </c>
    </row>
    <row r="201" s="69" customFormat="1" customHeight="1" spans="1:21">
      <c r="A201" s="32"/>
      <c r="B201" s="32" t="s">
        <v>257</v>
      </c>
      <c r="C201" s="32"/>
      <c r="D201" s="32"/>
      <c r="E201" s="32"/>
      <c r="F201" s="72"/>
      <c r="G201" s="48"/>
      <c r="H201" s="72"/>
      <c r="I201" s="49"/>
      <c r="J201" s="48"/>
      <c r="K201" s="48"/>
      <c r="L201" s="48"/>
      <c r="M201" s="76">
        <f t="shared" si="151"/>
        <v>0</v>
      </c>
      <c r="N201" s="77"/>
      <c r="O201" s="48"/>
      <c r="P201" s="75"/>
      <c r="Q201" s="78"/>
      <c r="R201" s="46">
        <f t="shared" si="143"/>
        <v>0</v>
      </c>
      <c r="S201" s="46">
        <f t="shared" si="144"/>
        <v>0</v>
      </c>
      <c r="T201" s="46" t="b">
        <f t="shared" si="145"/>
        <v>1</v>
      </c>
      <c r="U201" s="46" t="b">
        <f t="shared" si="146"/>
        <v>1</v>
      </c>
    </row>
    <row r="202" s="69" customFormat="1" customHeight="1" outlineLevel="1" spans="1:21">
      <c r="A202" s="32">
        <v>147</v>
      </c>
      <c r="B202" s="32" t="s">
        <v>187</v>
      </c>
      <c r="C202" s="32" t="s">
        <v>254</v>
      </c>
      <c r="D202" s="32" t="s">
        <v>59</v>
      </c>
      <c r="E202" s="32">
        <v>71.18</v>
      </c>
      <c r="F202" s="72">
        <f>F182</f>
        <v>30</v>
      </c>
      <c r="G202" s="48">
        <f t="shared" ref="G202:G207" si="162">H202*(1+I202)</f>
        <v>15.75</v>
      </c>
      <c r="H202" s="72">
        <f>H182</f>
        <v>15</v>
      </c>
      <c r="I202" s="49">
        <f>I106</f>
        <v>0.05</v>
      </c>
      <c r="J202" s="48">
        <f>J182</f>
        <v>8</v>
      </c>
      <c r="K202" s="48">
        <f>(F202+G202+J202)*$K$5</f>
        <v>3.225</v>
      </c>
      <c r="L202" s="48">
        <f>(F202+G202+J202+K202)*$L$5</f>
        <v>1.70925</v>
      </c>
      <c r="M202" s="76">
        <f t="shared" si="151"/>
        <v>82.15795</v>
      </c>
      <c r="N202" s="77"/>
      <c r="O202" s="48">
        <f t="shared" ref="O202:O207" si="163">M202*E202</f>
        <v>5848.002881</v>
      </c>
      <c r="P202" s="75" t="str">
        <f>P182</f>
        <v>立邦</v>
      </c>
      <c r="Q202" s="78"/>
      <c r="R202" s="46">
        <f t="shared" si="143"/>
        <v>5848.002881</v>
      </c>
      <c r="S202" s="46">
        <f t="shared" si="144"/>
        <v>58.68425</v>
      </c>
      <c r="T202" s="46" t="b">
        <f t="shared" si="145"/>
        <v>1</v>
      </c>
      <c r="U202" s="46" t="b">
        <f t="shared" si="146"/>
        <v>0</v>
      </c>
    </row>
    <row r="203" s="69" customFormat="1" customHeight="1" outlineLevel="1" spans="1:21">
      <c r="A203" s="32">
        <v>148</v>
      </c>
      <c r="B203" s="32" t="s">
        <v>172</v>
      </c>
      <c r="C203" s="32" t="s">
        <v>173</v>
      </c>
      <c r="D203" s="32" t="s">
        <v>59</v>
      </c>
      <c r="E203" s="32">
        <v>9.89</v>
      </c>
      <c r="F203" s="72">
        <f t="shared" ref="F203:J203" si="164">F90</f>
        <v>185</v>
      </c>
      <c r="G203" s="48">
        <f t="shared" si="162"/>
        <v>336</v>
      </c>
      <c r="H203" s="72">
        <f t="shared" si="164"/>
        <v>320</v>
      </c>
      <c r="I203" s="49">
        <f t="shared" si="164"/>
        <v>0.05</v>
      </c>
      <c r="J203" s="48">
        <f t="shared" si="164"/>
        <v>35</v>
      </c>
      <c r="K203" s="48">
        <f>(F203+G203+J203)*$K$5</f>
        <v>33.36</v>
      </c>
      <c r="L203" s="48">
        <f>(F203+G203+J203+K203)*$L$5</f>
        <v>17.6808</v>
      </c>
      <c r="M203" s="76">
        <f t="shared" si="151"/>
        <v>849.85712</v>
      </c>
      <c r="N203" s="77"/>
      <c r="O203" s="48">
        <f t="shared" si="163"/>
        <v>8405.0869168</v>
      </c>
      <c r="P203" s="75"/>
      <c r="Q203" s="78"/>
      <c r="R203" s="46">
        <f t="shared" si="143"/>
        <v>8405.0869168</v>
      </c>
      <c r="S203" s="46">
        <f t="shared" si="144"/>
        <v>607.0408</v>
      </c>
      <c r="T203" s="46" t="b">
        <f t="shared" si="145"/>
        <v>1</v>
      </c>
      <c r="U203" s="46" t="b">
        <f t="shared" si="146"/>
        <v>0</v>
      </c>
    </row>
    <row r="204" s="69" customFormat="1" customHeight="1" outlineLevel="1" spans="1:21">
      <c r="A204" s="32">
        <v>149</v>
      </c>
      <c r="B204" s="32" t="s">
        <v>189</v>
      </c>
      <c r="C204" s="32" t="s">
        <v>198</v>
      </c>
      <c r="D204" s="32" t="s">
        <v>94</v>
      </c>
      <c r="E204" s="32">
        <v>22.92</v>
      </c>
      <c r="F204" s="72">
        <f t="shared" ref="F204:J204" si="165">F175</f>
        <v>15</v>
      </c>
      <c r="G204" s="48">
        <f t="shared" si="162"/>
        <v>29.4</v>
      </c>
      <c r="H204" s="72">
        <f t="shared" si="165"/>
        <v>28</v>
      </c>
      <c r="I204" s="49">
        <f t="shared" si="165"/>
        <v>0.05</v>
      </c>
      <c r="J204" s="48">
        <f t="shared" si="165"/>
        <v>1</v>
      </c>
      <c r="K204" s="48">
        <f>(F204+G204+J204)*$K$5</f>
        <v>2.724</v>
      </c>
      <c r="L204" s="48">
        <f>(F204+G204+J204+K204)*$L$5</f>
        <v>1.44372</v>
      </c>
      <c r="M204" s="76">
        <f t="shared" si="151"/>
        <v>69.394808</v>
      </c>
      <c r="N204" s="77"/>
      <c r="O204" s="48">
        <f t="shared" si="163"/>
        <v>1590.52899936</v>
      </c>
      <c r="P204" s="75"/>
      <c r="Q204" s="78"/>
      <c r="R204" s="46">
        <f t="shared" si="143"/>
        <v>1590.52899936</v>
      </c>
      <c r="S204" s="46">
        <f t="shared" si="144"/>
        <v>49.56772</v>
      </c>
      <c r="T204" s="46" t="b">
        <f t="shared" si="145"/>
        <v>1</v>
      </c>
      <c r="U204" s="46" t="b">
        <f t="shared" si="146"/>
        <v>0</v>
      </c>
    </row>
    <row r="205" s="69" customFormat="1" customHeight="1" outlineLevel="1" spans="1:21">
      <c r="A205" s="32">
        <v>150</v>
      </c>
      <c r="B205" s="32" t="s">
        <v>200</v>
      </c>
      <c r="C205" s="32" t="s">
        <v>241</v>
      </c>
      <c r="D205" s="32" t="s">
        <v>59</v>
      </c>
      <c r="E205" s="32">
        <v>1.92</v>
      </c>
      <c r="F205" s="72">
        <f t="shared" ref="F205:J205" si="166">F168</f>
        <v>150</v>
      </c>
      <c r="G205" s="48">
        <f t="shared" si="162"/>
        <v>682.5</v>
      </c>
      <c r="H205" s="72">
        <f t="shared" si="166"/>
        <v>650</v>
      </c>
      <c r="I205" s="49">
        <f t="shared" si="166"/>
        <v>0.05</v>
      </c>
      <c r="J205" s="48">
        <f t="shared" si="166"/>
        <v>100</v>
      </c>
      <c r="K205" s="48">
        <f>(F205+G205+J205)*$K$5</f>
        <v>55.95</v>
      </c>
      <c r="L205" s="48">
        <f>(F205+G205+J205+K205)*$L$5</f>
        <v>29.6535</v>
      </c>
      <c r="M205" s="76">
        <f t="shared" si="151"/>
        <v>1425.3449</v>
      </c>
      <c r="N205" s="77"/>
      <c r="O205" s="48">
        <f t="shared" si="163"/>
        <v>2736.662208</v>
      </c>
      <c r="P205" s="75"/>
      <c r="Q205" s="78"/>
      <c r="R205" s="46">
        <f t="shared" si="143"/>
        <v>2736.662208</v>
      </c>
      <c r="S205" s="46">
        <f t="shared" si="144"/>
        <v>1018.1035</v>
      </c>
      <c r="T205" s="46" t="b">
        <f t="shared" si="145"/>
        <v>1</v>
      </c>
      <c r="U205" s="46" t="b">
        <f t="shared" si="146"/>
        <v>0</v>
      </c>
    </row>
    <row r="206" s="69" customFormat="1" customHeight="1" outlineLevel="1" spans="1:21">
      <c r="A206" s="32">
        <v>151</v>
      </c>
      <c r="B206" s="32" t="s">
        <v>78</v>
      </c>
      <c r="C206" s="32" t="s">
        <v>242</v>
      </c>
      <c r="D206" s="32" t="s">
        <v>59</v>
      </c>
      <c r="E206" s="32">
        <v>1.28</v>
      </c>
      <c r="F206" s="72">
        <f t="shared" ref="F206:J206" si="167">F169</f>
        <v>165</v>
      </c>
      <c r="G206" s="48">
        <f t="shared" si="162"/>
        <v>315</v>
      </c>
      <c r="H206" s="72">
        <f t="shared" si="167"/>
        <v>300</v>
      </c>
      <c r="I206" s="49">
        <f t="shared" si="167"/>
        <v>0.05</v>
      </c>
      <c r="J206" s="48">
        <f t="shared" si="167"/>
        <v>135</v>
      </c>
      <c r="K206" s="48">
        <f>(F206+G206+J206)*$K$5</f>
        <v>36.9</v>
      </c>
      <c r="L206" s="48">
        <f>(F206+G206+J206+K206)*$L$5</f>
        <v>19.557</v>
      </c>
      <c r="M206" s="76">
        <f t="shared" si="151"/>
        <v>940.0398</v>
      </c>
      <c r="N206" s="77"/>
      <c r="O206" s="48">
        <f t="shared" si="163"/>
        <v>1203.250944</v>
      </c>
      <c r="P206" s="75" t="str">
        <f>P199</f>
        <v>厂家定制</v>
      </c>
      <c r="Q206" s="78"/>
      <c r="R206" s="46">
        <f t="shared" si="143"/>
        <v>1203.250944</v>
      </c>
      <c r="S206" s="46">
        <f t="shared" si="144"/>
        <v>671.457</v>
      </c>
      <c r="T206" s="46" t="b">
        <f t="shared" si="145"/>
        <v>1</v>
      </c>
      <c r="U206" s="46" t="b">
        <f t="shared" si="146"/>
        <v>0</v>
      </c>
    </row>
    <row r="207" s="69" customFormat="1" customHeight="1" outlineLevel="1" spans="1:21">
      <c r="A207" s="32">
        <v>152</v>
      </c>
      <c r="B207" s="32" t="s">
        <v>170</v>
      </c>
      <c r="C207" s="32" t="s">
        <v>243</v>
      </c>
      <c r="D207" s="32" t="s">
        <v>91</v>
      </c>
      <c r="E207" s="32">
        <v>1</v>
      </c>
      <c r="F207" s="72">
        <f t="shared" ref="F207:J207" si="168">F170</f>
        <v>300</v>
      </c>
      <c r="G207" s="48">
        <f t="shared" si="162"/>
        <v>1111</v>
      </c>
      <c r="H207" s="72">
        <f t="shared" si="168"/>
        <v>1100</v>
      </c>
      <c r="I207" s="49">
        <f t="shared" si="168"/>
        <v>0.01</v>
      </c>
      <c r="J207" s="48">
        <f t="shared" si="168"/>
        <v>310</v>
      </c>
      <c r="K207" s="48">
        <f>(F207+G207+J207)*$K$5</f>
        <v>103.26</v>
      </c>
      <c r="L207" s="48">
        <f>(F207+G207+J207+K207)*$L$5</f>
        <v>54.7278</v>
      </c>
      <c r="M207" s="76">
        <f t="shared" si="151"/>
        <v>2630.58292</v>
      </c>
      <c r="N207" s="77"/>
      <c r="O207" s="48">
        <f t="shared" si="163"/>
        <v>2630.58292</v>
      </c>
      <c r="P207" s="75" t="str">
        <f>P199</f>
        <v>厂家定制</v>
      </c>
      <c r="Q207" s="78"/>
      <c r="R207" s="46">
        <f t="shared" si="143"/>
        <v>2630.58292</v>
      </c>
      <c r="S207" s="46">
        <f t="shared" si="144"/>
        <v>1878.9878</v>
      </c>
      <c r="T207" s="46" t="b">
        <f t="shared" si="145"/>
        <v>1</v>
      </c>
      <c r="U207" s="46" t="b">
        <f t="shared" si="146"/>
        <v>0</v>
      </c>
    </row>
    <row r="208" s="69" customFormat="1" customHeight="1" spans="1:21">
      <c r="A208" s="32"/>
      <c r="B208" s="32" t="s">
        <v>258</v>
      </c>
      <c r="C208" s="32"/>
      <c r="D208" s="32"/>
      <c r="E208" s="32"/>
      <c r="F208" s="72"/>
      <c r="G208" s="48"/>
      <c r="H208" s="72"/>
      <c r="I208" s="49"/>
      <c r="J208" s="48"/>
      <c r="K208" s="48"/>
      <c r="L208" s="48"/>
      <c r="M208" s="76">
        <f t="shared" si="151"/>
        <v>0</v>
      </c>
      <c r="N208" s="77"/>
      <c r="O208" s="48"/>
      <c r="P208" s="75"/>
      <c r="Q208" s="78"/>
      <c r="R208" s="46">
        <f t="shared" si="143"/>
        <v>0</v>
      </c>
      <c r="S208" s="46">
        <f t="shared" si="144"/>
        <v>0</v>
      </c>
      <c r="T208" s="46" t="b">
        <f t="shared" si="145"/>
        <v>1</v>
      </c>
      <c r="U208" s="46" t="b">
        <f t="shared" si="146"/>
        <v>1</v>
      </c>
    </row>
    <row r="209" s="69" customFormat="1" customHeight="1" outlineLevel="1" spans="1:21">
      <c r="A209" s="32">
        <v>153</v>
      </c>
      <c r="B209" s="32" t="s">
        <v>187</v>
      </c>
      <c r="C209" s="32" t="s">
        <v>254</v>
      </c>
      <c r="D209" s="32" t="s">
        <v>59</v>
      </c>
      <c r="E209" s="32">
        <v>37.66</v>
      </c>
      <c r="F209" s="72">
        <f>F182</f>
        <v>30</v>
      </c>
      <c r="G209" s="48">
        <f t="shared" ref="G209:G213" si="169">H209*(1+I209)</f>
        <v>15.75</v>
      </c>
      <c r="H209" s="72">
        <f>H182</f>
        <v>15</v>
      </c>
      <c r="I209" s="49">
        <f>I106</f>
        <v>0.05</v>
      </c>
      <c r="J209" s="48">
        <f>J182</f>
        <v>8</v>
      </c>
      <c r="K209" s="48">
        <f>(F209+G209+J209)*$K$5</f>
        <v>3.225</v>
      </c>
      <c r="L209" s="48">
        <f>(F209+G209+J209+K209)*$L$5</f>
        <v>1.70925</v>
      </c>
      <c r="M209" s="76">
        <f t="shared" si="151"/>
        <v>82.15795</v>
      </c>
      <c r="N209" s="77"/>
      <c r="O209" s="48">
        <f t="shared" ref="O209:O213" si="170">M209*E209</f>
        <v>3094.068397</v>
      </c>
      <c r="P209" s="75" t="str">
        <f>P182</f>
        <v>立邦</v>
      </c>
      <c r="Q209" s="78"/>
      <c r="R209" s="46">
        <f t="shared" si="143"/>
        <v>3094.068397</v>
      </c>
      <c r="S209" s="46">
        <f t="shared" si="144"/>
        <v>58.68425</v>
      </c>
      <c r="T209" s="46" t="b">
        <f t="shared" si="145"/>
        <v>1</v>
      </c>
      <c r="U209" s="46" t="b">
        <f t="shared" si="146"/>
        <v>0</v>
      </c>
    </row>
    <row r="210" s="69" customFormat="1" customHeight="1" outlineLevel="1" spans="1:21">
      <c r="A210" s="32">
        <v>154</v>
      </c>
      <c r="B210" s="32" t="s">
        <v>189</v>
      </c>
      <c r="C210" s="32" t="s">
        <v>198</v>
      </c>
      <c r="D210" s="32" t="s">
        <v>94</v>
      </c>
      <c r="E210" s="32">
        <v>12.27</v>
      </c>
      <c r="F210" s="72">
        <f t="shared" ref="F210:J210" si="171">F183</f>
        <v>15</v>
      </c>
      <c r="G210" s="48">
        <f t="shared" si="169"/>
        <v>29.4</v>
      </c>
      <c r="H210" s="72">
        <f t="shared" si="171"/>
        <v>28</v>
      </c>
      <c r="I210" s="49">
        <f t="shared" si="171"/>
        <v>0.05</v>
      </c>
      <c r="J210" s="48">
        <f t="shared" si="171"/>
        <v>1</v>
      </c>
      <c r="K210" s="48">
        <f>(F210+G210+J210)*$K$5</f>
        <v>2.724</v>
      </c>
      <c r="L210" s="48">
        <f>(F210+G210+J210+K210)*$L$5</f>
        <v>1.44372</v>
      </c>
      <c r="M210" s="76">
        <f t="shared" si="151"/>
        <v>69.394808</v>
      </c>
      <c r="N210" s="77"/>
      <c r="O210" s="48">
        <f t="shared" si="170"/>
        <v>851.47429416</v>
      </c>
      <c r="P210" s="75"/>
      <c r="Q210" s="78"/>
      <c r="R210" s="46">
        <f t="shared" si="143"/>
        <v>851.47429416</v>
      </c>
      <c r="S210" s="46">
        <f t="shared" si="144"/>
        <v>49.56772</v>
      </c>
      <c r="T210" s="46" t="b">
        <f t="shared" si="145"/>
        <v>1</v>
      </c>
      <c r="U210" s="46" t="b">
        <f t="shared" si="146"/>
        <v>0</v>
      </c>
    </row>
    <row r="211" s="69" customFormat="1" customHeight="1" outlineLevel="1" spans="1:21">
      <c r="A211" s="32">
        <v>155</v>
      </c>
      <c r="B211" s="32" t="s">
        <v>200</v>
      </c>
      <c r="C211" s="32" t="s">
        <v>241</v>
      </c>
      <c r="D211" s="32" t="s">
        <v>59</v>
      </c>
      <c r="E211" s="32">
        <v>1.92</v>
      </c>
      <c r="F211" s="72">
        <f t="shared" ref="F211:J211" si="172">F168</f>
        <v>150</v>
      </c>
      <c r="G211" s="48">
        <f t="shared" si="169"/>
        <v>682.5</v>
      </c>
      <c r="H211" s="72">
        <f t="shared" si="172"/>
        <v>650</v>
      </c>
      <c r="I211" s="49">
        <f t="shared" si="172"/>
        <v>0.05</v>
      </c>
      <c r="J211" s="48">
        <f t="shared" si="172"/>
        <v>100</v>
      </c>
      <c r="K211" s="48">
        <f>(F211+G211+J211)*$K$5</f>
        <v>55.95</v>
      </c>
      <c r="L211" s="48">
        <f>(F211+G211+J211+K211)*$L$5</f>
        <v>29.6535</v>
      </c>
      <c r="M211" s="76">
        <f t="shared" si="151"/>
        <v>1425.3449</v>
      </c>
      <c r="N211" s="77"/>
      <c r="O211" s="48">
        <f t="shared" si="170"/>
        <v>2736.662208</v>
      </c>
      <c r="P211" s="75"/>
      <c r="Q211" s="78"/>
      <c r="R211" s="46">
        <f t="shared" si="143"/>
        <v>2736.662208</v>
      </c>
      <c r="S211" s="46">
        <f t="shared" si="144"/>
        <v>1018.1035</v>
      </c>
      <c r="T211" s="46" t="b">
        <f t="shared" si="145"/>
        <v>1</v>
      </c>
      <c r="U211" s="46" t="b">
        <f t="shared" si="146"/>
        <v>0</v>
      </c>
    </row>
    <row r="212" s="69" customFormat="1" customHeight="1" outlineLevel="1" spans="1:21">
      <c r="A212" s="32">
        <v>156</v>
      </c>
      <c r="B212" s="32" t="s">
        <v>78</v>
      </c>
      <c r="C212" s="32" t="s">
        <v>242</v>
      </c>
      <c r="D212" s="32" t="s">
        <v>59</v>
      </c>
      <c r="E212" s="32">
        <v>1.28</v>
      </c>
      <c r="F212" s="72">
        <f t="shared" ref="F212:J212" si="173">F169</f>
        <v>165</v>
      </c>
      <c r="G212" s="48">
        <f t="shared" si="169"/>
        <v>315</v>
      </c>
      <c r="H212" s="72">
        <f t="shared" si="173"/>
        <v>300</v>
      </c>
      <c r="I212" s="49">
        <f t="shared" si="173"/>
        <v>0.05</v>
      </c>
      <c r="J212" s="48">
        <f t="shared" si="173"/>
        <v>135</v>
      </c>
      <c r="K212" s="48">
        <f>(F212+G212+J212)*$K$5</f>
        <v>36.9</v>
      </c>
      <c r="L212" s="48">
        <f>(F212+G212+J212+K212)*$L$5</f>
        <v>19.557</v>
      </c>
      <c r="M212" s="76">
        <f t="shared" si="151"/>
        <v>940.0398</v>
      </c>
      <c r="N212" s="77"/>
      <c r="O212" s="48">
        <f t="shared" si="170"/>
        <v>1203.250944</v>
      </c>
      <c r="P212" s="75" t="str">
        <f>P199</f>
        <v>厂家定制</v>
      </c>
      <c r="Q212" s="78"/>
      <c r="R212" s="46">
        <f t="shared" si="143"/>
        <v>1203.250944</v>
      </c>
      <c r="S212" s="46">
        <f t="shared" si="144"/>
        <v>671.457</v>
      </c>
      <c r="T212" s="46" t="b">
        <f t="shared" si="145"/>
        <v>1</v>
      </c>
      <c r="U212" s="46" t="b">
        <f t="shared" si="146"/>
        <v>0</v>
      </c>
    </row>
    <row r="213" s="69" customFormat="1" customHeight="1" outlineLevel="1" spans="1:21">
      <c r="A213" s="32">
        <v>157</v>
      </c>
      <c r="B213" s="32" t="s">
        <v>170</v>
      </c>
      <c r="C213" s="32" t="s">
        <v>243</v>
      </c>
      <c r="D213" s="32" t="s">
        <v>91</v>
      </c>
      <c r="E213" s="32">
        <v>1</v>
      </c>
      <c r="F213" s="72">
        <f t="shared" ref="F213:J213" si="174">F170</f>
        <v>300</v>
      </c>
      <c r="G213" s="48">
        <f t="shared" si="169"/>
        <v>1111</v>
      </c>
      <c r="H213" s="72">
        <f t="shared" si="174"/>
        <v>1100</v>
      </c>
      <c r="I213" s="49">
        <f t="shared" si="174"/>
        <v>0.01</v>
      </c>
      <c r="J213" s="48">
        <f t="shared" si="174"/>
        <v>310</v>
      </c>
      <c r="K213" s="48">
        <f>(F213+G213+J213)*$K$5</f>
        <v>103.26</v>
      </c>
      <c r="L213" s="48">
        <f>(F213+G213+J213+K213)*$L$5</f>
        <v>54.7278</v>
      </c>
      <c r="M213" s="76">
        <f t="shared" si="151"/>
        <v>2630.58292</v>
      </c>
      <c r="N213" s="77"/>
      <c r="O213" s="48">
        <f t="shared" si="170"/>
        <v>2630.58292</v>
      </c>
      <c r="P213" s="75" t="str">
        <f>P199</f>
        <v>厂家定制</v>
      </c>
      <c r="Q213" s="78"/>
      <c r="R213" s="46">
        <f t="shared" si="143"/>
        <v>2630.58292</v>
      </c>
      <c r="S213" s="46">
        <f t="shared" si="144"/>
        <v>1878.9878</v>
      </c>
      <c r="T213" s="46" t="b">
        <f t="shared" si="145"/>
        <v>1</v>
      </c>
      <c r="U213" s="46" t="b">
        <f t="shared" si="146"/>
        <v>0</v>
      </c>
    </row>
    <row r="214" s="69" customFormat="1" customHeight="1" spans="1:21">
      <c r="A214" s="32"/>
      <c r="B214" s="32" t="s">
        <v>259</v>
      </c>
      <c r="C214" s="32"/>
      <c r="D214" s="32"/>
      <c r="E214" s="32"/>
      <c r="F214" s="72"/>
      <c r="G214" s="48"/>
      <c r="H214" s="72"/>
      <c r="I214" s="49"/>
      <c r="J214" s="48"/>
      <c r="K214" s="48"/>
      <c r="L214" s="48"/>
      <c r="M214" s="76">
        <f t="shared" si="151"/>
        <v>0</v>
      </c>
      <c r="N214" s="77"/>
      <c r="O214" s="48"/>
      <c r="P214" s="75"/>
      <c r="Q214" s="78"/>
      <c r="R214" s="46">
        <f t="shared" si="143"/>
        <v>0</v>
      </c>
      <c r="S214" s="46">
        <f t="shared" si="144"/>
        <v>0</v>
      </c>
      <c r="T214" s="46" t="b">
        <f t="shared" si="145"/>
        <v>1</v>
      </c>
      <c r="U214" s="46" t="b">
        <f t="shared" si="146"/>
        <v>1</v>
      </c>
    </row>
    <row r="215" s="69" customFormat="1" customHeight="1" outlineLevel="1" spans="1:21">
      <c r="A215" s="32">
        <v>158</v>
      </c>
      <c r="B215" s="32" t="s">
        <v>187</v>
      </c>
      <c r="C215" s="32" t="s">
        <v>254</v>
      </c>
      <c r="D215" s="32" t="s">
        <v>59</v>
      </c>
      <c r="E215" s="32">
        <v>38.28</v>
      </c>
      <c r="F215" s="72">
        <f>F182</f>
        <v>30</v>
      </c>
      <c r="G215" s="48">
        <f t="shared" ref="G215:G219" si="175">H215*(1+I215)</f>
        <v>15.75</v>
      </c>
      <c r="H215" s="72">
        <f>H182</f>
        <v>15</v>
      </c>
      <c r="I215" s="49">
        <f>I106</f>
        <v>0.05</v>
      </c>
      <c r="J215" s="48">
        <f>J182</f>
        <v>8</v>
      </c>
      <c r="K215" s="48">
        <f>(F215+G215+J215)*$K$5</f>
        <v>3.225</v>
      </c>
      <c r="L215" s="48">
        <f>(F215+G215+J215+K215)*$L$5</f>
        <v>1.70925</v>
      </c>
      <c r="M215" s="76">
        <f t="shared" si="151"/>
        <v>82.15795</v>
      </c>
      <c r="N215" s="77"/>
      <c r="O215" s="48">
        <f t="shared" ref="O215:O219" si="176">M215*E215</f>
        <v>3145.006326</v>
      </c>
      <c r="P215" s="75" t="str">
        <f>P182</f>
        <v>立邦</v>
      </c>
      <c r="Q215" s="78"/>
      <c r="R215" s="46">
        <f t="shared" si="143"/>
        <v>3145.006326</v>
      </c>
      <c r="S215" s="46">
        <f t="shared" si="144"/>
        <v>58.68425</v>
      </c>
      <c r="T215" s="46" t="b">
        <f t="shared" si="145"/>
        <v>1</v>
      </c>
      <c r="U215" s="46" t="b">
        <f t="shared" si="146"/>
        <v>0</v>
      </c>
    </row>
    <row r="216" s="69" customFormat="1" customHeight="1" outlineLevel="1" spans="1:21">
      <c r="A216" s="32">
        <v>159</v>
      </c>
      <c r="B216" s="32" t="s">
        <v>189</v>
      </c>
      <c r="C216" s="32" t="s">
        <v>198</v>
      </c>
      <c r="D216" s="32" t="s">
        <v>94</v>
      </c>
      <c r="E216" s="32">
        <v>12.07</v>
      </c>
      <c r="F216" s="72">
        <f t="shared" ref="F216:J216" si="177">F190</f>
        <v>15</v>
      </c>
      <c r="G216" s="48">
        <f t="shared" si="175"/>
        <v>29.4</v>
      </c>
      <c r="H216" s="72">
        <f t="shared" si="177"/>
        <v>28</v>
      </c>
      <c r="I216" s="49">
        <f t="shared" si="177"/>
        <v>0.05</v>
      </c>
      <c r="J216" s="48">
        <f t="shared" si="177"/>
        <v>1</v>
      </c>
      <c r="K216" s="48">
        <f>(F216+G216+J216)*$K$5</f>
        <v>2.724</v>
      </c>
      <c r="L216" s="48">
        <f>(F216+G216+J216+K216)*$L$5</f>
        <v>1.44372</v>
      </c>
      <c r="M216" s="76">
        <f t="shared" si="151"/>
        <v>69.394808</v>
      </c>
      <c r="N216" s="77"/>
      <c r="O216" s="48">
        <f t="shared" si="176"/>
        <v>837.59533256</v>
      </c>
      <c r="P216" s="75"/>
      <c r="Q216" s="78"/>
      <c r="R216" s="46">
        <f t="shared" si="143"/>
        <v>837.59533256</v>
      </c>
      <c r="S216" s="46">
        <f t="shared" si="144"/>
        <v>49.56772</v>
      </c>
      <c r="T216" s="46" t="b">
        <f t="shared" si="145"/>
        <v>1</v>
      </c>
      <c r="U216" s="46" t="b">
        <f t="shared" si="146"/>
        <v>0</v>
      </c>
    </row>
    <row r="217" s="69" customFormat="1" customHeight="1" outlineLevel="1" spans="1:21">
      <c r="A217" s="32">
        <v>160</v>
      </c>
      <c r="B217" s="32" t="s">
        <v>200</v>
      </c>
      <c r="C217" s="32" t="s">
        <v>241</v>
      </c>
      <c r="D217" s="32" t="s">
        <v>59</v>
      </c>
      <c r="E217" s="32">
        <v>1.92</v>
      </c>
      <c r="F217" s="72">
        <f t="shared" ref="F217:J217" si="178">F168</f>
        <v>150</v>
      </c>
      <c r="G217" s="48">
        <f t="shared" si="175"/>
        <v>682.5</v>
      </c>
      <c r="H217" s="72">
        <f t="shared" si="178"/>
        <v>650</v>
      </c>
      <c r="I217" s="49">
        <f t="shared" si="178"/>
        <v>0.05</v>
      </c>
      <c r="J217" s="48">
        <f t="shared" si="178"/>
        <v>100</v>
      </c>
      <c r="K217" s="48">
        <f>(F217+G217+J217)*$K$5</f>
        <v>55.95</v>
      </c>
      <c r="L217" s="48">
        <f>(F217+G217+J217+K217)*$L$5</f>
        <v>29.6535</v>
      </c>
      <c r="M217" s="76">
        <f t="shared" si="151"/>
        <v>1425.3449</v>
      </c>
      <c r="N217" s="77"/>
      <c r="O217" s="48">
        <f t="shared" si="176"/>
        <v>2736.662208</v>
      </c>
      <c r="P217" s="75"/>
      <c r="Q217" s="78"/>
      <c r="R217" s="46">
        <f t="shared" si="143"/>
        <v>2736.662208</v>
      </c>
      <c r="S217" s="46">
        <f t="shared" si="144"/>
        <v>1018.1035</v>
      </c>
      <c r="T217" s="46" t="b">
        <f t="shared" si="145"/>
        <v>1</v>
      </c>
      <c r="U217" s="46" t="b">
        <f t="shared" si="146"/>
        <v>0</v>
      </c>
    </row>
    <row r="218" s="69" customFormat="1" customHeight="1" outlineLevel="1" spans="1:21">
      <c r="A218" s="32">
        <v>161</v>
      </c>
      <c r="B218" s="32" t="s">
        <v>78</v>
      </c>
      <c r="C218" s="32" t="s">
        <v>242</v>
      </c>
      <c r="D218" s="32" t="s">
        <v>59</v>
      </c>
      <c r="E218" s="32">
        <v>1.28</v>
      </c>
      <c r="F218" s="72">
        <f t="shared" ref="F218:J218" si="179">F169</f>
        <v>165</v>
      </c>
      <c r="G218" s="48">
        <f t="shared" si="175"/>
        <v>315</v>
      </c>
      <c r="H218" s="72">
        <f t="shared" si="179"/>
        <v>300</v>
      </c>
      <c r="I218" s="49">
        <f t="shared" si="179"/>
        <v>0.05</v>
      </c>
      <c r="J218" s="48">
        <f t="shared" si="179"/>
        <v>135</v>
      </c>
      <c r="K218" s="48">
        <f>(F218+G218+J218)*$K$5</f>
        <v>36.9</v>
      </c>
      <c r="L218" s="48">
        <f>(F218+G218+J218+K218)*$L$5</f>
        <v>19.557</v>
      </c>
      <c r="M218" s="76">
        <f t="shared" si="151"/>
        <v>940.0398</v>
      </c>
      <c r="N218" s="77"/>
      <c r="O218" s="48">
        <f t="shared" si="176"/>
        <v>1203.250944</v>
      </c>
      <c r="P218" s="75" t="str">
        <f>P199</f>
        <v>厂家定制</v>
      </c>
      <c r="Q218" s="78"/>
      <c r="R218" s="46">
        <f t="shared" si="143"/>
        <v>1203.250944</v>
      </c>
      <c r="S218" s="46">
        <f t="shared" si="144"/>
        <v>671.457</v>
      </c>
      <c r="T218" s="46" t="b">
        <f t="shared" si="145"/>
        <v>1</v>
      </c>
      <c r="U218" s="46" t="b">
        <f t="shared" si="146"/>
        <v>0</v>
      </c>
    </row>
    <row r="219" s="69" customFormat="1" customHeight="1" outlineLevel="1" spans="1:21">
      <c r="A219" s="32">
        <v>162</v>
      </c>
      <c r="B219" s="32" t="s">
        <v>170</v>
      </c>
      <c r="C219" s="32" t="s">
        <v>243</v>
      </c>
      <c r="D219" s="32" t="s">
        <v>91</v>
      </c>
      <c r="E219" s="32">
        <v>1</v>
      </c>
      <c r="F219" s="72">
        <f t="shared" ref="F219:J219" si="180">F170</f>
        <v>300</v>
      </c>
      <c r="G219" s="48">
        <f t="shared" si="175"/>
        <v>1111</v>
      </c>
      <c r="H219" s="72">
        <f t="shared" si="180"/>
        <v>1100</v>
      </c>
      <c r="I219" s="49">
        <f t="shared" si="180"/>
        <v>0.01</v>
      </c>
      <c r="J219" s="48">
        <f t="shared" si="180"/>
        <v>310</v>
      </c>
      <c r="K219" s="48">
        <f>(F219+G219+J219)*$K$5</f>
        <v>103.26</v>
      </c>
      <c r="L219" s="48">
        <f>(F219+G219+J219+K219)*$L$5</f>
        <v>54.7278</v>
      </c>
      <c r="M219" s="76">
        <f t="shared" si="151"/>
        <v>2630.58292</v>
      </c>
      <c r="N219" s="77"/>
      <c r="O219" s="48">
        <f t="shared" si="176"/>
        <v>2630.58292</v>
      </c>
      <c r="P219" s="75" t="str">
        <f>P200</f>
        <v>厂家定制</v>
      </c>
      <c r="Q219" s="78"/>
      <c r="R219" s="46">
        <f t="shared" si="143"/>
        <v>2630.58292</v>
      </c>
      <c r="S219" s="46">
        <f t="shared" si="144"/>
        <v>1878.9878</v>
      </c>
      <c r="T219" s="46" t="b">
        <f t="shared" si="145"/>
        <v>1</v>
      </c>
      <c r="U219" s="46" t="b">
        <f t="shared" si="146"/>
        <v>0</v>
      </c>
    </row>
    <row r="220" s="69" customFormat="1" customHeight="1" spans="1:21">
      <c r="A220" s="32"/>
      <c r="B220" s="32" t="s">
        <v>260</v>
      </c>
      <c r="C220" s="32"/>
      <c r="D220" s="32"/>
      <c r="E220" s="32"/>
      <c r="F220" s="72"/>
      <c r="G220" s="48"/>
      <c r="H220" s="72"/>
      <c r="I220" s="49"/>
      <c r="J220" s="48"/>
      <c r="K220" s="48"/>
      <c r="L220" s="48"/>
      <c r="M220" s="76">
        <f t="shared" si="151"/>
        <v>0</v>
      </c>
      <c r="N220" s="77"/>
      <c r="O220" s="48"/>
      <c r="P220" s="75"/>
      <c r="Q220" s="78"/>
      <c r="R220" s="46">
        <f t="shared" si="143"/>
        <v>0</v>
      </c>
      <c r="S220" s="46">
        <f t="shared" si="144"/>
        <v>0</v>
      </c>
      <c r="T220" s="46" t="b">
        <f t="shared" si="145"/>
        <v>1</v>
      </c>
      <c r="U220" s="46" t="b">
        <f t="shared" si="146"/>
        <v>1</v>
      </c>
    </row>
    <row r="221" s="69" customFormat="1" customHeight="1" outlineLevel="1" spans="1:21">
      <c r="A221" s="32">
        <v>163</v>
      </c>
      <c r="B221" s="32" t="s">
        <v>187</v>
      </c>
      <c r="C221" s="32" t="s">
        <v>197</v>
      </c>
      <c r="D221" s="32" t="s">
        <v>59</v>
      </c>
      <c r="E221" s="32">
        <v>64.69</v>
      </c>
      <c r="F221" s="72">
        <f t="shared" ref="F221:J221" si="181">F106</f>
        <v>35</v>
      </c>
      <c r="G221" s="48">
        <f t="shared" ref="G221:G225" si="182">H221*(1+I221)</f>
        <v>26.25</v>
      </c>
      <c r="H221" s="72">
        <f t="shared" si="181"/>
        <v>25</v>
      </c>
      <c r="I221" s="49">
        <f t="shared" si="181"/>
        <v>0.05</v>
      </c>
      <c r="J221" s="48">
        <f t="shared" si="181"/>
        <v>15</v>
      </c>
      <c r="K221" s="48">
        <f>(F221+G221+J221)*$K$5</f>
        <v>4.575</v>
      </c>
      <c r="L221" s="48">
        <f>(F221+G221+J221+K221)*$L$5</f>
        <v>2.42475</v>
      </c>
      <c r="M221" s="76">
        <f t="shared" si="151"/>
        <v>116.54965</v>
      </c>
      <c r="N221" s="77"/>
      <c r="O221" s="48">
        <f t="shared" ref="O221:O225" si="183">M221*E221</f>
        <v>7539.5968585</v>
      </c>
      <c r="P221" s="75"/>
      <c r="Q221" s="78"/>
      <c r="R221" s="46">
        <f t="shared" si="143"/>
        <v>7539.5968585</v>
      </c>
      <c r="S221" s="46">
        <f t="shared" si="144"/>
        <v>83.24975</v>
      </c>
      <c r="T221" s="46" t="b">
        <f t="shared" si="145"/>
        <v>1</v>
      </c>
      <c r="U221" s="46" t="b">
        <f t="shared" si="146"/>
        <v>0</v>
      </c>
    </row>
    <row r="222" s="69" customFormat="1" customHeight="1" outlineLevel="1" spans="1:21">
      <c r="A222" s="32">
        <v>164</v>
      </c>
      <c r="B222" s="32" t="s">
        <v>189</v>
      </c>
      <c r="C222" s="32" t="s">
        <v>198</v>
      </c>
      <c r="D222" s="32" t="s">
        <v>94</v>
      </c>
      <c r="E222" s="32">
        <v>21.62</v>
      </c>
      <c r="F222" s="72">
        <f t="shared" ref="F222:J222" si="184">F197</f>
        <v>15</v>
      </c>
      <c r="G222" s="48">
        <f t="shared" si="182"/>
        <v>29.4</v>
      </c>
      <c r="H222" s="72">
        <f t="shared" si="184"/>
        <v>28</v>
      </c>
      <c r="I222" s="49">
        <f t="shared" si="184"/>
        <v>0.05</v>
      </c>
      <c r="J222" s="48">
        <f t="shared" si="184"/>
        <v>1</v>
      </c>
      <c r="K222" s="48">
        <f>(F222+G222+J222)*$K$5</f>
        <v>2.724</v>
      </c>
      <c r="L222" s="48">
        <f>(F222+G222+J222+K222)*$L$5</f>
        <v>1.44372</v>
      </c>
      <c r="M222" s="76">
        <f t="shared" ref="M222:M253" si="185">(F222+G222+J222+K222+L222)*1.4</f>
        <v>69.394808</v>
      </c>
      <c r="N222" s="77"/>
      <c r="O222" s="48">
        <f t="shared" si="183"/>
        <v>1500.31574896</v>
      </c>
      <c r="P222" s="75"/>
      <c r="Q222" s="78"/>
      <c r="R222" s="46">
        <f t="shared" si="143"/>
        <v>1500.31574896</v>
      </c>
      <c r="S222" s="46">
        <f t="shared" si="144"/>
        <v>49.56772</v>
      </c>
      <c r="T222" s="46" t="b">
        <f t="shared" si="145"/>
        <v>1</v>
      </c>
      <c r="U222" s="46" t="b">
        <f t="shared" si="146"/>
        <v>0</v>
      </c>
    </row>
    <row r="223" s="69" customFormat="1" customHeight="1" outlineLevel="1" spans="1:21">
      <c r="A223" s="32">
        <v>165</v>
      </c>
      <c r="B223" s="32" t="s">
        <v>172</v>
      </c>
      <c r="C223" s="32" t="s">
        <v>261</v>
      </c>
      <c r="D223" s="32" t="s">
        <v>59</v>
      </c>
      <c r="E223" s="32">
        <v>3.07</v>
      </c>
      <c r="F223" s="72">
        <f t="shared" ref="F223:J223" si="186">F90</f>
        <v>185</v>
      </c>
      <c r="G223" s="48">
        <f t="shared" si="182"/>
        <v>336</v>
      </c>
      <c r="H223" s="72">
        <f t="shared" si="186"/>
        <v>320</v>
      </c>
      <c r="I223" s="49">
        <f t="shared" si="186"/>
        <v>0.05</v>
      </c>
      <c r="J223" s="48">
        <f t="shared" si="186"/>
        <v>35</v>
      </c>
      <c r="K223" s="48">
        <f>(F223+G223+J223)*$K$5</f>
        <v>33.36</v>
      </c>
      <c r="L223" s="48">
        <f>(F223+G223+J223+K223)*$L$5</f>
        <v>17.6808</v>
      </c>
      <c r="M223" s="76">
        <f t="shared" si="185"/>
        <v>849.85712</v>
      </c>
      <c r="N223" s="77"/>
      <c r="O223" s="48">
        <f t="shared" si="183"/>
        <v>2609.0613584</v>
      </c>
      <c r="P223" s="75"/>
      <c r="Q223" s="78"/>
      <c r="R223" s="46">
        <f t="shared" si="143"/>
        <v>2609.0613584</v>
      </c>
      <c r="S223" s="46">
        <f t="shared" si="144"/>
        <v>607.0408</v>
      </c>
      <c r="T223" s="46" t="b">
        <f t="shared" si="145"/>
        <v>1</v>
      </c>
      <c r="U223" s="46" t="b">
        <f t="shared" si="146"/>
        <v>0</v>
      </c>
    </row>
    <row r="224" s="69" customFormat="1" customHeight="1" outlineLevel="1" spans="1:21">
      <c r="A224" s="32">
        <v>166</v>
      </c>
      <c r="B224" s="32" t="s">
        <v>228</v>
      </c>
      <c r="C224" s="32" t="s">
        <v>262</v>
      </c>
      <c r="D224" s="32" t="s">
        <v>59</v>
      </c>
      <c r="E224" s="32">
        <v>2.76</v>
      </c>
      <c r="F224" s="72">
        <f t="shared" ref="F224:J224" si="187">F155</f>
        <v>150</v>
      </c>
      <c r="G224" s="48">
        <f t="shared" si="182"/>
        <v>141.75</v>
      </c>
      <c r="H224" s="72">
        <f t="shared" si="187"/>
        <v>135</v>
      </c>
      <c r="I224" s="49">
        <f t="shared" si="187"/>
        <v>0.05</v>
      </c>
      <c r="J224" s="48">
        <f t="shared" si="187"/>
        <v>85</v>
      </c>
      <c r="K224" s="48">
        <f>(F224+G224+J224)*$K$5</f>
        <v>22.605</v>
      </c>
      <c r="L224" s="48">
        <f>(F224+G224+J224+K224)*$L$5</f>
        <v>11.98065</v>
      </c>
      <c r="M224" s="76">
        <f t="shared" si="185"/>
        <v>575.86991</v>
      </c>
      <c r="N224" s="77"/>
      <c r="O224" s="48">
        <f t="shared" si="183"/>
        <v>1589.4009516</v>
      </c>
      <c r="P224" s="75"/>
      <c r="Q224" s="78"/>
      <c r="R224" s="46">
        <f t="shared" si="143"/>
        <v>1589.4009516</v>
      </c>
      <c r="S224" s="46">
        <f t="shared" si="144"/>
        <v>411.33565</v>
      </c>
      <c r="T224" s="46" t="b">
        <f t="shared" si="145"/>
        <v>1</v>
      </c>
      <c r="U224" s="46" t="b">
        <f t="shared" si="146"/>
        <v>0</v>
      </c>
    </row>
    <row r="225" s="70" customFormat="1" customHeight="1" outlineLevel="1" spans="1:21">
      <c r="A225" s="32">
        <v>167</v>
      </c>
      <c r="B225" s="32" t="s">
        <v>263</v>
      </c>
      <c r="C225" s="32" t="s">
        <v>264</v>
      </c>
      <c r="D225" s="32" t="s">
        <v>265</v>
      </c>
      <c r="E225" s="32">
        <v>1</v>
      </c>
      <c r="F225" s="72">
        <v>10000</v>
      </c>
      <c r="G225" s="48">
        <f t="shared" si="182"/>
        <v>191900</v>
      </c>
      <c r="H225" s="72">
        <v>190000</v>
      </c>
      <c r="I225" s="49">
        <v>0.01</v>
      </c>
      <c r="J225" s="48">
        <v>50</v>
      </c>
      <c r="K225" s="48">
        <f>(F225+G225+J225)*$K$5</f>
        <v>12117</v>
      </c>
      <c r="L225" s="48">
        <f>(F225+G225+J225+K225)*$L$5</f>
        <v>6422.01</v>
      </c>
      <c r="M225" s="76">
        <f t="shared" si="185"/>
        <v>308684.614</v>
      </c>
      <c r="N225" s="77"/>
      <c r="O225" s="48">
        <f t="shared" si="183"/>
        <v>308684.614</v>
      </c>
      <c r="P225" s="75"/>
      <c r="Q225" s="78"/>
      <c r="R225" s="46">
        <f t="shared" si="143"/>
        <v>308684.614</v>
      </c>
      <c r="S225" s="46">
        <f t="shared" si="144"/>
        <v>220489.01</v>
      </c>
      <c r="T225" s="46" t="b">
        <f t="shared" si="145"/>
        <v>1</v>
      </c>
      <c r="U225" s="46" t="b">
        <f t="shared" si="146"/>
        <v>0</v>
      </c>
    </row>
    <row r="226" s="69" customFormat="1" customHeight="1" spans="1:21">
      <c r="A226" s="32"/>
      <c r="B226" s="32" t="s">
        <v>266</v>
      </c>
      <c r="C226" s="32"/>
      <c r="D226" s="32"/>
      <c r="E226" s="32"/>
      <c r="F226" s="72"/>
      <c r="G226" s="48"/>
      <c r="H226" s="72"/>
      <c r="I226" s="49"/>
      <c r="J226" s="48"/>
      <c r="K226" s="48"/>
      <c r="L226" s="48"/>
      <c r="M226" s="76">
        <f t="shared" si="185"/>
        <v>0</v>
      </c>
      <c r="N226" s="77"/>
      <c r="O226" s="48"/>
      <c r="P226" s="75"/>
      <c r="Q226" s="78"/>
      <c r="R226" s="46">
        <f t="shared" si="143"/>
        <v>0</v>
      </c>
      <c r="S226" s="46">
        <f t="shared" si="144"/>
        <v>0</v>
      </c>
      <c r="T226" s="46" t="b">
        <f t="shared" si="145"/>
        <v>1</v>
      </c>
      <c r="U226" s="46" t="b">
        <f t="shared" si="146"/>
        <v>1</v>
      </c>
    </row>
    <row r="227" s="69" customFormat="1" customHeight="1" outlineLevel="1" spans="1:21">
      <c r="A227" s="32">
        <v>168</v>
      </c>
      <c r="B227" s="32" t="s">
        <v>187</v>
      </c>
      <c r="C227" s="32" t="s">
        <v>197</v>
      </c>
      <c r="D227" s="32" t="s">
        <v>59</v>
      </c>
      <c r="E227" s="32">
        <v>43.65</v>
      </c>
      <c r="F227" s="72">
        <f>F106</f>
        <v>35</v>
      </c>
      <c r="G227" s="48">
        <f t="shared" ref="G227:G229" si="188">H227*(1+I227)</f>
        <v>26.25</v>
      </c>
      <c r="H227" s="72">
        <f t="shared" ref="F227:J227" si="189">H106</f>
        <v>25</v>
      </c>
      <c r="I227" s="49">
        <f t="shared" si="189"/>
        <v>0.05</v>
      </c>
      <c r="J227" s="48">
        <f t="shared" si="189"/>
        <v>15</v>
      </c>
      <c r="K227" s="48">
        <f>(F227+G227+J227)*$K$5</f>
        <v>4.575</v>
      </c>
      <c r="L227" s="48">
        <f>(F227+G227+J227+K227)*$L$5</f>
        <v>2.42475</v>
      </c>
      <c r="M227" s="76">
        <f t="shared" si="185"/>
        <v>116.54965</v>
      </c>
      <c r="N227" s="77"/>
      <c r="O227" s="48">
        <f t="shared" ref="O227:O229" si="190">M227*E227</f>
        <v>5087.3922225</v>
      </c>
      <c r="P227" s="75"/>
      <c r="Q227" s="78"/>
      <c r="R227" s="46">
        <f t="shared" si="143"/>
        <v>5087.3922225</v>
      </c>
      <c r="S227" s="46">
        <f t="shared" si="144"/>
        <v>83.24975</v>
      </c>
      <c r="T227" s="46" t="b">
        <f t="shared" si="145"/>
        <v>1</v>
      </c>
      <c r="U227" s="46" t="b">
        <f t="shared" si="146"/>
        <v>0</v>
      </c>
    </row>
    <row r="228" s="69" customFormat="1" customHeight="1" outlineLevel="1" spans="1:21">
      <c r="A228" s="32">
        <v>169</v>
      </c>
      <c r="B228" s="32" t="s">
        <v>189</v>
      </c>
      <c r="C228" s="32" t="s">
        <v>198</v>
      </c>
      <c r="D228" s="32" t="s">
        <v>94</v>
      </c>
      <c r="E228" s="32">
        <v>13.99</v>
      </c>
      <c r="F228" s="72">
        <f t="shared" ref="F228:J228" si="191">F204</f>
        <v>15</v>
      </c>
      <c r="G228" s="48">
        <f t="shared" si="188"/>
        <v>29.4</v>
      </c>
      <c r="H228" s="72">
        <f t="shared" si="191"/>
        <v>28</v>
      </c>
      <c r="I228" s="49">
        <f t="shared" si="191"/>
        <v>0.05</v>
      </c>
      <c r="J228" s="48">
        <f t="shared" si="191"/>
        <v>1</v>
      </c>
      <c r="K228" s="48">
        <f>(F228+G228+J228)*$K$5</f>
        <v>2.724</v>
      </c>
      <c r="L228" s="48">
        <f>(F228+G228+J228+K228)*$L$5</f>
        <v>1.44372</v>
      </c>
      <c r="M228" s="76">
        <f t="shared" si="185"/>
        <v>69.394808</v>
      </c>
      <c r="N228" s="77"/>
      <c r="O228" s="48">
        <f t="shared" si="190"/>
        <v>970.83336392</v>
      </c>
      <c r="P228" s="75"/>
      <c r="Q228" s="78"/>
      <c r="R228" s="46">
        <f t="shared" si="143"/>
        <v>970.83336392</v>
      </c>
      <c r="S228" s="46">
        <f t="shared" si="144"/>
        <v>49.56772</v>
      </c>
      <c r="T228" s="46" t="b">
        <f t="shared" si="145"/>
        <v>1</v>
      </c>
      <c r="U228" s="46" t="b">
        <f t="shared" si="146"/>
        <v>0</v>
      </c>
    </row>
    <row r="229" s="69" customFormat="1" customHeight="1" outlineLevel="1" spans="1:21">
      <c r="A229" s="32">
        <v>170</v>
      </c>
      <c r="B229" s="32" t="s">
        <v>267</v>
      </c>
      <c r="C229" s="32" t="s">
        <v>268</v>
      </c>
      <c r="D229" s="32" t="s">
        <v>59</v>
      </c>
      <c r="E229" s="32">
        <v>20.4</v>
      </c>
      <c r="F229" s="72">
        <f t="shared" ref="F229:J229" si="192">F269</f>
        <v>150</v>
      </c>
      <c r="G229" s="48">
        <f t="shared" si="188"/>
        <v>472.5</v>
      </c>
      <c r="H229" s="72">
        <f t="shared" si="192"/>
        <v>450</v>
      </c>
      <c r="I229" s="49">
        <f t="shared" si="192"/>
        <v>0.05</v>
      </c>
      <c r="J229" s="48">
        <f t="shared" si="192"/>
        <v>75</v>
      </c>
      <c r="K229" s="48">
        <f>(F229+G229+J229)*$K$5</f>
        <v>41.85</v>
      </c>
      <c r="L229" s="48">
        <f>(F229+G229+J229+K229)*$L$5</f>
        <v>22.1805</v>
      </c>
      <c r="M229" s="76">
        <f t="shared" si="185"/>
        <v>1066.1427</v>
      </c>
      <c r="N229" s="77"/>
      <c r="O229" s="48">
        <f t="shared" si="190"/>
        <v>21749.31108</v>
      </c>
      <c r="P229" s="75"/>
      <c r="Q229" s="78"/>
      <c r="R229" s="46">
        <f t="shared" si="143"/>
        <v>21749.31108</v>
      </c>
      <c r="S229" s="46">
        <f t="shared" si="144"/>
        <v>761.5305</v>
      </c>
      <c r="T229" s="46" t="b">
        <f t="shared" si="145"/>
        <v>1</v>
      </c>
      <c r="U229" s="46" t="b">
        <f t="shared" si="146"/>
        <v>0</v>
      </c>
    </row>
    <row r="230" s="69" customFormat="1" customHeight="1" spans="1:21">
      <c r="A230" s="32"/>
      <c r="B230" s="32" t="s">
        <v>269</v>
      </c>
      <c r="C230" s="32"/>
      <c r="D230" s="32"/>
      <c r="E230" s="32"/>
      <c r="F230" s="72"/>
      <c r="G230" s="48"/>
      <c r="H230" s="72"/>
      <c r="I230" s="49"/>
      <c r="J230" s="48"/>
      <c r="K230" s="48"/>
      <c r="L230" s="48"/>
      <c r="M230" s="76">
        <f t="shared" si="185"/>
        <v>0</v>
      </c>
      <c r="N230" s="77"/>
      <c r="O230" s="48"/>
      <c r="P230" s="75"/>
      <c r="Q230" s="78"/>
      <c r="R230" s="46">
        <f t="shared" si="143"/>
        <v>0</v>
      </c>
      <c r="S230" s="46">
        <f t="shared" si="144"/>
        <v>0</v>
      </c>
      <c r="T230" s="46" t="b">
        <f t="shared" si="145"/>
        <v>1</v>
      </c>
      <c r="U230" s="46" t="b">
        <f t="shared" si="146"/>
        <v>1</v>
      </c>
    </row>
    <row r="231" s="69" customFormat="1" customHeight="1" outlineLevel="1" spans="1:21">
      <c r="A231" s="32">
        <v>171</v>
      </c>
      <c r="B231" s="32" t="s">
        <v>187</v>
      </c>
      <c r="C231" s="32" t="s">
        <v>197</v>
      </c>
      <c r="D231" s="32" t="s">
        <v>59</v>
      </c>
      <c r="E231" s="32">
        <v>44.41</v>
      </c>
      <c r="F231" s="72">
        <f t="shared" ref="F231:J231" si="193">F106</f>
        <v>35</v>
      </c>
      <c r="G231" s="48">
        <f t="shared" ref="G231:G233" si="194">H231*(1+I231)</f>
        <v>26.25</v>
      </c>
      <c r="H231" s="72">
        <f t="shared" si="193"/>
        <v>25</v>
      </c>
      <c r="I231" s="49">
        <f t="shared" si="193"/>
        <v>0.05</v>
      </c>
      <c r="J231" s="48">
        <f t="shared" si="193"/>
        <v>15</v>
      </c>
      <c r="K231" s="48">
        <f>(F231+G231+J231)*$K$5</f>
        <v>4.575</v>
      </c>
      <c r="L231" s="48">
        <f>(F231+G231+J231+K231)*$L$5</f>
        <v>2.42475</v>
      </c>
      <c r="M231" s="76">
        <f t="shared" si="185"/>
        <v>116.54965</v>
      </c>
      <c r="N231" s="77"/>
      <c r="O231" s="48">
        <f t="shared" ref="O231:O233" si="195">M231*E231</f>
        <v>5175.9699565</v>
      </c>
      <c r="P231" s="75"/>
      <c r="Q231" s="78"/>
      <c r="R231" s="46">
        <f t="shared" si="143"/>
        <v>5175.9699565</v>
      </c>
      <c r="S231" s="46">
        <f t="shared" si="144"/>
        <v>83.24975</v>
      </c>
      <c r="T231" s="46" t="b">
        <f t="shared" si="145"/>
        <v>1</v>
      </c>
      <c r="U231" s="46" t="b">
        <f t="shared" si="146"/>
        <v>0</v>
      </c>
    </row>
    <row r="232" s="69" customFormat="1" customHeight="1" outlineLevel="1" spans="1:21">
      <c r="A232" s="32">
        <v>172</v>
      </c>
      <c r="B232" s="32" t="s">
        <v>189</v>
      </c>
      <c r="C232" s="32" t="s">
        <v>198</v>
      </c>
      <c r="D232" s="32" t="s">
        <v>94</v>
      </c>
      <c r="E232" s="32">
        <v>14.24</v>
      </c>
      <c r="F232" s="72">
        <f t="shared" ref="F232:J232" si="196">F210</f>
        <v>15</v>
      </c>
      <c r="G232" s="48">
        <f t="shared" si="194"/>
        <v>29.4</v>
      </c>
      <c r="H232" s="72">
        <f t="shared" si="196"/>
        <v>28</v>
      </c>
      <c r="I232" s="49">
        <f t="shared" si="196"/>
        <v>0.05</v>
      </c>
      <c r="J232" s="48">
        <f t="shared" si="196"/>
        <v>1</v>
      </c>
      <c r="K232" s="48">
        <f>(F232+G232+J232)*$K$5</f>
        <v>2.724</v>
      </c>
      <c r="L232" s="48">
        <f>(F232+G232+J232+K232)*$L$5</f>
        <v>1.44372</v>
      </c>
      <c r="M232" s="76">
        <f t="shared" si="185"/>
        <v>69.394808</v>
      </c>
      <c r="N232" s="77"/>
      <c r="O232" s="48">
        <f t="shared" si="195"/>
        <v>988.18206592</v>
      </c>
      <c r="P232" s="75"/>
      <c r="Q232" s="78"/>
      <c r="R232" s="46">
        <f t="shared" si="143"/>
        <v>988.18206592</v>
      </c>
      <c r="S232" s="46">
        <f t="shared" si="144"/>
        <v>49.56772</v>
      </c>
      <c r="T232" s="46" t="b">
        <f t="shared" si="145"/>
        <v>1</v>
      </c>
      <c r="U232" s="46" t="b">
        <f t="shared" si="146"/>
        <v>0</v>
      </c>
    </row>
    <row r="233" s="69" customFormat="1" customHeight="1" outlineLevel="1" spans="1:21">
      <c r="A233" s="32">
        <v>173</v>
      </c>
      <c r="B233" s="32" t="s">
        <v>200</v>
      </c>
      <c r="C233" s="32" t="s">
        <v>270</v>
      </c>
      <c r="D233" s="32" t="s">
        <v>91</v>
      </c>
      <c r="E233" s="32">
        <v>1</v>
      </c>
      <c r="F233" s="72">
        <v>300</v>
      </c>
      <c r="G233" s="48">
        <f t="shared" si="194"/>
        <v>3383.5</v>
      </c>
      <c r="H233" s="72">
        <v>3350</v>
      </c>
      <c r="I233" s="49">
        <v>0.01</v>
      </c>
      <c r="J233" s="48">
        <v>265</v>
      </c>
      <c r="K233" s="48">
        <f>(F233+G233+J233)*$K$5</f>
        <v>236.91</v>
      </c>
      <c r="L233" s="48">
        <f>(F233+G233+J233+K233)*$L$5</f>
        <v>125.5623</v>
      </c>
      <c r="M233" s="53">
        <f t="shared" si="185"/>
        <v>6035.36122</v>
      </c>
      <c r="N233" s="54"/>
      <c r="O233" s="48">
        <f t="shared" si="195"/>
        <v>6035.36122</v>
      </c>
      <c r="P233" s="75"/>
      <c r="Q233" s="78"/>
      <c r="R233" s="46">
        <f t="shared" si="143"/>
        <v>6035.36122</v>
      </c>
      <c r="S233" s="46">
        <f t="shared" si="144"/>
        <v>4310.9723</v>
      </c>
      <c r="T233" s="46" t="b">
        <f t="shared" si="145"/>
        <v>1</v>
      </c>
      <c r="U233" s="46" t="b">
        <f t="shared" si="146"/>
        <v>0</v>
      </c>
    </row>
    <row r="234" s="69" customFormat="1" customHeight="1" outlineLevel="1" spans="1:21">
      <c r="A234" s="32"/>
      <c r="B234" s="32"/>
      <c r="C234" s="32"/>
      <c r="D234" s="32"/>
      <c r="E234" s="32"/>
      <c r="F234" s="72"/>
      <c r="G234" s="48"/>
      <c r="H234" s="72"/>
      <c r="I234" s="49"/>
      <c r="J234" s="48"/>
      <c r="K234" s="48"/>
      <c r="L234" s="48"/>
      <c r="M234" s="65"/>
      <c r="N234" s="66"/>
      <c r="O234" s="48"/>
      <c r="P234" s="75"/>
      <c r="Q234" s="78"/>
      <c r="R234" s="46">
        <f t="shared" si="143"/>
        <v>0</v>
      </c>
      <c r="S234" s="46">
        <f t="shared" si="144"/>
        <v>0</v>
      </c>
      <c r="T234" s="46" t="b">
        <f t="shared" si="145"/>
        <v>1</v>
      </c>
      <c r="U234" s="46" t="b">
        <f t="shared" si="146"/>
        <v>1</v>
      </c>
    </row>
    <row r="235" s="69" customFormat="1" customHeight="1" spans="1:21">
      <c r="A235" s="32"/>
      <c r="B235" s="32" t="s">
        <v>271</v>
      </c>
      <c r="C235" s="32"/>
      <c r="D235" s="32"/>
      <c r="E235" s="32"/>
      <c r="F235" s="72"/>
      <c r="G235" s="48"/>
      <c r="H235" s="72"/>
      <c r="I235" s="49"/>
      <c r="J235" s="48"/>
      <c r="K235" s="48"/>
      <c r="L235" s="48"/>
      <c r="M235" s="76">
        <f t="shared" si="185"/>
        <v>0</v>
      </c>
      <c r="N235" s="77"/>
      <c r="O235" s="48"/>
      <c r="P235" s="75"/>
      <c r="Q235" s="78"/>
      <c r="R235" s="46">
        <f t="shared" si="143"/>
        <v>0</v>
      </c>
      <c r="S235" s="46">
        <f t="shared" si="144"/>
        <v>0</v>
      </c>
      <c r="T235" s="46" t="b">
        <f t="shared" si="145"/>
        <v>1</v>
      </c>
      <c r="U235" s="46" t="b">
        <f t="shared" si="146"/>
        <v>1</v>
      </c>
    </row>
    <row r="236" s="69" customFormat="1" customHeight="1" outlineLevel="1" spans="1:21">
      <c r="A236" s="32">
        <v>174</v>
      </c>
      <c r="B236" s="32" t="s">
        <v>187</v>
      </c>
      <c r="C236" s="32" t="s">
        <v>197</v>
      </c>
      <c r="D236" s="32" t="s">
        <v>59</v>
      </c>
      <c r="E236" s="32">
        <v>28.11</v>
      </c>
      <c r="F236" s="72">
        <f t="shared" ref="F236:J236" si="197">F106</f>
        <v>35</v>
      </c>
      <c r="G236" s="48">
        <f t="shared" ref="G236:G239" si="198">H236*(1+I236)</f>
        <v>26.25</v>
      </c>
      <c r="H236" s="72">
        <f t="shared" si="197"/>
        <v>25</v>
      </c>
      <c r="I236" s="49">
        <f t="shared" si="197"/>
        <v>0.05</v>
      </c>
      <c r="J236" s="48">
        <f t="shared" si="197"/>
        <v>15</v>
      </c>
      <c r="K236" s="48">
        <f>(F236+G236+J236)*$K$5</f>
        <v>4.575</v>
      </c>
      <c r="L236" s="48">
        <f>(F236+G236+J236+K236)*$L$5</f>
        <v>2.42475</v>
      </c>
      <c r="M236" s="76">
        <f t="shared" si="185"/>
        <v>116.54965</v>
      </c>
      <c r="N236" s="77"/>
      <c r="O236" s="48">
        <f t="shared" ref="O236:O239" si="199">M236*E236</f>
        <v>3276.2106615</v>
      </c>
      <c r="P236" s="75"/>
      <c r="Q236" s="78"/>
      <c r="R236" s="46">
        <f t="shared" si="143"/>
        <v>3276.2106615</v>
      </c>
      <c r="S236" s="46">
        <f t="shared" si="144"/>
        <v>83.24975</v>
      </c>
      <c r="T236" s="46" t="b">
        <f t="shared" si="145"/>
        <v>1</v>
      </c>
      <c r="U236" s="46" t="b">
        <f t="shared" si="146"/>
        <v>0</v>
      </c>
    </row>
    <row r="237" s="69" customFormat="1" customHeight="1" outlineLevel="1" spans="1:21">
      <c r="A237" s="32">
        <v>175</v>
      </c>
      <c r="B237" s="32" t="s">
        <v>172</v>
      </c>
      <c r="C237" s="32" t="s">
        <v>272</v>
      </c>
      <c r="D237" s="32" t="s">
        <v>59</v>
      </c>
      <c r="E237" s="32">
        <v>8.88</v>
      </c>
      <c r="F237" s="72">
        <f t="shared" ref="F237:J237" si="200">F90</f>
        <v>185</v>
      </c>
      <c r="G237" s="48">
        <f t="shared" si="198"/>
        <v>336</v>
      </c>
      <c r="H237" s="72">
        <f t="shared" si="200"/>
        <v>320</v>
      </c>
      <c r="I237" s="49">
        <f t="shared" si="200"/>
        <v>0.05</v>
      </c>
      <c r="J237" s="48">
        <f t="shared" si="200"/>
        <v>35</v>
      </c>
      <c r="K237" s="48">
        <f>(F237+G237+J237)*$K$5</f>
        <v>33.36</v>
      </c>
      <c r="L237" s="48">
        <f>(F237+G237+J237+K237)*$L$5</f>
        <v>17.6808</v>
      </c>
      <c r="M237" s="76">
        <f t="shared" si="185"/>
        <v>849.85712</v>
      </c>
      <c r="N237" s="77"/>
      <c r="O237" s="48">
        <f t="shared" si="199"/>
        <v>7546.7312256</v>
      </c>
      <c r="P237" s="75"/>
      <c r="Q237" s="78"/>
      <c r="R237" s="46">
        <f t="shared" si="143"/>
        <v>7546.7312256</v>
      </c>
      <c r="S237" s="46">
        <f t="shared" si="144"/>
        <v>607.0408</v>
      </c>
      <c r="T237" s="46" t="b">
        <f t="shared" si="145"/>
        <v>1</v>
      </c>
      <c r="U237" s="46" t="b">
        <f t="shared" si="146"/>
        <v>0</v>
      </c>
    </row>
    <row r="238" s="69" customFormat="1" customHeight="1" outlineLevel="1" spans="1:21">
      <c r="A238" s="32">
        <v>176</v>
      </c>
      <c r="B238" s="32" t="s">
        <v>189</v>
      </c>
      <c r="C238" s="32" t="s">
        <v>198</v>
      </c>
      <c r="D238" s="32" t="s">
        <v>94</v>
      </c>
      <c r="E238" s="32">
        <v>9.01</v>
      </c>
      <c r="F238" s="72">
        <f t="shared" ref="F238:J238" si="201">F216</f>
        <v>15</v>
      </c>
      <c r="G238" s="48">
        <f t="shared" si="198"/>
        <v>29.4</v>
      </c>
      <c r="H238" s="72">
        <f t="shared" si="201"/>
        <v>28</v>
      </c>
      <c r="I238" s="49">
        <f t="shared" si="201"/>
        <v>0.05</v>
      </c>
      <c r="J238" s="48">
        <f t="shared" si="201"/>
        <v>1</v>
      </c>
      <c r="K238" s="48">
        <f>(F238+G238+J238)*$K$5</f>
        <v>2.724</v>
      </c>
      <c r="L238" s="48">
        <f>(F238+G238+J238+K238)*$L$5</f>
        <v>1.44372</v>
      </c>
      <c r="M238" s="76">
        <f t="shared" si="185"/>
        <v>69.394808</v>
      </c>
      <c r="N238" s="77"/>
      <c r="O238" s="48">
        <f t="shared" si="199"/>
        <v>625.24722008</v>
      </c>
      <c r="P238" s="75"/>
      <c r="Q238" s="78"/>
      <c r="R238" s="46">
        <f t="shared" si="143"/>
        <v>625.24722008</v>
      </c>
      <c r="S238" s="46">
        <f t="shared" si="144"/>
        <v>49.56772</v>
      </c>
      <c r="T238" s="46" t="b">
        <f t="shared" si="145"/>
        <v>1</v>
      </c>
      <c r="U238" s="46" t="b">
        <f t="shared" si="146"/>
        <v>0</v>
      </c>
    </row>
    <row r="239" s="69" customFormat="1" customHeight="1" outlineLevel="1" spans="1:21">
      <c r="A239" s="32">
        <v>177</v>
      </c>
      <c r="B239" s="32" t="s">
        <v>200</v>
      </c>
      <c r="C239" s="32" t="s">
        <v>270</v>
      </c>
      <c r="D239" s="32" t="s">
        <v>91</v>
      </c>
      <c r="E239" s="32">
        <v>1</v>
      </c>
      <c r="F239" s="72">
        <f t="shared" ref="F239:J239" si="202">F233</f>
        <v>300</v>
      </c>
      <c r="G239" s="73">
        <f t="shared" si="198"/>
        <v>3383.5</v>
      </c>
      <c r="H239" s="74">
        <f t="shared" si="202"/>
        <v>3350</v>
      </c>
      <c r="I239" s="57">
        <f t="shared" si="202"/>
        <v>0.01</v>
      </c>
      <c r="J239" s="73">
        <f t="shared" si="202"/>
        <v>265</v>
      </c>
      <c r="K239" s="73">
        <f>(F239+G239+J239)*$K$5</f>
        <v>236.91</v>
      </c>
      <c r="L239" s="73">
        <f>(F239+G239+J239+K239)*$L$5</f>
        <v>125.5623</v>
      </c>
      <c r="M239" s="53">
        <f t="shared" si="185"/>
        <v>6035.36122</v>
      </c>
      <c r="N239" s="54"/>
      <c r="O239" s="73">
        <f t="shared" si="199"/>
        <v>6035.36122</v>
      </c>
      <c r="P239" s="75"/>
      <c r="Q239" s="78"/>
      <c r="R239" s="46">
        <f t="shared" si="143"/>
        <v>6035.36122</v>
      </c>
      <c r="S239" s="46">
        <f t="shared" si="144"/>
        <v>4310.9723</v>
      </c>
      <c r="T239" s="46" t="b">
        <f t="shared" si="145"/>
        <v>1</v>
      </c>
      <c r="U239" s="46" t="b">
        <f t="shared" si="146"/>
        <v>0</v>
      </c>
    </row>
    <row r="240" s="69" customFormat="1" customHeight="1" outlineLevel="1" spans="1:21">
      <c r="A240" s="32"/>
      <c r="B240" s="32"/>
      <c r="C240" s="32"/>
      <c r="D240" s="32"/>
      <c r="E240" s="32"/>
      <c r="F240" s="72"/>
      <c r="G240" s="85"/>
      <c r="H240" s="86"/>
      <c r="I240" s="59"/>
      <c r="J240" s="85"/>
      <c r="K240" s="85"/>
      <c r="L240" s="85"/>
      <c r="M240" s="65"/>
      <c r="N240" s="66"/>
      <c r="O240" s="85"/>
      <c r="P240" s="75"/>
      <c r="Q240" s="78"/>
      <c r="R240" s="46">
        <f t="shared" si="143"/>
        <v>0</v>
      </c>
      <c r="S240" s="46">
        <f t="shared" si="144"/>
        <v>0</v>
      </c>
      <c r="T240" s="46" t="b">
        <f t="shared" si="145"/>
        <v>1</v>
      </c>
      <c r="U240" s="46" t="b">
        <f t="shared" si="146"/>
        <v>1</v>
      </c>
    </row>
    <row r="241" s="69" customFormat="1" customHeight="1" spans="1:21">
      <c r="A241" s="32"/>
      <c r="B241" s="32" t="s">
        <v>273</v>
      </c>
      <c r="C241" s="32"/>
      <c r="D241" s="32"/>
      <c r="E241" s="32"/>
      <c r="F241" s="72"/>
      <c r="G241" s="48"/>
      <c r="H241" s="72"/>
      <c r="I241" s="49"/>
      <c r="J241" s="48"/>
      <c r="K241" s="48"/>
      <c r="L241" s="48"/>
      <c r="M241" s="76">
        <f t="shared" si="185"/>
        <v>0</v>
      </c>
      <c r="N241" s="77"/>
      <c r="O241" s="48"/>
      <c r="P241" s="75"/>
      <c r="Q241" s="78"/>
      <c r="R241" s="46">
        <f t="shared" si="143"/>
        <v>0</v>
      </c>
      <c r="S241" s="46">
        <f t="shared" si="144"/>
        <v>0</v>
      </c>
      <c r="T241" s="46" t="b">
        <f t="shared" si="145"/>
        <v>1</v>
      </c>
      <c r="U241" s="46" t="b">
        <f t="shared" si="146"/>
        <v>1</v>
      </c>
    </row>
    <row r="242" s="69" customFormat="1" customHeight="1" outlineLevel="1" spans="1:21">
      <c r="A242" s="32">
        <v>178</v>
      </c>
      <c r="B242" s="32" t="s">
        <v>187</v>
      </c>
      <c r="C242" s="32" t="s">
        <v>254</v>
      </c>
      <c r="D242" s="32" t="s">
        <v>59</v>
      </c>
      <c r="E242" s="32">
        <v>29.86</v>
      </c>
      <c r="F242" s="72">
        <f>F182</f>
        <v>30</v>
      </c>
      <c r="G242" s="48">
        <f t="shared" ref="G242:G246" si="203">H242*(1+I242)</f>
        <v>15.75</v>
      </c>
      <c r="H242" s="72">
        <f>H182</f>
        <v>15</v>
      </c>
      <c r="I242" s="49">
        <f>I106</f>
        <v>0.05</v>
      </c>
      <c r="J242" s="48">
        <f>J182</f>
        <v>8</v>
      </c>
      <c r="K242" s="48">
        <f>(F242+G242+J242)*$K$5</f>
        <v>3.225</v>
      </c>
      <c r="L242" s="48">
        <f>(F242+G242+J242+K242)*$L$5</f>
        <v>1.70925</v>
      </c>
      <c r="M242" s="76">
        <f t="shared" si="185"/>
        <v>82.15795</v>
      </c>
      <c r="N242" s="77"/>
      <c r="O242" s="48">
        <f t="shared" ref="O242:O246" si="204">M242*E242</f>
        <v>2453.236387</v>
      </c>
      <c r="P242" s="75" t="str">
        <f>P195</f>
        <v>立邦</v>
      </c>
      <c r="Q242" s="78"/>
      <c r="R242" s="46">
        <f t="shared" si="143"/>
        <v>2453.236387</v>
      </c>
      <c r="S242" s="46">
        <f t="shared" si="144"/>
        <v>58.68425</v>
      </c>
      <c r="T242" s="46" t="b">
        <f t="shared" si="145"/>
        <v>1</v>
      </c>
      <c r="U242" s="46" t="b">
        <f t="shared" si="146"/>
        <v>0</v>
      </c>
    </row>
    <row r="243" s="69" customFormat="1" customHeight="1" outlineLevel="1" spans="1:21">
      <c r="A243" s="32">
        <v>179</v>
      </c>
      <c r="B243" s="32" t="s">
        <v>189</v>
      </c>
      <c r="C243" s="32" t="s">
        <v>198</v>
      </c>
      <c r="D243" s="32" t="s">
        <v>94</v>
      </c>
      <c r="E243" s="32">
        <v>9.57</v>
      </c>
      <c r="F243" s="72">
        <f t="shared" ref="F243:J243" si="205">F222</f>
        <v>15</v>
      </c>
      <c r="G243" s="48">
        <f t="shared" si="203"/>
        <v>29.4</v>
      </c>
      <c r="H243" s="72">
        <f t="shared" si="205"/>
        <v>28</v>
      </c>
      <c r="I243" s="49">
        <f t="shared" si="205"/>
        <v>0.05</v>
      </c>
      <c r="J243" s="48">
        <f t="shared" si="205"/>
        <v>1</v>
      </c>
      <c r="K243" s="48">
        <f>(F243+G243+J243)*$K$5</f>
        <v>2.724</v>
      </c>
      <c r="L243" s="48">
        <f>(F243+G243+J243+K243)*$L$5</f>
        <v>1.44372</v>
      </c>
      <c r="M243" s="76">
        <f t="shared" si="185"/>
        <v>69.394808</v>
      </c>
      <c r="N243" s="77"/>
      <c r="O243" s="48">
        <f t="shared" si="204"/>
        <v>664.10831256</v>
      </c>
      <c r="P243" s="75"/>
      <c r="Q243" s="78"/>
      <c r="R243" s="46">
        <f t="shared" si="143"/>
        <v>664.10831256</v>
      </c>
      <c r="S243" s="46">
        <f t="shared" si="144"/>
        <v>49.56772</v>
      </c>
      <c r="T243" s="46" t="b">
        <f t="shared" si="145"/>
        <v>1</v>
      </c>
      <c r="U243" s="46" t="b">
        <f t="shared" si="146"/>
        <v>0</v>
      </c>
    </row>
    <row r="244" s="69" customFormat="1" customHeight="1" outlineLevel="1" spans="1:21">
      <c r="A244" s="32">
        <v>180</v>
      </c>
      <c r="B244" s="32" t="s">
        <v>200</v>
      </c>
      <c r="C244" s="32" t="s">
        <v>241</v>
      </c>
      <c r="D244" s="32" t="s">
        <v>59</v>
      </c>
      <c r="E244" s="32">
        <v>1.92</v>
      </c>
      <c r="F244" s="72">
        <f t="shared" ref="F244:J244" si="206">F168</f>
        <v>150</v>
      </c>
      <c r="G244" s="48">
        <f t="shared" si="203"/>
        <v>682.5</v>
      </c>
      <c r="H244" s="72">
        <f t="shared" si="206"/>
        <v>650</v>
      </c>
      <c r="I244" s="49">
        <f t="shared" si="206"/>
        <v>0.05</v>
      </c>
      <c r="J244" s="48">
        <f t="shared" si="206"/>
        <v>100</v>
      </c>
      <c r="K244" s="48">
        <f>(F244+G244+J244)*$K$5</f>
        <v>55.95</v>
      </c>
      <c r="L244" s="48">
        <f>(F244+G244+J244+K244)*$L$5</f>
        <v>29.6535</v>
      </c>
      <c r="M244" s="76">
        <f t="shared" si="185"/>
        <v>1425.3449</v>
      </c>
      <c r="N244" s="77"/>
      <c r="O244" s="48">
        <f t="shared" si="204"/>
        <v>2736.662208</v>
      </c>
      <c r="P244" s="75"/>
      <c r="Q244" s="78"/>
      <c r="R244" s="46">
        <f t="shared" si="143"/>
        <v>2736.662208</v>
      </c>
      <c r="S244" s="46">
        <f t="shared" si="144"/>
        <v>1018.1035</v>
      </c>
      <c r="T244" s="46" t="b">
        <f t="shared" si="145"/>
        <v>1</v>
      </c>
      <c r="U244" s="46" t="b">
        <f t="shared" si="146"/>
        <v>0</v>
      </c>
    </row>
    <row r="245" s="69" customFormat="1" customHeight="1" outlineLevel="1" spans="1:21">
      <c r="A245" s="32">
        <v>181</v>
      </c>
      <c r="B245" s="32" t="s">
        <v>78</v>
      </c>
      <c r="C245" s="32" t="s">
        <v>242</v>
      </c>
      <c r="D245" s="32" t="s">
        <v>59</v>
      </c>
      <c r="E245" s="32">
        <v>1.28</v>
      </c>
      <c r="F245" s="72">
        <f t="shared" ref="F245:J245" si="207">F169</f>
        <v>165</v>
      </c>
      <c r="G245" s="48">
        <f t="shared" si="203"/>
        <v>315</v>
      </c>
      <c r="H245" s="72">
        <f t="shared" si="207"/>
        <v>300</v>
      </c>
      <c r="I245" s="49">
        <f t="shared" si="207"/>
        <v>0.05</v>
      </c>
      <c r="J245" s="48">
        <f t="shared" si="207"/>
        <v>135</v>
      </c>
      <c r="K245" s="48">
        <f>(F245+G245+J245)*$K$5</f>
        <v>36.9</v>
      </c>
      <c r="L245" s="48">
        <f>(F245+G245+J245+K245)*$L$5</f>
        <v>19.557</v>
      </c>
      <c r="M245" s="76">
        <f t="shared" si="185"/>
        <v>940.0398</v>
      </c>
      <c r="N245" s="77"/>
      <c r="O245" s="48">
        <f t="shared" si="204"/>
        <v>1203.250944</v>
      </c>
      <c r="P245" s="75" t="str">
        <f>P206</f>
        <v>厂家定制</v>
      </c>
      <c r="Q245" s="78"/>
      <c r="R245" s="46">
        <f t="shared" si="143"/>
        <v>1203.250944</v>
      </c>
      <c r="S245" s="46">
        <f t="shared" si="144"/>
        <v>671.457</v>
      </c>
      <c r="T245" s="46" t="b">
        <f t="shared" si="145"/>
        <v>1</v>
      </c>
      <c r="U245" s="46" t="b">
        <f t="shared" si="146"/>
        <v>0</v>
      </c>
    </row>
    <row r="246" s="69" customFormat="1" customHeight="1" outlineLevel="1" spans="1:21">
      <c r="A246" s="32">
        <v>182</v>
      </c>
      <c r="B246" s="32" t="s">
        <v>170</v>
      </c>
      <c r="C246" s="32" t="s">
        <v>243</v>
      </c>
      <c r="D246" s="32" t="s">
        <v>91</v>
      </c>
      <c r="E246" s="32">
        <v>1</v>
      </c>
      <c r="F246" s="72">
        <f t="shared" ref="F246:J246" si="208">F170</f>
        <v>300</v>
      </c>
      <c r="G246" s="48">
        <f t="shared" si="203"/>
        <v>1111</v>
      </c>
      <c r="H246" s="72">
        <f t="shared" si="208"/>
        <v>1100</v>
      </c>
      <c r="I246" s="49">
        <f t="shared" si="208"/>
        <v>0.01</v>
      </c>
      <c r="J246" s="48">
        <f t="shared" si="208"/>
        <v>310</v>
      </c>
      <c r="K246" s="48">
        <f>(F246+G246+J246)*$K$5</f>
        <v>103.26</v>
      </c>
      <c r="L246" s="48">
        <f>(F246+G246+J246+K246)*$L$5</f>
        <v>54.7278</v>
      </c>
      <c r="M246" s="76">
        <f t="shared" si="185"/>
        <v>2630.58292</v>
      </c>
      <c r="N246" s="77"/>
      <c r="O246" s="48">
        <f t="shared" si="204"/>
        <v>2630.58292</v>
      </c>
      <c r="P246" s="75" t="str">
        <f>P207</f>
        <v>厂家定制</v>
      </c>
      <c r="Q246" s="78"/>
      <c r="R246" s="46">
        <f t="shared" si="143"/>
        <v>2630.58292</v>
      </c>
      <c r="S246" s="46">
        <f t="shared" si="144"/>
        <v>1878.9878</v>
      </c>
      <c r="T246" s="46" t="b">
        <f t="shared" si="145"/>
        <v>1</v>
      </c>
      <c r="U246" s="46" t="b">
        <f t="shared" si="146"/>
        <v>0</v>
      </c>
    </row>
    <row r="247" s="69" customFormat="1" customHeight="1" spans="1:21">
      <c r="A247" s="32"/>
      <c r="B247" s="32" t="s">
        <v>274</v>
      </c>
      <c r="C247" s="32"/>
      <c r="D247" s="32"/>
      <c r="E247" s="32"/>
      <c r="F247" s="72"/>
      <c r="G247" s="48"/>
      <c r="H247" s="72"/>
      <c r="I247" s="49"/>
      <c r="J247" s="48"/>
      <c r="K247" s="48"/>
      <c r="L247" s="48"/>
      <c r="M247" s="76">
        <f t="shared" si="185"/>
        <v>0</v>
      </c>
      <c r="N247" s="77"/>
      <c r="O247" s="48"/>
      <c r="P247" s="75"/>
      <c r="Q247" s="78"/>
      <c r="R247" s="46">
        <f t="shared" si="143"/>
        <v>0</v>
      </c>
      <c r="S247" s="46">
        <f t="shared" si="144"/>
        <v>0</v>
      </c>
      <c r="T247" s="46" t="b">
        <f t="shared" si="145"/>
        <v>1</v>
      </c>
      <c r="U247" s="46" t="b">
        <f t="shared" si="146"/>
        <v>1</v>
      </c>
    </row>
    <row r="248" s="69" customFormat="1" customHeight="1" outlineLevel="1" spans="1:21">
      <c r="A248" s="32">
        <v>183</v>
      </c>
      <c r="B248" s="32" t="s">
        <v>187</v>
      </c>
      <c r="C248" s="32" t="s">
        <v>254</v>
      </c>
      <c r="D248" s="32" t="s">
        <v>59</v>
      </c>
      <c r="E248" s="32">
        <v>25.27</v>
      </c>
      <c r="F248" s="72">
        <f>F182</f>
        <v>30</v>
      </c>
      <c r="G248" s="48">
        <f t="shared" ref="G248:G253" si="209">H248*(1+I248)</f>
        <v>15.75</v>
      </c>
      <c r="H248" s="72">
        <f>H182</f>
        <v>15</v>
      </c>
      <c r="I248" s="49">
        <f>I106</f>
        <v>0.05</v>
      </c>
      <c r="J248" s="48">
        <f>J182</f>
        <v>8</v>
      </c>
      <c r="K248" s="48">
        <f>(F248+G248+J248)*$K$5</f>
        <v>3.225</v>
      </c>
      <c r="L248" s="48">
        <f>(F248+G248+J248+K248)*$L$5</f>
        <v>1.70925</v>
      </c>
      <c r="M248" s="76">
        <f t="shared" si="185"/>
        <v>82.15795</v>
      </c>
      <c r="N248" s="77"/>
      <c r="O248" s="48">
        <f t="shared" ref="O248:O253" si="210">M248*E248</f>
        <v>2076.1313965</v>
      </c>
      <c r="P248" s="75" t="str">
        <f>P202</f>
        <v>立邦</v>
      </c>
      <c r="Q248" s="78"/>
      <c r="R248" s="46">
        <f t="shared" si="143"/>
        <v>2076.1313965</v>
      </c>
      <c r="S248" s="46">
        <f t="shared" si="144"/>
        <v>58.68425</v>
      </c>
      <c r="T248" s="46" t="b">
        <f t="shared" si="145"/>
        <v>1</v>
      </c>
      <c r="U248" s="46" t="b">
        <f t="shared" si="146"/>
        <v>0</v>
      </c>
    </row>
    <row r="249" s="69" customFormat="1" customHeight="1" outlineLevel="1" spans="1:21">
      <c r="A249" s="32">
        <v>184</v>
      </c>
      <c r="B249" s="32" t="s">
        <v>172</v>
      </c>
      <c r="C249" s="32" t="s">
        <v>272</v>
      </c>
      <c r="D249" s="32" t="s">
        <v>59</v>
      </c>
      <c r="E249" s="32">
        <v>2.96</v>
      </c>
      <c r="F249" s="72">
        <f t="shared" ref="F249:J249" si="211">F90</f>
        <v>185</v>
      </c>
      <c r="G249" s="48">
        <f t="shared" si="209"/>
        <v>336</v>
      </c>
      <c r="H249" s="72">
        <f t="shared" si="211"/>
        <v>320</v>
      </c>
      <c r="I249" s="49">
        <f t="shared" si="211"/>
        <v>0.05</v>
      </c>
      <c r="J249" s="48">
        <f t="shared" si="211"/>
        <v>35</v>
      </c>
      <c r="K249" s="48">
        <f>(F249+G249+J249)*$K$5</f>
        <v>33.36</v>
      </c>
      <c r="L249" s="48">
        <f>(F249+G249+J249+K249)*$L$5</f>
        <v>17.6808</v>
      </c>
      <c r="M249" s="76">
        <f t="shared" si="185"/>
        <v>849.85712</v>
      </c>
      <c r="N249" s="77"/>
      <c r="O249" s="48">
        <f t="shared" si="210"/>
        <v>2515.5770752</v>
      </c>
      <c r="P249" s="75"/>
      <c r="Q249" s="78"/>
      <c r="R249" s="46">
        <f t="shared" si="143"/>
        <v>2515.5770752</v>
      </c>
      <c r="S249" s="46">
        <f t="shared" si="144"/>
        <v>607.0408</v>
      </c>
      <c r="T249" s="46" t="b">
        <f t="shared" si="145"/>
        <v>1</v>
      </c>
      <c r="U249" s="46" t="b">
        <f t="shared" si="146"/>
        <v>0</v>
      </c>
    </row>
    <row r="250" s="69" customFormat="1" customHeight="1" outlineLevel="1" spans="1:21">
      <c r="A250" s="32">
        <v>185</v>
      </c>
      <c r="B250" s="32" t="s">
        <v>189</v>
      </c>
      <c r="C250" s="32" t="s">
        <v>198</v>
      </c>
      <c r="D250" s="32" t="s">
        <v>94</v>
      </c>
      <c r="E250" s="32">
        <v>8.1</v>
      </c>
      <c r="F250" s="72">
        <f t="shared" ref="F250:J250" si="212">F228</f>
        <v>15</v>
      </c>
      <c r="G250" s="48">
        <f t="shared" si="209"/>
        <v>29.4</v>
      </c>
      <c r="H250" s="72">
        <f t="shared" si="212"/>
        <v>28</v>
      </c>
      <c r="I250" s="49">
        <f t="shared" si="212"/>
        <v>0.05</v>
      </c>
      <c r="J250" s="48">
        <f t="shared" si="212"/>
        <v>1</v>
      </c>
      <c r="K250" s="48">
        <f>(F250+G250+J250)*$K$5</f>
        <v>2.724</v>
      </c>
      <c r="L250" s="48">
        <f>(F250+G250+J250+K250)*$L$5</f>
        <v>1.44372</v>
      </c>
      <c r="M250" s="76">
        <f t="shared" si="185"/>
        <v>69.394808</v>
      </c>
      <c r="N250" s="77"/>
      <c r="O250" s="48">
        <f t="shared" si="210"/>
        <v>562.0979448</v>
      </c>
      <c r="P250" s="75"/>
      <c r="Q250" s="78"/>
      <c r="R250" s="46">
        <f t="shared" si="143"/>
        <v>562.0979448</v>
      </c>
      <c r="S250" s="46">
        <f t="shared" si="144"/>
        <v>49.56772</v>
      </c>
      <c r="T250" s="46" t="b">
        <f t="shared" si="145"/>
        <v>1</v>
      </c>
      <c r="U250" s="46" t="b">
        <f t="shared" si="146"/>
        <v>0</v>
      </c>
    </row>
    <row r="251" s="69" customFormat="1" customHeight="1" outlineLevel="1" spans="1:21">
      <c r="A251" s="32">
        <v>186</v>
      </c>
      <c r="B251" s="32" t="s">
        <v>200</v>
      </c>
      <c r="C251" s="32" t="s">
        <v>241</v>
      </c>
      <c r="D251" s="32" t="s">
        <v>59</v>
      </c>
      <c r="E251" s="32">
        <v>1.92</v>
      </c>
      <c r="F251" s="72">
        <f t="shared" ref="F251:J251" si="213">F168</f>
        <v>150</v>
      </c>
      <c r="G251" s="48">
        <f t="shared" si="209"/>
        <v>682.5</v>
      </c>
      <c r="H251" s="72">
        <f t="shared" si="213"/>
        <v>650</v>
      </c>
      <c r="I251" s="49">
        <f t="shared" si="213"/>
        <v>0.05</v>
      </c>
      <c r="J251" s="48">
        <f t="shared" si="213"/>
        <v>100</v>
      </c>
      <c r="K251" s="48">
        <f>(F251+G251+J251)*$K$5</f>
        <v>55.95</v>
      </c>
      <c r="L251" s="48">
        <f>(F251+G251+J251+K251)*$L$5</f>
        <v>29.6535</v>
      </c>
      <c r="M251" s="76">
        <f t="shared" si="185"/>
        <v>1425.3449</v>
      </c>
      <c r="N251" s="77"/>
      <c r="O251" s="48">
        <f t="shared" si="210"/>
        <v>2736.662208</v>
      </c>
      <c r="P251" s="75"/>
      <c r="Q251" s="78"/>
      <c r="R251" s="46">
        <f t="shared" ref="R251:R314" si="214">E251*M251</f>
        <v>2736.662208</v>
      </c>
      <c r="S251" s="46">
        <f t="shared" ref="S251:S314" si="215">F251+G251+J251+K251+L251</f>
        <v>1018.1035</v>
      </c>
      <c r="T251" s="46" t="b">
        <f t="shared" ref="T251:T314" si="216">O251=R251</f>
        <v>1</v>
      </c>
      <c r="U251" s="46" t="b">
        <f t="shared" ref="U251:U314" si="217">M251=S251</f>
        <v>0</v>
      </c>
    </row>
    <row r="252" s="69" customFormat="1" customHeight="1" outlineLevel="1" spans="1:21">
      <c r="A252" s="32">
        <v>187</v>
      </c>
      <c r="B252" s="32" t="s">
        <v>78</v>
      </c>
      <c r="C252" s="32" t="s">
        <v>275</v>
      </c>
      <c r="D252" s="32" t="s">
        <v>59</v>
      </c>
      <c r="E252" s="32">
        <v>1.28</v>
      </c>
      <c r="F252" s="72">
        <f t="shared" ref="F252:J252" si="218">F169</f>
        <v>165</v>
      </c>
      <c r="G252" s="48">
        <f t="shared" si="209"/>
        <v>315</v>
      </c>
      <c r="H252" s="72">
        <f t="shared" si="218"/>
        <v>300</v>
      </c>
      <c r="I252" s="49">
        <f t="shared" si="218"/>
        <v>0.05</v>
      </c>
      <c r="J252" s="48">
        <f t="shared" si="218"/>
        <v>135</v>
      </c>
      <c r="K252" s="48">
        <f>(F252+G252+J252)*$K$5</f>
        <v>36.9</v>
      </c>
      <c r="L252" s="48">
        <f>(F252+G252+J252+K252)*$L$5</f>
        <v>19.557</v>
      </c>
      <c r="M252" s="76">
        <f t="shared" si="185"/>
        <v>940.0398</v>
      </c>
      <c r="N252" s="77"/>
      <c r="O252" s="48">
        <f t="shared" si="210"/>
        <v>1203.250944</v>
      </c>
      <c r="P252" s="75" t="str">
        <f>P212</f>
        <v>厂家定制</v>
      </c>
      <c r="Q252" s="78"/>
      <c r="R252" s="46">
        <f t="shared" si="214"/>
        <v>1203.250944</v>
      </c>
      <c r="S252" s="46">
        <f t="shared" si="215"/>
        <v>671.457</v>
      </c>
      <c r="T252" s="46" t="b">
        <f t="shared" si="216"/>
        <v>1</v>
      </c>
      <c r="U252" s="46" t="b">
        <f t="shared" si="217"/>
        <v>0</v>
      </c>
    </row>
    <row r="253" s="69" customFormat="1" customHeight="1" outlineLevel="1" spans="1:21">
      <c r="A253" s="32">
        <v>188</v>
      </c>
      <c r="B253" s="32" t="s">
        <v>170</v>
      </c>
      <c r="C253" s="32" t="s">
        <v>243</v>
      </c>
      <c r="D253" s="32" t="s">
        <v>91</v>
      </c>
      <c r="E253" s="32">
        <v>1</v>
      </c>
      <c r="F253" s="72">
        <f t="shared" ref="F253:J253" si="219">F170</f>
        <v>300</v>
      </c>
      <c r="G253" s="48">
        <f t="shared" si="209"/>
        <v>1111</v>
      </c>
      <c r="H253" s="72">
        <f t="shared" si="219"/>
        <v>1100</v>
      </c>
      <c r="I253" s="49">
        <f t="shared" si="219"/>
        <v>0.01</v>
      </c>
      <c r="J253" s="48">
        <f t="shared" si="219"/>
        <v>310</v>
      </c>
      <c r="K253" s="48">
        <f>(F253+G253+J253)*$K$5</f>
        <v>103.26</v>
      </c>
      <c r="L253" s="48">
        <f>(F253+G253+J253+K253)*$L$5</f>
        <v>54.7278</v>
      </c>
      <c r="M253" s="76">
        <f t="shared" si="185"/>
        <v>2630.58292</v>
      </c>
      <c r="N253" s="77"/>
      <c r="O253" s="48">
        <f t="shared" si="210"/>
        <v>2630.58292</v>
      </c>
      <c r="P253" s="75" t="str">
        <f>P213</f>
        <v>厂家定制</v>
      </c>
      <c r="Q253" s="78"/>
      <c r="R253" s="46">
        <f t="shared" si="214"/>
        <v>2630.58292</v>
      </c>
      <c r="S253" s="46">
        <f t="shared" si="215"/>
        <v>1878.9878</v>
      </c>
      <c r="T253" s="46" t="b">
        <f t="shared" si="216"/>
        <v>1</v>
      </c>
      <c r="U253" s="46" t="b">
        <f t="shared" si="217"/>
        <v>0</v>
      </c>
    </row>
    <row r="254" s="69" customFormat="1" customHeight="1" spans="1:21">
      <c r="A254" s="32"/>
      <c r="B254" s="32" t="s">
        <v>276</v>
      </c>
      <c r="C254" s="32"/>
      <c r="D254" s="32"/>
      <c r="E254" s="32"/>
      <c r="F254" s="72"/>
      <c r="G254" s="48"/>
      <c r="H254" s="72"/>
      <c r="I254" s="49"/>
      <c r="J254" s="48"/>
      <c r="K254" s="48"/>
      <c r="L254" s="48"/>
      <c r="M254" s="76">
        <f t="shared" ref="M254:M285" si="220">(F254+G254+J254+K254+L254)*1.4</f>
        <v>0</v>
      </c>
      <c r="N254" s="77"/>
      <c r="O254" s="48"/>
      <c r="P254" s="75"/>
      <c r="Q254" s="78"/>
      <c r="R254" s="46">
        <f t="shared" si="214"/>
        <v>0</v>
      </c>
      <c r="S254" s="46">
        <f t="shared" si="215"/>
        <v>0</v>
      </c>
      <c r="T254" s="46" t="b">
        <f t="shared" si="216"/>
        <v>1</v>
      </c>
      <c r="U254" s="46" t="b">
        <f t="shared" si="217"/>
        <v>1</v>
      </c>
    </row>
    <row r="255" s="69" customFormat="1" customHeight="1" outlineLevel="1" spans="1:21">
      <c r="A255" s="32">
        <v>189</v>
      </c>
      <c r="B255" s="32" t="s">
        <v>187</v>
      </c>
      <c r="C255" s="32" t="s">
        <v>277</v>
      </c>
      <c r="D255" s="32" t="s">
        <v>59</v>
      </c>
      <c r="E255" s="32">
        <v>16.47</v>
      </c>
      <c r="F255" s="72">
        <f t="shared" ref="F255:J255" si="221">F242</f>
        <v>30</v>
      </c>
      <c r="G255" s="48">
        <f t="shared" ref="G255:G262" si="222">H255*(1+I255)</f>
        <v>15.75</v>
      </c>
      <c r="H255" s="72">
        <f t="shared" si="221"/>
        <v>15</v>
      </c>
      <c r="I255" s="49">
        <f>I106</f>
        <v>0.05</v>
      </c>
      <c r="J255" s="48">
        <f>J182</f>
        <v>8</v>
      </c>
      <c r="K255" s="48">
        <f>(F255+G255+J255)*$K$5</f>
        <v>3.225</v>
      </c>
      <c r="L255" s="48">
        <f>(F255+G255+J255+K255)*$L$5</f>
        <v>1.70925</v>
      </c>
      <c r="M255" s="76">
        <f t="shared" si="220"/>
        <v>82.15795</v>
      </c>
      <c r="N255" s="77"/>
      <c r="O255" s="48">
        <f t="shared" ref="O255:O262" si="223">M255*E255</f>
        <v>1353.1414365</v>
      </c>
      <c r="P255" s="75" t="str">
        <f>P209</f>
        <v>立邦</v>
      </c>
      <c r="Q255" s="78"/>
      <c r="R255" s="46">
        <f t="shared" si="214"/>
        <v>1353.1414365</v>
      </c>
      <c r="S255" s="46">
        <f t="shared" si="215"/>
        <v>58.68425</v>
      </c>
      <c r="T255" s="46" t="b">
        <f t="shared" si="216"/>
        <v>1</v>
      </c>
      <c r="U255" s="46" t="b">
        <f t="shared" si="217"/>
        <v>0</v>
      </c>
    </row>
    <row r="256" s="69" customFormat="1" customHeight="1" outlineLevel="1" spans="1:21">
      <c r="A256" s="32">
        <v>190</v>
      </c>
      <c r="B256" s="32" t="s">
        <v>278</v>
      </c>
      <c r="C256" s="32" t="s">
        <v>279</v>
      </c>
      <c r="D256" s="32" t="s">
        <v>59</v>
      </c>
      <c r="E256" s="32">
        <v>0.57</v>
      </c>
      <c r="F256" s="72">
        <v>150</v>
      </c>
      <c r="G256" s="48">
        <f t="shared" si="222"/>
        <v>71.5</v>
      </c>
      <c r="H256" s="72">
        <f>H67</f>
        <v>65</v>
      </c>
      <c r="I256" s="49">
        <v>0.1</v>
      </c>
      <c r="J256" s="48">
        <v>50</v>
      </c>
      <c r="K256" s="48">
        <f>(F256+G256+J256)*$K$5</f>
        <v>16.29</v>
      </c>
      <c r="L256" s="48">
        <f>(F256+G256+J256+K256)*$L$5</f>
        <v>8.6337</v>
      </c>
      <c r="M256" s="76">
        <f t="shared" si="220"/>
        <v>414.99318</v>
      </c>
      <c r="N256" s="77"/>
      <c r="O256" s="48">
        <f t="shared" si="223"/>
        <v>236.5461126</v>
      </c>
      <c r="P256" s="75" t="str">
        <f>P65</f>
        <v>广东产</v>
      </c>
      <c r="Q256" s="78"/>
      <c r="R256" s="46">
        <f t="shared" si="214"/>
        <v>236.5461126</v>
      </c>
      <c r="S256" s="46">
        <f t="shared" si="215"/>
        <v>296.4237</v>
      </c>
      <c r="T256" s="46" t="b">
        <f t="shared" si="216"/>
        <v>1</v>
      </c>
      <c r="U256" s="46" t="b">
        <f t="shared" si="217"/>
        <v>0</v>
      </c>
    </row>
    <row r="257" s="69" customFormat="1" customHeight="1" spans="1:21">
      <c r="A257" s="32"/>
      <c r="B257" s="32" t="s">
        <v>280</v>
      </c>
      <c r="C257" s="32"/>
      <c r="D257" s="32"/>
      <c r="E257" s="32"/>
      <c r="F257" s="72"/>
      <c r="G257" s="48"/>
      <c r="H257" s="72"/>
      <c r="I257" s="49"/>
      <c r="J257" s="48"/>
      <c r="K257" s="48"/>
      <c r="L257" s="48"/>
      <c r="M257" s="76">
        <f t="shared" si="220"/>
        <v>0</v>
      </c>
      <c r="N257" s="77"/>
      <c r="O257" s="48"/>
      <c r="P257" s="75"/>
      <c r="Q257" s="78"/>
      <c r="R257" s="46">
        <f t="shared" si="214"/>
        <v>0</v>
      </c>
      <c r="S257" s="46">
        <f t="shared" si="215"/>
        <v>0</v>
      </c>
      <c r="T257" s="46" t="b">
        <f t="shared" si="216"/>
        <v>1</v>
      </c>
      <c r="U257" s="46" t="b">
        <f t="shared" si="217"/>
        <v>1</v>
      </c>
    </row>
    <row r="258" s="69" customFormat="1" customHeight="1" outlineLevel="1" spans="1:21">
      <c r="A258" s="32">
        <v>191</v>
      </c>
      <c r="B258" s="32" t="s">
        <v>281</v>
      </c>
      <c r="C258" s="32" t="s">
        <v>282</v>
      </c>
      <c r="D258" s="32" t="s">
        <v>59</v>
      </c>
      <c r="E258" s="32">
        <v>48.51</v>
      </c>
      <c r="F258" s="72">
        <f t="shared" ref="F258:J258" si="224">F67</f>
        <v>85</v>
      </c>
      <c r="G258" s="48">
        <f t="shared" si="222"/>
        <v>126</v>
      </c>
      <c r="H258" s="72">
        <v>120</v>
      </c>
      <c r="I258" s="49">
        <f t="shared" si="224"/>
        <v>0.05</v>
      </c>
      <c r="J258" s="48">
        <f t="shared" si="224"/>
        <v>70</v>
      </c>
      <c r="K258" s="48">
        <f>(F258+G258+J258)*$K$5</f>
        <v>16.86</v>
      </c>
      <c r="L258" s="48">
        <f>(F258+G258+J258+K258)*$L$5</f>
        <v>8.9358</v>
      </c>
      <c r="M258" s="76">
        <f t="shared" si="220"/>
        <v>429.51412</v>
      </c>
      <c r="N258" s="77"/>
      <c r="O258" s="48">
        <f t="shared" si="223"/>
        <v>20835.7299612</v>
      </c>
      <c r="P258" s="75" t="str">
        <f>P66</f>
        <v>广东产</v>
      </c>
      <c r="Q258" s="78"/>
      <c r="R258" s="46">
        <f t="shared" si="214"/>
        <v>20835.7299612</v>
      </c>
      <c r="S258" s="46">
        <f t="shared" si="215"/>
        <v>306.7958</v>
      </c>
      <c r="T258" s="46" t="b">
        <f t="shared" si="216"/>
        <v>1</v>
      </c>
      <c r="U258" s="46" t="b">
        <f t="shared" si="217"/>
        <v>0</v>
      </c>
    </row>
    <row r="259" s="69" customFormat="1" customHeight="1" outlineLevel="1" spans="1:21">
      <c r="A259" s="32">
        <v>192</v>
      </c>
      <c r="B259" s="32" t="s">
        <v>283</v>
      </c>
      <c r="C259" s="32" t="s">
        <v>284</v>
      </c>
      <c r="D259" s="32" t="s">
        <v>59</v>
      </c>
      <c r="E259" s="32">
        <v>16.57</v>
      </c>
      <c r="F259" s="72">
        <v>125</v>
      </c>
      <c r="G259" s="48">
        <f t="shared" si="222"/>
        <v>577.5</v>
      </c>
      <c r="H259" s="72">
        <v>550</v>
      </c>
      <c r="I259" s="49">
        <v>0.05</v>
      </c>
      <c r="J259" s="48">
        <v>125</v>
      </c>
      <c r="K259" s="48">
        <f>(F259+G259+J259)*$K$5</f>
        <v>49.65</v>
      </c>
      <c r="L259" s="48">
        <f>(F259+G259+J259+K259)*$L$5</f>
        <v>26.3145</v>
      </c>
      <c r="M259" s="76">
        <f t="shared" si="220"/>
        <v>1264.8503</v>
      </c>
      <c r="N259" s="77"/>
      <c r="O259" s="48">
        <f t="shared" si="223"/>
        <v>20958.569471</v>
      </c>
      <c r="P259" s="75"/>
      <c r="Q259" s="78"/>
      <c r="R259" s="46">
        <f t="shared" si="214"/>
        <v>20958.569471</v>
      </c>
      <c r="S259" s="46">
        <f t="shared" si="215"/>
        <v>903.4645</v>
      </c>
      <c r="T259" s="46" t="b">
        <f t="shared" si="216"/>
        <v>1</v>
      </c>
      <c r="U259" s="46" t="b">
        <f t="shared" si="217"/>
        <v>0</v>
      </c>
    </row>
    <row r="260" s="69" customFormat="1" customHeight="1" outlineLevel="1" spans="1:21">
      <c r="A260" s="32">
        <v>193</v>
      </c>
      <c r="B260" s="32" t="s">
        <v>119</v>
      </c>
      <c r="C260" s="32" t="s">
        <v>285</v>
      </c>
      <c r="D260" s="32" t="s">
        <v>59</v>
      </c>
      <c r="E260" s="32">
        <v>4.89</v>
      </c>
      <c r="F260" s="72">
        <v>185</v>
      </c>
      <c r="G260" s="48">
        <f t="shared" si="222"/>
        <v>441</v>
      </c>
      <c r="H260" s="72">
        <v>420</v>
      </c>
      <c r="I260" s="49">
        <f>I52</f>
        <v>0.05</v>
      </c>
      <c r="J260" s="48">
        <v>165</v>
      </c>
      <c r="K260" s="48">
        <f>(F260+G260+J260)*$K$5</f>
        <v>47.46</v>
      </c>
      <c r="L260" s="48">
        <f>(F260+G260+J260+K260)*$L$5</f>
        <v>25.1538</v>
      </c>
      <c r="M260" s="76">
        <f t="shared" si="220"/>
        <v>1209.05932</v>
      </c>
      <c r="N260" s="77"/>
      <c r="O260" s="48">
        <f t="shared" si="223"/>
        <v>5912.3000748</v>
      </c>
      <c r="P260" s="75"/>
      <c r="Q260" s="78"/>
      <c r="R260" s="46">
        <f t="shared" si="214"/>
        <v>5912.3000748</v>
      </c>
      <c r="S260" s="46">
        <f t="shared" si="215"/>
        <v>863.6138</v>
      </c>
      <c r="T260" s="46" t="b">
        <f t="shared" si="216"/>
        <v>1</v>
      </c>
      <c r="U260" s="46" t="b">
        <f t="shared" si="217"/>
        <v>0</v>
      </c>
    </row>
    <row r="261" s="69" customFormat="1" customHeight="1" outlineLevel="1" spans="1:21">
      <c r="A261" s="32">
        <v>194</v>
      </c>
      <c r="B261" s="32" t="s">
        <v>119</v>
      </c>
      <c r="C261" s="32" t="s">
        <v>286</v>
      </c>
      <c r="D261" s="32" t="s">
        <v>59</v>
      </c>
      <c r="E261" s="32">
        <v>5.68</v>
      </c>
      <c r="F261" s="72">
        <f t="shared" ref="F261:J261" si="225">F260</f>
        <v>185</v>
      </c>
      <c r="G261" s="48">
        <f t="shared" si="222"/>
        <v>441</v>
      </c>
      <c r="H261" s="72">
        <f t="shared" si="225"/>
        <v>420</v>
      </c>
      <c r="I261" s="49">
        <f t="shared" si="225"/>
        <v>0.05</v>
      </c>
      <c r="J261" s="48">
        <f t="shared" si="225"/>
        <v>165</v>
      </c>
      <c r="K261" s="48">
        <f>(F261+G261+J261)*$K$5</f>
        <v>47.46</v>
      </c>
      <c r="L261" s="48">
        <f>(F261+G261+J261+K261)*$L$5</f>
        <v>25.1538</v>
      </c>
      <c r="M261" s="76">
        <f t="shared" si="220"/>
        <v>1209.05932</v>
      </c>
      <c r="N261" s="77"/>
      <c r="O261" s="48">
        <f t="shared" si="223"/>
        <v>6867.4569376</v>
      </c>
      <c r="P261" s="75"/>
      <c r="Q261" s="78"/>
      <c r="R261" s="46">
        <f t="shared" si="214"/>
        <v>6867.4569376</v>
      </c>
      <c r="S261" s="46">
        <f t="shared" si="215"/>
        <v>863.6138</v>
      </c>
      <c r="T261" s="46" t="b">
        <f t="shared" si="216"/>
        <v>1</v>
      </c>
      <c r="U261" s="46" t="b">
        <f t="shared" si="217"/>
        <v>0</v>
      </c>
    </row>
    <row r="262" s="69" customFormat="1" customHeight="1" outlineLevel="1" spans="1:21">
      <c r="A262" s="32">
        <v>195</v>
      </c>
      <c r="B262" s="32" t="s">
        <v>287</v>
      </c>
      <c r="C262" s="32" t="s">
        <v>288</v>
      </c>
      <c r="D262" s="32" t="s">
        <v>59</v>
      </c>
      <c r="E262" s="32">
        <v>2.33</v>
      </c>
      <c r="F262" s="72">
        <v>220</v>
      </c>
      <c r="G262" s="48">
        <f t="shared" si="222"/>
        <v>399</v>
      </c>
      <c r="H262" s="72">
        <v>380</v>
      </c>
      <c r="I262" s="49">
        <v>0.05</v>
      </c>
      <c r="J262" s="48">
        <f>40*2+85+25</f>
        <v>190</v>
      </c>
      <c r="K262" s="48">
        <f>(F262+G262+J262)*$K$5</f>
        <v>48.54</v>
      </c>
      <c r="L262" s="48">
        <f>(F262+G262+J262+K262)*$L$5</f>
        <v>25.7262</v>
      </c>
      <c r="M262" s="53">
        <f t="shared" si="220"/>
        <v>1236.57268</v>
      </c>
      <c r="N262" s="54"/>
      <c r="O262" s="48">
        <f t="shared" si="223"/>
        <v>2881.2143444</v>
      </c>
      <c r="P262" s="75"/>
      <c r="Q262" s="78"/>
      <c r="R262" s="46">
        <f t="shared" si="214"/>
        <v>2881.2143444</v>
      </c>
      <c r="S262" s="46">
        <f t="shared" si="215"/>
        <v>883.2662</v>
      </c>
      <c r="T262" s="46" t="b">
        <f t="shared" si="216"/>
        <v>1</v>
      </c>
      <c r="U262" s="46" t="b">
        <f t="shared" si="217"/>
        <v>0</v>
      </c>
    </row>
    <row r="263" s="69" customFormat="1" customHeight="1" outlineLevel="1" spans="1:21">
      <c r="A263" s="32"/>
      <c r="B263" s="32"/>
      <c r="C263" s="32"/>
      <c r="D263" s="32"/>
      <c r="E263" s="32"/>
      <c r="F263" s="72"/>
      <c r="G263" s="48"/>
      <c r="H263" s="72"/>
      <c r="I263" s="49"/>
      <c r="J263" s="48"/>
      <c r="K263" s="48"/>
      <c r="L263" s="48"/>
      <c r="M263" s="65"/>
      <c r="N263" s="66"/>
      <c r="O263" s="48"/>
      <c r="P263" s="75"/>
      <c r="Q263" s="78"/>
      <c r="R263" s="46">
        <f t="shared" si="214"/>
        <v>0</v>
      </c>
      <c r="S263" s="46">
        <f t="shared" si="215"/>
        <v>0</v>
      </c>
      <c r="T263" s="46" t="b">
        <f t="shared" si="216"/>
        <v>1</v>
      </c>
      <c r="U263" s="46" t="b">
        <f t="shared" si="217"/>
        <v>1</v>
      </c>
    </row>
    <row r="264" s="69" customFormat="1" customHeight="1" outlineLevel="1" spans="1:21">
      <c r="A264" s="32">
        <v>196</v>
      </c>
      <c r="B264" s="32" t="s">
        <v>289</v>
      </c>
      <c r="C264" s="32" t="s">
        <v>290</v>
      </c>
      <c r="D264" s="32" t="s">
        <v>59</v>
      </c>
      <c r="E264" s="32">
        <v>63.41</v>
      </c>
      <c r="F264" s="72">
        <v>20</v>
      </c>
      <c r="G264" s="48">
        <f t="shared" ref="G264:G269" si="226">H264*(1+I264)</f>
        <v>36.75</v>
      </c>
      <c r="H264" s="72">
        <v>35</v>
      </c>
      <c r="I264" s="49">
        <v>0.05</v>
      </c>
      <c r="J264" s="48">
        <v>8</v>
      </c>
      <c r="K264" s="48">
        <f>(F264+G264+J264)*$K$5</f>
        <v>3.885</v>
      </c>
      <c r="L264" s="48">
        <f>(F264+G264+J264+K264)*$L$5</f>
        <v>2.05905</v>
      </c>
      <c r="M264" s="76">
        <f t="shared" si="220"/>
        <v>98.97167</v>
      </c>
      <c r="N264" s="77"/>
      <c r="O264" s="48">
        <f t="shared" ref="O264:O269" si="227">M264*E264</f>
        <v>6275.7935947</v>
      </c>
      <c r="P264" s="75"/>
      <c r="Q264" s="78"/>
      <c r="R264" s="46">
        <f t="shared" si="214"/>
        <v>6275.7935947</v>
      </c>
      <c r="S264" s="46">
        <f t="shared" si="215"/>
        <v>70.69405</v>
      </c>
      <c r="T264" s="46" t="b">
        <f t="shared" si="216"/>
        <v>1</v>
      </c>
      <c r="U264" s="46" t="b">
        <f t="shared" si="217"/>
        <v>0</v>
      </c>
    </row>
    <row r="265" s="69" customFormat="1" customHeight="1" outlineLevel="1" spans="1:21">
      <c r="A265" s="32">
        <v>197</v>
      </c>
      <c r="B265" s="32" t="s">
        <v>291</v>
      </c>
      <c r="C265" s="32" t="s">
        <v>292</v>
      </c>
      <c r="D265" s="32" t="s">
        <v>59</v>
      </c>
      <c r="E265" s="32">
        <v>12.46</v>
      </c>
      <c r="F265" s="72">
        <v>220</v>
      </c>
      <c r="G265" s="48">
        <f t="shared" si="226"/>
        <v>181.5</v>
      </c>
      <c r="H265" s="72">
        <v>165</v>
      </c>
      <c r="I265" s="49">
        <v>0.1</v>
      </c>
      <c r="J265" s="48">
        <v>50</v>
      </c>
      <c r="K265" s="48">
        <f>(F265+G265+J265)*$K$5</f>
        <v>27.09</v>
      </c>
      <c r="L265" s="48">
        <f>(F265+G265+J265+K265)*$L$5</f>
        <v>14.3577</v>
      </c>
      <c r="M265" s="76">
        <f t="shared" si="220"/>
        <v>690.12678</v>
      </c>
      <c r="N265" s="77"/>
      <c r="O265" s="48">
        <f t="shared" si="227"/>
        <v>8598.9796788</v>
      </c>
      <c r="P265" s="75" t="str">
        <f>P215</f>
        <v>立邦</v>
      </c>
      <c r="Q265" s="78"/>
      <c r="R265" s="46">
        <f t="shared" si="214"/>
        <v>8598.9796788</v>
      </c>
      <c r="S265" s="46">
        <f t="shared" si="215"/>
        <v>492.9477</v>
      </c>
      <c r="T265" s="46" t="b">
        <f t="shared" si="216"/>
        <v>1</v>
      </c>
      <c r="U265" s="46" t="b">
        <f t="shared" si="217"/>
        <v>0</v>
      </c>
    </row>
    <row r="266" s="69" customFormat="1" customHeight="1" outlineLevel="1" spans="1:21">
      <c r="A266" s="32">
        <v>198</v>
      </c>
      <c r="B266" s="32" t="s">
        <v>200</v>
      </c>
      <c r="C266" s="32" t="s">
        <v>241</v>
      </c>
      <c r="D266" s="32" t="s">
        <v>59</v>
      </c>
      <c r="E266" s="32">
        <v>1.92</v>
      </c>
      <c r="F266" s="72">
        <f t="shared" ref="F266:J266" si="228">F168</f>
        <v>150</v>
      </c>
      <c r="G266" s="48">
        <f t="shared" si="226"/>
        <v>682.5</v>
      </c>
      <c r="H266" s="72">
        <f t="shared" si="228"/>
        <v>650</v>
      </c>
      <c r="I266" s="49">
        <f t="shared" si="228"/>
        <v>0.05</v>
      </c>
      <c r="J266" s="48">
        <f t="shared" si="228"/>
        <v>100</v>
      </c>
      <c r="K266" s="48">
        <f>(F266+G266+J266)*$K$5</f>
        <v>55.95</v>
      </c>
      <c r="L266" s="48">
        <f>(F266+G266+J266+K266)*$L$5</f>
        <v>29.6535</v>
      </c>
      <c r="M266" s="76">
        <f t="shared" si="220"/>
        <v>1425.3449</v>
      </c>
      <c r="N266" s="77"/>
      <c r="O266" s="48">
        <f t="shared" si="227"/>
        <v>2736.662208</v>
      </c>
      <c r="P266" s="75"/>
      <c r="Q266" s="78"/>
      <c r="R266" s="46">
        <f t="shared" si="214"/>
        <v>2736.662208</v>
      </c>
      <c r="S266" s="46">
        <f t="shared" si="215"/>
        <v>1018.1035</v>
      </c>
      <c r="T266" s="46" t="b">
        <f t="shared" si="216"/>
        <v>1</v>
      </c>
      <c r="U266" s="46" t="b">
        <f t="shared" si="217"/>
        <v>0</v>
      </c>
    </row>
    <row r="267" s="69" customFormat="1" customHeight="1" outlineLevel="1" spans="1:21">
      <c r="A267" s="32">
        <v>199</v>
      </c>
      <c r="B267" s="32" t="s">
        <v>78</v>
      </c>
      <c r="C267" s="32" t="s">
        <v>293</v>
      </c>
      <c r="D267" s="32" t="s">
        <v>59</v>
      </c>
      <c r="E267" s="32">
        <v>1.28</v>
      </c>
      <c r="F267" s="72">
        <f t="shared" ref="F267:J267" si="229">F169</f>
        <v>165</v>
      </c>
      <c r="G267" s="48">
        <f t="shared" si="226"/>
        <v>315</v>
      </c>
      <c r="H267" s="72">
        <f t="shared" si="229"/>
        <v>300</v>
      </c>
      <c r="I267" s="49">
        <f t="shared" si="229"/>
        <v>0.05</v>
      </c>
      <c r="J267" s="48">
        <f t="shared" si="229"/>
        <v>135</v>
      </c>
      <c r="K267" s="48">
        <f>(F267+G267+J267)*$K$5</f>
        <v>36.9</v>
      </c>
      <c r="L267" s="48">
        <f>(F267+G267+J267+K267)*$L$5</f>
        <v>19.557</v>
      </c>
      <c r="M267" s="76">
        <f t="shared" si="220"/>
        <v>940.0398</v>
      </c>
      <c r="N267" s="77"/>
      <c r="O267" s="48">
        <f t="shared" si="227"/>
        <v>1203.250944</v>
      </c>
      <c r="P267" s="75" t="str">
        <f>P218</f>
        <v>厂家定制</v>
      </c>
      <c r="Q267" s="78"/>
      <c r="R267" s="46">
        <f t="shared" si="214"/>
        <v>1203.250944</v>
      </c>
      <c r="S267" s="46">
        <f t="shared" si="215"/>
        <v>671.457</v>
      </c>
      <c r="T267" s="46" t="b">
        <f t="shared" si="216"/>
        <v>1</v>
      </c>
      <c r="U267" s="46" t="b">
        <f t="shared" si="217"/>
        <v>0</v>
      </c>
    </row>
    <row r="268" s="69" customFormat="1" customHeight="1" outlineLevel="1" spans="1:21">
      <c r="A268" s="32">
        <v>200</v>
      </c>
      <c r="B268" s="32" t="s">
        <v>170</v>
      </c>
      <c r="C268" s="32" t="s">
        <v>294</v>
      </c>
      <c r="D268" s="32" t="s">
        <v>91</v>
      </c>
      <c r="E268" s="32">
        <v>1</v>
      </c>
      <c r="F268" s="72">
        <f t="shared" ref="F268:J268" si="230">F170</f>
        <v>300</v>
      </c>
      <c r="G268" s="48">
        <f t="shared" si="226"/>
        <v>1111</v>
      </c>
      <c r="H268" s="72">
        <f t="shared" si="230"/>
        <v>1100</v>
      </c>
      <c r="I268" s="49">
        <f t="shared" si="230"/>
        <v>0.01</v>
      </c>
      <c r="J268" s="48">
        <f t="shared" si="230"/>
        <v>310</v>
      </c>
      <c r="K268" s="48">
        <f>(F268+G268+J268)*$K$5</f>
        <v>103.26</v>
      </c>
      <c r="L268" s="48">
        <f>(F268+G268+J268+K268)*$L$5</f>
        <v>54.7278</v>
      </c>
      <c r="M268" s="76">
        <f t="shared" si="220"/>
        <v>2630.58292</v>
      </c>
      <c r="N268" s="77"/>
      <c r="O268" s="48">
        <f t="shared" si="227"/>
        <v>2630.58292</v>
      </c>
      <c r="P268" s="75" t="str">
        <f>P219</f>
        <v>厂家定制</v>
      </c>
      <c r="Q268" s="78"/>
      <c r="R268" s="46">
        <f t="shared" si="214"/>
        <v>2630.58292</v>
      </c>
      <c r="S268" s="46">
        <f t="shared" si="215"/>
        <v>1878.9878</v>
      </c>
      <c r="T268" s="46" t="b">
        <f t="shared" si="216"/>
        <v>1</v>
      </c>
      <c r="U268" s="46" t="b">
        <f t="shared" si="217"/>
        <v>0</v>
      </c>
    </row>
    <row r="269" s="69" customFormat="1" customHeight="1" outlineLevel="1" spans="1:21">
      <c r="A269" s="32">
        <v>201</v>
      </c>
      <c r="B269" s="32" t="s">
        <v>267</v>
      </c>
      <c r="C269" s="32" t="s">
        <v>295</v>
      </c>
      <c r="D269" s="32" t="s">
        <v>59</v>
      </c>
      <c r="E269" s="32">
        <v>3.28</v>
      </c>
      <c r="F269" s="72">
        <f t="shared" ref="F269:J269" si="231">F41</f>
        <v>150</v>
      </c>
      <c r="G269" s="48">
        <f t="shared" si="226"/>
        <v>472.5</v>
      </c>
      <c r="H269" s="72">
        <f t="shared" si="231"/>
        <v>450</v>
      </c>
      <c r="I269" s="49">
        <f t="shared" si="231"/>
        <v>0.05</v>
      </c>
      <c r="J269" s="48">
        <f t="shared" si="231"/>
        <v>75</v>
      </c>
      <c r="K269" s="48">
        <f>(F269+G269+J269)*$K$5</f>
        <v>41.85</v>
      </c>
      <c r="L269" s="48">
        <f>(F269+G269+J269+K269)*$L$5</f>
        <v>22.1805</v>
      </c>
      <c r="M269" s="76">
        <f t="shared" si="220"/>
        <v>1066.1427</v>
      </c>
      <c r="N269" s="77"/>
      <c r="O269" s="48">
        <f t="shared" si="227"/>
        <v>3496.948056</v>
      </c>
      <c r="P269" s="75" t="str">
        <f>P245</f>
        <v>厂家定制</v>
      </c>
      <c r="Q269" s="78"/>
      <c r="R269" s="46">
        <f t="shared" si="214"/>
        <v>3496.948056</v>
      </c>
      <c r="S269" s="46">
        <f t="shared" si="215"/>
        <v>761.5305</v>
      </c>
      <c r="T269" s="46" t="b">
        <f t="shared" si="216"/>
        <v>1</v>
      </c>
      <c r="U269" s="46" t="b">
        <f t="shared" si="217"/>
        <v>0</v>
      </c>
    </row>
    <row r="270" s="69" customFormat="1" customHeight="1" spans="1:21">
      <c r="A270" s="32"/>
      <c r="B270" s="32" t="s">
        <v>296</v>
      </c>
      <c r="C270" s="32"/>
      <c r="D270" s="32"/>
      <c r="E270" s="32"/>
      <c r="F270" s="72"/>
      <c r="G270" s="48"/>
      <c r="H270" s="72"/>
      <c r="I270" s="49"/>
      <c r="J270" s="48"/>
      <c r="K270" s="48"/>
      <c r="L270" s="48"/>
      <c r="M270" s="76">
        <f t="shared" si="220"/>
        <v>0</v>
      </c>
      <c r="N270" s="77"/>
      <c r="O270" s="48"/>
      <c r="P270" s="75"/>
      <c r="Q270" s="78"/>
      <c r="R270" s="46">
        <f t="shared" si="214"/>
        <v>0</v>
      </c>
      <c r="S270" s="46">
        <f t="shared" si="215"/>
        <v>0</v>
      </c>
      <c r="T270" s="46" t="b">
        <f t="shared" si="216"/>
        <v>1</v>
      </c>
      <c r="U270" s="46" t="b">
        <f t="shared" si="217"/>
        <v>1</v>
      </c>
    </row>
    <row r="271" s="69" customFormat="1" customHeight="1" outlineLevel="1" spans="1:21">
      <c r="A271" s="32">
        <v>202</v>
      </c>
      <c r="B271" s="32" t="s">
        <v>281</v>
      </c>
      <c r="C271" s="32" t="s">
        <v>282</v>
      </c>
      <c r="D271" s="32" t="s">
        <v>59</v>
      </c>
      <c r="E271" s="32">
        <v>31.38</v>
      </c>
      <c r="F271" s="72">
        <f t="shared" ref="F271:J271" si="232">F258</f>
        <v>85</v>
      </c>
      <c r="G271" s="48">
        <f t="shared" ref="G271:G275" si="233">H271*(1+I271)</f>
        <v>126</v>
      </c>
      <c r="H271" s="72">
        <f t="shared" si="232"/>
        <v>120</v>
      </c>
      <c r="I271" s="49">
        <f t="shared" si="232"/>
        <v>0.05</v>
      </c>
      <c r="J271" s="48">
        <f t="shared" si="232"/>
        <v>70</v>
      </c>
      <c r="K271" s="48">
        <f>(F271+G271+J271)*$K$5</f>
        <v>16.86</v>
      </c>
      <c r="L271" s="48">
        <f>(F271+G271+J271+K271)*$L$5</f>
        <v>8.9358</v>
      </c>
      <c r="M271" s="76">
        <f t="shared" si="220"/>
        <v>429.51412</v>
      </c>
      <c r="N271" s="77"/>
      <c r="O271" s="48">
        <f t="shared" ref="O271:O275" si="234">M271*E271</f>
        <v>13478.1530856</v>
      </c>
      <c r="P271" s="75" t="str">
        <f>P67</f>
        <v>广东产</v>
      </c>
      <c r="Q271" s="78"/>
      <c r="R271" s="46">
        <f t="shared" si="214"/>
        <v>13478.1530856</v>
      </c>
      <c r="S271" s="46">
        <f t="shared" si="215"/>
        <v>306.7958</v>
      </c>
      <c r="T271" s="46" t="b">
        <f t="shared" si="216"/>
        <v>1</v>
      </c>
      <c r="U271" s="46" t="b">
        <f t="shared" si="217"/>
        <v>0</v>
      </c>
    </row>
    <row r="272" s="69" customFormat="1" customHeight="1" outlineLevel="1" spans="1:21">
      <c r="A272" s="32">
        <v>203</v>
      </c>
      <c r="B272" s="32" t="s">
        <v>283</v>
      </c>
      <c r="C272" s="32" t="s">
        <v>284</v>
      </c>
      <c r="D272" s="32" t="s">
        <v>59</v>
      </c>
      <c r="E272" s="32">
        <v>16.57</v>
      </c>
      <c r="F272" s="72">
        <f t="shared" ref="F272:J272" si="235">F259</f>
        <v>125</v>
      </c>
      <c r="G272" s="48">
        <f t="shared" si="233"/>
        <v>577.5</v>
      </c>
      <c r="H272" s="72">
        <f t="shared" si="235"/>
        <v>550</v>
      </c>
      <c r="I272" s="49">
        <f t="shared" si="235"/>
        <v>0.05</v>
      </c>
      <c r="J272" s="48">
        <f t="shared" si="235"/>
        <v>125</v>
      </c>
      <c r="K272" s="48">
        <f>(F272+G272+J272)*$K$5</f>
        <v>49.65</v>
      </c>
      <c r="L272" s="48">
        <f>(F272+G272+J272+K272)*$L$5</f>
        <v>26.3145</v>
      </c>
      <c r="M272" s="76">
        <f t="shared" si="220"/>
        <v>1264.8503</v>
      </c>
      <c r="N272" s="77"/>
      <c r="O272" s="48">
        <f t="shared" si="234"/>
        <v>20958.569471</v>
      </c>
      <c r="P272" s="75"/>
      <c r="Q272" s="78"/>
      <c r="R272" s="46">
        <f t="shared" si="214"/>
        <v>20958.569471</v>
      </c>
      <c r="S272" s="46">
        <f t="shared" si="215"/>
        <v>903.4645</v>
      </c>
      <c r="T272" s="46" t="b">
        <f t="shared" si="216"/>
        <v>1</v>
      </c>
      <c r="U272" s="46" t="b">
        <f t="shared" si="217"/>
        <v>0</v>
      </c>
    </row>
    <row r="273" s="69" customFormat="1" customHeight="1" outlineLevel="1" spans="1:21">
      <c r="A273" s="32">
        <v>204</v>
      </c>
      <c r="B273" s="32" t="s">
        <v>119</v>
      </c>
      <c r="C273" s="32" t="s">
        <v>285</v>
      </c>
      <c r="D273" s="32" t="s">
        <v>59</v>
      </c>
      <c r="E273" s="32">
        <v>4.89</v>
      </c>
      <c r="F273" s="72">
        <f t="shared" ref="F273:J273" si="236">F260</f>
        <v>185</v>
      </c>
      <c r="G273" s="48">
        <f t="shared" si="233"/>
        <v>441</v>
      </c>
      <c r="H273" s="72">
        <f t="shared" si="236"/>
        <v>420</v>
      </c>
      <c r="I273" s="49">
        <f t="shared" si="236"/>
        <v>0.05</v>
      </c>
      <c r="J273" s="48">
        <f t="shared" si="236"/>
        <v>165</v>
      </c>
      <c r="K273" s="48">
        <f>(F273+G273+J273)*$K$5</f>
        <v>47.46</v>
      </c>
      <c r="L273" s="48">
        <f>(F273+G273+J273+K273)*$L$5</f>
        <v>25.1538</v>
      </c>
      <c r="M273" s="76">
        <f t="shared" si="220"/>
        <v>1209.05932</v>
      </c>
      <c r="N273" s="77"/>
      <c r="O273" s="48">
        <f t="shared" si="234"/>
        <v>5912.3000748</v>
      </c>
      <c r="P273" s="75"/>
      <c r="Q273" s="78"/>
      <c r="R273" s="46">
        <f t="shared" si="214"/>
        <v>5912.3000748</v>
      </c>
      <c r="S273" s="46">
        <f t="shared" si="215"/>
        <v>863.6138</v>
      </c>
      <c r="T273" s="46" t="b">
        <f t="shared" si="216"/>
        <v>1</v>
      </c>
      <c r="U273" s="46" t="b">
        <f t="shared" si="217"/>
        <v>0</v>
      </c>
    </row>
    <row r="274" s="69" customFormat="1" customHeight="1" outlineLevel="1" spans="1:21">
      <c r="A274" s="32">
        <v>205</v>
      </c>
      <c r="B274" s="32" t="s">
        <v>119</v>
      </c>
      <c r="C274" s="32" t="s">
        <v>286</v>
      </c>
      <c r="D274" s="32" t="s">
        <v>59</v>
      </c>
      <c r="E274" s="32">
        <v>5.68</v>
      </c>
      <c r="F274" s="72">
        <f t="shared" ref="F274:J274" si="237">F260</f>
        <v>185</v>
      </c>
      <c r="G274" s="48">
        <f t="shared" si="233"/>
        <v>441</v>
      </c>
      <c r="H274" s="72">
        <f t="shared" si="237"/>
        <v>420</v>
      </c>
      <c r="I274" s="49">
        <f t="shared" si="237"/>
        <v>0.05</v>
      </c>
      <c r="J274" s="48">
        <f t="shared" si="237"/>
        <v>165</v>
      </c>
      <c r="K274" s="48">
        <f>(F274+G274+J274)*$K$5</f>
        <v>47.46</v>
      </c>
      <c r="L274" s="48">
        <f>(F274+G274+J274+K274)*$L$5</f>
        <v>25.1538</v>
      </c>
      <c r="M274" s="76">
        <f t="shared" si="220"/>
        <v>1209.05932</v>
      </c>
      <c r="N274" s="77"/>
      <c r="O274" s="48">
        <f t="shared" si="234"/>
        <v>6867.4569376</v>
      </c>
      <c r="P274" s="75"/>
      <c r="Q274" s="78"/>
      <c r="R274" s="46">
        <f t="shared" si="214"/>
        <v>6867.4569376</v>
      </c>
      <c r="S274" s="46">
        <f t="shared" si="215"/>
        <v>863.6138</v>
      </c>
      <c r="T274" s="46" t="b">
        <f t="shared" si="216"/>
        <v>1</v>
      </c>
      <c r="U274" s="46" t="b">
        <f t="shared" si="217"/>
        <v>0</v>
      </c>
    </row>
    <row r="275" s="69" customFormat="1" customHeight="1" outlineLevel="1" spans="1:21">
      <c r="A275" s="32">
        <v>206</v>
      </c>
      <c r="B275" s="32" t="s">
        <v>287</v>
      </c>
      <c r="C275" s="32" t="s">
        <v>288</v>
      </c>
      <c r="D275" s="32" t="s">
        <v>59</v>
      </c>
      <c r="E275" s="32">
        <v>2.33</v>
      </c>
      <c r="F275" s="72">
        <f t="shared" ref="F275:J275" si="238">F262</f>
        <v>220</v>
      </c>
      <c r="G275" s="48">
        <f t="shared" si="233"/>
        <v>399</v>
      </c>
      <c r="H275" s="72">
        <f t="shared" si="238"/>
        <v>380</v>
      </c>
      <c r="I275" s="49">
        <f t="shared" si="238"/>
        <v>0.05</v>
      </c>
      <c r="J275" s="48">
        <f t="shared" si="238"/>
        <v>190</v>
      </c>
      <c r="K275" s="48">
        <f>(F275+G275+J275)*$K$5</f>
        <v>48.54</v>
      </c>
      <c r="L275" s="48">
        <f>(F275+G275+J275+K275)*$L$5</f>
        <v>25.7262</v>
      </c>
      <c r="M275" s="53">
        <f t="shared" si="220"/>
        <v>1236.57268</v>
      </c>
      <c r="N275" s="54"/>
      <c r="O275" s="48">
        <f t="shared" si="234"/>
        <v>2881.2143444</v>
      </c>
      <c r="P275" s="75"/>
      <c r="Q275" s="78"/>
      <c r="R275" s="46">
        <f t="shared" si="214"/>
        <v>2881.2143444</v>
      </c>
      <c r="S275" s="46">
        <f t="shared" si="215"/>
        <v>883.2662</v>
      </c>
      <c r="T275" s="46" t="b">
        <f t="shared" si="216"/>
        <v>1</v>
      </c>
      <c r="U275" s="46" t="b">
        <f t="shared" si="217"/>
        <v>0</v>
      </c>
    </row>
    <row r="276" s="69" customFormat="1" customHeight="1" outlineLevel="1" spans="1:21">
      <c r="A276" s="32"/>
      <c r="B276" s="32"/>
      <c r="C276" s="32"/>
      <c r="D276" s="32"/>
      <c r="E276" s="32"/>
      <c r="F276" s="72"/>
      <c r="G276" s="48"/>
      <c r="H276" s="72"/>
      <c r="I276" s="49"/>
      <c r="J276" s="48"/>
      <c r="K276" s="48"/>
      <c r="L276" s="48"/>
      <c r="M276" s="65"/>
      <c r="N276" s="66"/>
      <c r="O276" s="48"/>
      <c r="P276" s="75"/>
      <c r="Q276" s="78"/>
      <c r="R276" s="46">
        <f t="shared" si="214"/>
        <v>0</v>
      </c>
      <c r="S276" s="46">
        <f t="shared" si="215"/>
        <v>0</v>
      </c>
      <c r="T276" s="46" t="b">
        <f t="shared" si="216"/>
        <v>1</v>
      </c>
      <c r="U276" s="46" t="b">
        <f t="shared" si="217"/>
        <v>1</v>
      </c>
    </row>
    <row r="277" s="69" customFormat="1" customHeight="1" outlineLevel="1" spans="1:21">
      <c r="A277" s="32">
        <v>207</v>
      </c>
      <c r="B277" s="32" t="s">
        <v>289</v>
      </c>
      <c r="C277" s="32" t="s">
        <v>290</v>
      </c>
      <c r="D277" s="32" t="s">
        <v>59</v>
      </c>
      <c r="E277" s="32">
        <v>56.38</v>
      </c>
      <c r="F277" s="72">
        <f t="shared" ref="F277:J277" si="239">F264</f>
        <v>20</v>
      </c>
      <c r="G277" s="48">
        <f t="shared" ref="G277:G281" si="240">H277*(1+I277)</f>
        <v>36.75</v>
      </c>
      <c r="H277" s="72">
        <f t="shared" si="239"/>
        <v>35</v>
      </c>
      <c r="I277" s="49">
        <f t="shared" si="239"/>
        <v>0.05</v>
      </c>
      <c r="J277" s="48">
        <f t="shared" si="239"/>
        <v>8</v>
      </c>
      <c r="K277" s="48">
        <f>(F277+G277+J277)*$K$5</f>
        <v>3.885</v>
      </c>
      <c r="L277" s="48">
        <f>(F277+G277+J277+K277)*$L$5</f>
        <v>2.05905</v>
      </c>
      <c r="M277" s="76">
        <f t="shared" si="220"/>
        <v>98.97167</v>
      </c>
      <c r="N277" s="77"/>
      <c r="O277" s="48">
        <f t="shared" ref="O277:O281" si="241">M277*E277</f>
        <v>5580.0227546</v>
      </c>
      <c r="P277" s="75"/>
      <c r="Q277" s="78"/>
      <c r="R277" s="46">
        <f t="shared" si="214"/>
        <v>5580.0227546</v>
      </c>
      <c r="S277" s="46">
        <f t="shared" si="215"/>
        <v>70.69405</v>
      </c>
      <c r="T277" s="46" t="b">
        <f t="shared" si="216"/>
        <v>1</v>
      </c>
      <c r="U277" s="46" t="b">
        <f t="shared" si="217"/>
        <v>0</v>
      </c>
    </row>
    <row r="278" s="69" customFormat="1" customHeight="1" outlineLevel="1" spans="1:21">
      <c r="A278" s="32">
        <v>208</v>
      </c>
      <c r="B278" s="32" t="s">
        <v>291</v>
      </c>
      <c r="C278" s="32" t="s">
        <v>292</v>
      </c>
      <c r="D278" s="32" t="s">
        <v>59</v>
      </c>
      <c r="E278" s="32">
        <v>12.46</v>
      </c>
      <c r="F278" s="72">
        <f t="shared" ref="F278:J278" si="242">F265</f>
        <v>220</v>
      </c>
      <c r="G278" s="48">
        <f t="shared" si="240"/>
        <v>181.5</v>
      </c>
      <c r="H278" s="72">
        <f t="shared" si="242"/>
        <v>165</v>
      </c>
      <c r="I278" s="49">
        <f t="shared" si="242"/>
        <v>0.1</v>
      </c>
      <c r="J278" s="48">
        <f t="shared" si="242"/>
        <v>50</v>
      </c>
      <c r="K278" s="48">
        <f>(F278+G278+J278)*$K$5</f>
        <v>27.09</v>
      </c>
      <c r="L278" s="48">
        <f>(F278+G278+J278+K278)*$L$5</f>
        <v>14.3577</v>
      </c>
      <c r="M278" s="76">
        <f t="shared" si="220"/>
        <v>690.12678</v>
      </c>
      <c r="N278" s="77"/>
      <c r="O278" s="48">
        <f t="shared" si="241"/>
        <v>8598.9796788</v>
      </c>
      <c r="P278" s="75" t="str">
        <f>P215</f>
        <v>立邦</v>
      </c>
      <c r="Q278" s="78"/>
      <c r="R278" s="46">
        <f t="shared" si="214"/>
        <v>8598.9796788</v>
      </c>
      <c r="S278" s="46">
        <f t="shared" si="215"/>
        <v>492.9477</v>
      </c>
      <c r="T278" s="46" t="b">
        <f t="shared" si="216"/>
        <v>1</v>
      </c>
      <c r="U278" s="46" t="b">
        <f t="shared" si="217"/>
        <v>0</v>
      </c>
    </row>
    <row r="279" s="69" customFormat="1" customHeight="1" outlineLevel="1" spans="1:21">
      <c r="A279" s="32">
        <v>209</v>
      </c>
      <c r="B279" s="32" t="s">
        <v>200</v>
      </c>
      <c r="C279" s="32" t="s">
        <v>241</v>
      </c>
      <c r="D279" s="32" t="s">
        <v>59</v>
      </c>
      <c r="E279" s="32">
        <v>3.84</v>
      </c>
      <c r="F279" s="72">
        <f t="shared" ref="F279:J279" si="243">F168</f>
        <v>150</v>
      </c>
      <c r="G279" s="48">
        <f t="shared" si="240"/>
        <v>682.5</v>
      </c>
      <c r="H279" s="72">
        <f t="shared" si="243"/>
        <v>650</v>
      </c>
      <c r="I279" s="49">
        <f t="shared" si="243"/>
        <v>0.05</v>
      </c>
      <c r="J279" s="48">
        <f t="shared" si="243"/>
        <v>100</v>
      </c>
      <c r="K279" s="48">
        <f>(F279+G279+J279)*$K$5</f>
        <v>55.95</v>
      </c>
      <c r="L279" s="48">
        <f>(F279+G279+J279+K279)*$L$5</f>
        <v>29.6535</v>
      </c>
      <c r="M279" s="76">
        <f t="shared" si="220"/>
        <v>1425.3449</v>
      </c>
      <c r="N279" s="77"/>
      <c r="O279" s="48">
        <f t="shared" si="241"/>
        <v>5473.324416</v>
      </c>
      <c r="P279" s="75"/>
      <c r="Q279" s="78"/>
      <c r="R279" s="46">
        <f t="shared" si="214"/>
        <v>5473.324416</v>
      </c>
      <c r="S279" s="46">
        <f t="shared" si="215"/>
        <v>1018.1035</v>
      </c>
      <c r="T279" s="46" t="b">
        <f t="shared" si="216"/>
        <v>1</v>
      </c>
      <c r="U279" s="46" t="b">
        <f t="shared" si="217"/>
        <v>0</v>
      </c>
    </row>
    <row r="280" s="69" customFormat="1" customHeight="1" outlineLevel="1" spans="1:21">
      <c r="A280" s="32">
        <v>210</v>
      </c>
      <c r="B280" s="32" t="s">
        <v>78</v>
      </c>
      <c r="C280" s="32" t="s">
        <v>294</v>
      </c>
      <c r="D280" s="32" t="s">
        <v>59</v>
      </c>
      <c r="E280" s="32">
        <v>2.56</v>
      </c>
      <c r="F280" s="72">
        <f t="shared" ref="F280:J280" si="244">F169</f>
        <v>165</v>
      </c>
      <c r="G280" s="48">
        <f t="shared" si="240"/>
        <v>315</v>
      </c>
      <c r="H280" s="72">
        <f t="shared" si="244"/>
        <v>300</v>
      </c>
      <c r="I280" s="49">
        <f t="shared" si="244"/>
        <v>0.05</v>
      </c>
      <c r="J280" s="48">
        <f t="shared" si="244"/>
        <v>135</v>
      </c>
      <c r="K280" s="48">
        <f>(F280+G280+J280)*$K$5</f>
        <v>36.9</v>
      </c>
      <c r="L280" s="48">
        <f>(F280+G280+J280+K280)*$L$5</f>
        <v>19.557</v>
      </c>
      <c r="M280" s="76">
        <f t="shared" si="220"/>
        <v>940.0398</v>
      </c>
      <c r="N280" s="77"/>
      <c r="O280" s="48">
        <f t="shared" si="241"/>
        <v>2406.501888</v>
      </c>
      <c r="P280" s="75" t="str">
        <f>P246</f>
        <v>厂家定制</v>
      </c>
      <c r="Q280" s="78"/>
      <c r="R280" s="46">
        <f t="shared" si="214"/>
        <v>2406.501888</v>
      </c>
      <c r="S280" s="46">
        <f t="shared" si="215"/>
        <v>671.457</v>
      </c>
      <c r="T280" s="46" t="b">
        <f t="shared" si="216"/>
        <v>1</v>
      </c>
      <c r="U280" s="46" t="b">
        <f t="shared" si="217"/>
        <v>0</v>
      </c>
    </row>
    <row r="281" s="69" customFormat="1" customHeight="1" outlineLevel="1" spans="1:21">
      <c r="A281" s="32">
        <v>211</v>
      </c>
      <c r="B281" s="32" t="s">
        <v>170</v>
      </c>
      <c r="C281" s="32" t="s">
        <v>293</v>
      </c>
      <c r="D281" s="32" t="s">
        <v>91</v>
      </c>
      <c r="E281" s="32">
        <v>2</v>
      </c>
      <c r="F281" s="72">
        <f t="shared" ref="F281:J281" si="245">F170</f>
        <v>300</v>
      </c>
      <c r="G281" s="48">
        <f t="shared" si="240"/>
        <v>1111</v>
      </c>
      <c r="H281" s="72">
        <f t="shared" si="245"/>
        <v>1100</v>
      </c>
      <c r="I281" s="49">
        <f t="shared" si="245"/>
        <v>0.01</v>
      </c>
      <c r="J281" s="48">
        <f t="shared" si="245"/>
        <v>310</v>
      </c>
      <c r="K281" s="48">
        <f>(F281+G281+J281)*$K$5</f>
        <v>103.26</v>
      </c>
      <c r="L281" s="48">
        <f>(F281+G281+J281+K281)*$L$5</f>
        <v>54.7278</v>
      </c>
      <c r="M281" s="76">
        <f t="shared" si="220"/>
        <v>2630.58292</v>
      </c>
      <c r="N281" s="77"/>
      <c r="O281" s="48">
        <f t="shared" si="241"/>
        <v>5261.16584</v>
      </c>
      <c r="P281" s="75" t="str">
        <f>P252</f>
        <v>厂家定制</v>
      </c>
      <c r="Q281" s="78"/>
      <c r="R281" s="46">
        <f t="shared" si="214"/>
        <v>5261.16584</v>
      </c>
      <c r="S281" s="46">
        <f t="shared" si="215"/>
        <v>1878.9878</v>
      </c>
      <c r="T281" s="46" t="b">
        <f t="shared" si="216"/>
        <v>1</v>
      </c>
      <c r="U281" s="46" t="b">
        <f t="shared" si="217"/>
        <v>0</v>
      </c>
    </row>
    <row r="282" s="69" customFormat="1" customHeight="1" spans="1:21">
      <c r="A282" s="32"/>
      <c r="B282" s="32" t="s">
        <v>297</v>
      </c>
      <c r="C282" s="32"/>
      <c r="D282" s="32"/>
      <c r="E282" s="32"/>
      <c r="F282" s="72"/>
      <c r="G282" s="48"/>
      <c r="H282" s="72"/>
      <c r="I282" s="49"/>
      <c r="J282" s="48"/>
      <c r="K282" s="48"/>
      <c r="L282" s="48"/>
      <c r="M282" s="76">
        <f t="shared" si="220"/>
        <v>0</v>
      </c>
      <c r="N282" s="77"/>
      <c r="O282" s="48"/>
      <c r="P282" s="75"/>
      <c r="Q282" s="78"/>
      <c r="R282" s="46">
        <f t="shared" si="214"/>
        <v>0</v>
      </c>
      <c r="S282" s="46">
        <f t="shared" si="215"/>
        <v>0</v>
      </c>
      <c r="T282" s="46" t="b">
        <f t="shared" si="216"/>
        <v>1</v>
      </c>
      <c r="U282" s="46" t="b">
        <f t="shared" si="217"/>
        <v>1</v>
      </c>
    </row>
    <row r="283" s="69" customFormat="1" customHeight="1" outlineLevel="1" spans="1:21">
      <c r="A283" s="32">
        <v>212</v>
      </c>
      <c r="B283" s="32" t="s">
        <v>78</v>
      </c>
      <c r="C283" s="32" t="s">
        <v>298</v>
      </c>
      <c r="D283" s="32" t="s">
        <v>59</v>
      </c>
      <c r="E283" s="32">
        <v>57.13</v>
      </c>
      <c r="F283" s="72">
        <f t="shared" ref="F283:J283" si="246">F131</f>
        <v>155</v>
      </c>
      <c r="G283" s="48">
        <f t="shared" ref="G283:G285" si="247">H283*(1+I283)</f>
        <v>315</v>
      </c>
      <c r="H283" s="72">
        <f t="shared" si="246"/>
        <v>300</v>
      </c>
      <c r="I283" s="49">
        <f>I169</f>
        <v>0.05</v>
      </c>
      <c r="J283" s="72">
        <f t="shared" si="246"/>
        <v>80</v>
      </c>
      <c r="K283" s="48">
        <f>(F283+G283+J283)*$K$5</f>
        <v>33</v>
      </c>
      <c r="L283" s="48">
        <f>(F283+G283+J283+K283)*$L$5</f>
        <v>17.49</v>
      </c>
      <c r="M283" s="76">
        <f t="shared" si="220"/>
        <v>840.686</v>
      </c>
      <c r="N283" s="77"/>
      <c r="O283" s="48">
        <f t="shared" ref="O283:O285" si="248">M283*E283</f>
        <v>48028.39118</v>
      </c>
      <c r="P283" s="75" t="str">
        <f>P253</f>
        <v>厂家定制</v>
      </c>
      <c r="Q283" s="78"/>
      <c r="R283" s="46">
        <f t="shared" si="214"/>
        <v>48028.39118</v>
      </c>
      <c r="S283" s="46">
        <f t="shared" si="215"/>
        <v>600.49</v>
      </c>
      <c r="T283" s="46" t="b">
        <f t="shared" si="216"/>
        <v>1</v>
      </c>
      <c r="U283" s="46" t="b">
        <f t="shared" si="217"/>
        <v>0</v>
      </c>
    </row>
    <row r="284" s="69" customFormat="1" customHeight="1" outlineLevel="1" spans="1:21">
      <c r="A284" s="32">
        <v>213</v>
      </c>
      <c r="B284" s="32" t="s">
        <v>78</v>
      </c>
      <c r="C284" s="32" t="s">
        <v>299</v>
      </c>
      <c r="D284" s="32" t="s">
        <v>59</v>
      </c>
      <c r="E284" s="32">
        <v>67.63</v>
      </c>
      <c r="F284" s="72">
        <f t="shared" ref="F284:J284" si="249">F140</f>
        <v>145</v>
      </c>
      <c r="G284" s="48">
        <f t="shared" si="247"/>
        <v>236.25</v>
      </c>
      <c r="H284" s="72">
        <f t="shared" si="249"/>
        <v>225</v>
      </c>
      <c r="I284" s="49">
        <f t="shared" si="249"/>
        <v>0.05</v>
      </c>
      <c r="J284" s="48">
        <f t="shared" si="249"/>
        <v>70</v>
      </c>
      <c r="K284" s="48">
        <f>(F284+G284+J284)*$K$5</f>
        <v>27.075</v>
      </c>
      <c r="L284" s="48">
        <f>(F284+G284+J284+K284)*$L$5</f>
        <v>14.34975</v>
      </c>
      <c r="M284" s="76">
        <f t="shared" si="220"/>
        <v>689.74465</v>
      </c>
      <c r="N284" s="77"/>
      <c r="O284" s="48">
        <f t="shared" si="248"/>
        <v>46647.4306795</v>
      </c>
      <c r="P284" s="75"/>
      <c r="Q284" s="78"/>
      <c r="R284" s="46">
        <f t="shared" si="214"/>
        <v>46647.4306795</v>
      </c>
      <c r="S284" s="46">
        <f t="shared" si="215"/>
        <v>492.67475</v>
      </c>
      <c r="T284" s="46" t="b">
        <f t="shared" si="216"/>
        <v>1</v>
      </c>
      <c r="U284" s="46" t="b">
        <f t="shared" si="217"/>
        <v>0</v>
      </c>
    </row>
    <row r="285" s="69" customFormat="1" customHeight="1" outlineLevel="1" spans="1:21">
      <c r="A285" s="32">
        <v>214</v>
      </c>
      <c r="B285" s="32" t="s">
        <v>189</v>
      </c>
      <c r="C285" s="32" t="s">
        <v>198</v>
      </c>
      <c r="D285" s="32" t="s">
        <v>94</v>
      </c>
      <c r="E285" s="32">
        <v>2.83</v>
      </c>
      <c r="F285" s="72">
        <f t="shared" ref="F285:J285" si="250">F232</f>
        <v>15</v>
      </c>
      <c r="G285" s="48">
        <f t="shared" si="247"/>
        <v>29.4</v>
      </c>
      <c r="H285" s="72">
        <f t="shared" si="250"/>
        <v>28</v>
      </c>
      <c r="I285" s="49">
        <f t="shared" si="250"/>
        <v>0.05</v>
      </c>
      <c r="J285" s="48">
        <f t="shared" si="250"/>
        <v>1</v>
      </c>
      <c r="K285" s="48">
        <f>(F285+G285+J285)*$K$5</f>
        <v>2.724</v>
      </c>
      <c r="L285" s="48">
        <f>(F285+G285+J285+K285)*$L$5</f>
        <v>1.44372</v>
      </c>
      <c r="M285" s="76">
        <f t="shared" si="220"/>
        <v>69.394808</v>
      </c>
      <c r="N285" s="77"/>
      <c r="O285" s="48">
        <f t="shared" si="248"/>
        <v>196.38730664</v>
      </c>
      <c r="P285" s="75"/>
      <c r="Q285" s="78"/>
      <c r="R285" s="46">
        <f t="shared" si="214"/>
        <v>196.38730664</v>
      </c>
      <c r="S285" s="46">
        <f t="shared" si="215"/>
        <v>49.56772</v>
      </c>
      <c r="T285" s="46" t="b">
        <f t="shared" si="216"/>
        <v>1</v>
      </c>
      <c r="U285" s="46" t="b">
        <f t="shared" si="217"/>
        <v>0</v>
      </c>
    </row>
    <row r="286" s="69" customFormat="1" customHeight="1" spans="1:21">
      <c r="A286" s="32"/>
      <c r="B286" s="32" t="s">
        <v>300</v>
      </c>
      <c r="C286" s="32"/>
      <c r="D286" s="32"/>
      <c r="E286" s="32"/>
      <c r="F286" s="72"/>
      <c r="G286" s="48"/>
      <c r="H286" s="72"/>
      <c r="I286" s="49"/>
      <c r="J286" s="48"/>
      <c r="K286" s="48"/>
      <c r="L286" s="48"/>
      <c r="M286" s="48"/>
      <c r="N286" s="48"/>
      <c r="O286" s="48"/>
      <c r="P286" s="75"/>
      <c r="Q286" s="78"/>
      <c r="R286" s="46">
        <f t="shared" si="214"/>
        <v>0</v>
      </c>
      <c r="S286" s="46">
        <f t="shared" si="215"/>
        <v>0</v>
      </c>
      <c r="T286" s="46" t="b">
        <f t="shared" si="216"/>
        <v>1</v>
      </c>
      <c r="U286" s="46" t="b">
        <f t="shared" si="217"/>
        <v>1</v>
      </c>
    </row>
    <row r="287" s="69" customFormat="1" customHeight="1" outlineLevel="1" spans="1:21">
      <c r="A287" s="32"/>
      <c r="B287" s="32" t="s">
        <v>301</v>
      </c>
      <c r="C287" s="32"/>
      <c r="D287" s="32"/>
      <c r="E287" s="32"/>
      <c r="F287" s="72"/>
      <c r="G287" s="48"/>
      <c r="H287" s="72"/>
      <c r="I287" s="49"/>
      <c r="J287" s="48"/>
      <c r="K287" s="48"/>
      <c r="L287" s="48"/>
      <c r="M287" s="48"/>
      <c r="N287" s="48"/>
      <c r="O287" s="48"/>
      <c r="P287" s="75"/>
      <c r="Q287" s="78"/>
      <c r="R287" s="46">
        <f t="shared" si="214"/>
        <v>0</v>
      </c>
      <c r="S287" s="46">
        <f t="shared" si="215"/>
        <v>0</v>
      </c>
      <c r="T287" s="46" t="b">
        <f t="shared" si="216"/>
        <v>1</v>
      </c>
      <c r="U287" s="46" t="b">
        <f t="shared" si="217"/>
        <v>1</v>
      </c>
    </row>
    <row r="288" s="69" customFormat="1" customHeight="1" outlineLevel="1" spans="1:21">
      <c r="A288" s="32">
        <v>215</v>
      </c>
      <c r="B288" s="32" t="s">
        <v>302</v>
      </c>
      <c r="C288" s="32" t="s">
        <v>303</v>
      </c>
      <c r="D288" s="32" t="s">
        <v>88</v>
      </c>
      <c r="E288" s="32">
        <v>2</v>
      </c>
      <c r="F288" s="72">
        <f>4.48*2.7*300</f>
        <v>3628.8</v>
      </c>
      <c r="G288" s="48">
        <f>H288*(1+I288)</f>
        <v>17816.4</v>
      </c>
      <c r="H288" s="72">
        <f>4.5*2.8*1400</f>
        <v>17640</v>
      </c>
      <c r="I288" s="50">
        <v>0.01</v>
      </c>
      <c r="J288" s="48">
        <f>4.48*2.8*100</f>
        <v>1254.4</v>
      </c>
      <c r="K288" s="48">
        <f>(F288+G288+J288)*$K$5</f>
        <v>1361.976</v>
      </c>
      <c r="L288" s="48">
        <f>(F288+G288+J288+K288)*$L$5</f>
        <v>721.84728</v>
      </c>
      <c r="M288" s="76">
        <f>(F288+G288+J288+K288+L288)*1.4</f>
        <v>34696.792592</v>
      </c>
      <c r="N288" s="77"/>
      <c r="O288" s="48">
        <f>M288*E288</f>
        <v>69393.585184</v>
      </c>
      <c r="P288" s="75"/>
      <c r="Q288" s="78"/>
      <c r="R288" s="46">
        <f t="shared" si="214"/>
        <v>69393.585184</v>
      </c>
      <c r="S288" s="46">
        <f t="shared" si="215"/>
        <v>24783.42328</v>
      </c>
      <c r="T288" s="46" t="b">
        <f t="shared" si="216"/>
        <v>1</v>
      </c>
      <c r="U288" s="46" t="b">
        <f t="shared" si="217"/>
        <v>0</v>
      </c>
    </row>
    <row r="289" s="69" customFormat="1" customHeight="1" outlineLevel="1" spans="1:21">
      <c r="A289" s="32"/>
      <c r="B289" s="32" t="s">
        <v>220</v>
      </c>
      <c r="C289" s="32"/>
      <c r="D289" s="32"/>
      <c r="E289" s="32"/>
      <c r="F289" s="72"/>
      <c r="G289" s="48"/>
      <c r="H289" s="72"/>
      <c r="I289" s="49"/>
      <c r="J289" s="48"/>
      <c r="K289" s="48"/>
      <c r="L289" s="48"/>
      <c r="M289" s="76">
        <f>(F289+G289+J289+K289+L289)*1.4</f>
        <v>0</v>
      </c>
      <c r="N289" s="77"/>
      <c r="O289" s="48"/>
      <c r="P289" s="75"/>
      <c r="Q289" s="78"/>
      <c r="R289" s="46">
        <f t="shared" si="214"/>
        <v>0</v>
      </c>
      <c r="S289" s="46">
        <f t="shared" si="215"/>
        <v>0</v>
      </c>
      <c r="T289" s="46" t="b">
        <f t="shared" si="216"/>
        <v>1</v>
      </c>
      <c r="U289" s="46" t="b">
        <f t="shared" si="217"/>
        <v>1</v>
      </c>
    </row>
    <row r="290" s="69" customFormat="1" customHeight="1" outlineLevel="1" spans="1:21">
      <c r="A290" s="32">
        <v>216</v>
      </c>
      <c r="B290" s="32" t="s">
        <v>304</v>
      </c>
      <c r="C290" s="32" t="s">
        <v>305</v>
      </c>
      <c r="D290" s="32" t="s">
        <v>88</v>
      </c>
      <c r="E290" s="32">
        <v>1</v>
      </c>
      <c r="F290" s="72">
        <v>13000</v>
      </c>
      <c r="G290" s="73">
        <f>H290*(1+I290)</f>
        <v>23230</v>
      </c>
      <c r="H290" s="74">
        <v>23000</v>
      </c>
      <c r="I290" s="57">
        <v>0.01</v>
      </c>
      <c r="J290" s="73">
        <v>3500</v>
      </c>
      <c r="K290" s="73">
        <f>(F290+G290+J290)*$K$5</f>
        <v>2383.8</v>
      </c>
      <c r="L290" s="73">
        <f>(F290+G290+J290+K290)*$L$5</f>
        <v>1263.414</v>
      </c>
      <c r="M290" s="53">
        <f>(F290+G290+J290+K290+L290)*1.4</f>
        <v>60728.0996</v>
      </c>
      <c r="N290" s="54"/>
      <c r="O290" s="73">
        <f>M290*E290</f>
        <v>60728.0996</v>
      </c>
      <c r="P290" s="75"/>
      <c r="Q290" s="78"/>
      <c r="R290" s="46">
        <f t="shared" si="214"/>
        <v>60728.0996</v>
      </c>
      <c r="S290" s="46">
        <f t="shared" si="215"/>
        <v>43377.214</v>
      </c>
      <c r="T290" s="46" t="b">
        <f t="shared" si="216"/>
        <v>1</v>
      </c>
      <c r="U290" s="46" t="b">
        <f t="shared" si="217"/>
        <v>0</v>
      </c>
    </row>
    <row r="291" s="69" customFormat="1" customHeight="1" outlineLevel="1" spans="1:21">
      <c r="A291" s="32"/>
      <c r="B291" s="32"/>
      <c r="C291" s="32"/>
      <c r="D291" s="32"/>
      <c r="E291" s="32"/>
      <c r="F291" s="72"/>
      <c r="G291" s="83"/>
      <c r="H291" s="84"/>
      <c r="I291" s="63"/>
      <c r="J291" s="83"/>
      <c r="K291" s="83"/>
      <c r="L291" s="83"/>
      <c r="M291" s="65"/>
      <c r="N291" s="66"/>
      <c r="O291" s="83"/>
      <c r="P291" s="75"/>
      <c r="Q291" s="78"/>
      <c r="R291" s="46">
        <f t="shared" si="214"/>
        <v>0</v>
      </c>
      <c r="S291" s="46">
        <f t="shared" si="215"/>
        <v>0</v>
      </c>
      <c r="T291" s="46" t="b">
        <f t="shared" si="216"/>
        <v>1</v>
      </c>
      <c r="U291" s="46" t="b">
        <f t="shared" si="217"/>
        <v>1</v>
      </c>
    </row>
    <row r="292" s="69" customFormat="1" customHeight="1" outlineLevel="1" spans="1:21">
      <c r="A292" s="32"/>
      <c r="B292" s="32"/>
      <c r="C292" s="32"/>
      <c r="D292" s="32"/>
      <c r="E292" s="32"/>
      <c r="F292" s="72"/>
      <c r="G292" s="83"/>
      <c r="H292" s="84"/>
      <c r="I292" s="63"/>
      <c r="J292" s="83"/>
      <c r="K292" s="83"/>
      <c r="L292" s="83"/>
      <c r="M292" s="65"/>
      <c r="N292" s="66"/>
      <c r="O292" s="83"/>
      <c r="P292" s="75"/>
      <c r="Q292" s="78"/>
      <c r="R292" s="46">
        <f t="shared" si="214"/>
        <v>0</v>
      </c>
      <c r="S292" s="46">
        <f t="shared" si="215"/>
        <v>0</v>
      </c>
      <c r="T292" s="46" t="b">
        <f t="shared" si="216"/>
        <v>1</v>
      </c>
      <c r="U292" s="46" t="b">
        <f t="shared" si="217"/>
        <v>1</v>
      </c>
    </row>
    <row r="293" s="69" customFormat="1" customHeight="1" outlineLevel="1" spans="1:21">
      <c r="A293" s="32"/>
      <c r="B293" s="32"/>
      <c r="C293" s="32"/>
      <c r="D293" s="32"/>
      <c r="E293" s="32"/>
      <c r="F293" s="72"/>
      <c r="G293" s="85"/>
      <c r="H293" s="86"/>
      <c r="I293" s="59"/>
      <c r="J293" s="85"/>
      <c r="K293" s="85"/>
      <c r="L293" s="85"/>
      <c r="M293" s="55"/>
      <c r="N293" s="56"/>
      <c r="O293" s="85"/>
      <c r="P293" s="75"/>
      <c r="Q293" s="78"/>
      <c r="R293" s="46">
        <f t="shared" si="214"/>
        <v>0</v>
      </c>
      <c r="S293" s="46">
        <f t="shared" si="215"/>
        <v>0</v>
      </c>
      <c r="T293" s="46" t="b">
        <f t="shared" si="216"/>
        <v>1</v>
      </c>
      <c r="U293" s="46" t="b">
        <f t="shared" si="217"/>
        <v>1</v>
      </c>
    </row>
    <row r="294" s="69" customFormat="1" customHeight="1" outlineLevel="1" spans="1:21">
      <c r="A294" s="32"/>
      <c r="B294" s="32" t="s">
        <v>306</v>
      </c>
      <c r="C294" s="32"/>
      <c r="D294" s="32"/>
      <c r="E294" s="32"/>
      <c r="F294" s="72"/>
      <c r="G294" s="48"/>
      <c r="H294" s="72"/>
      <c r="I294" s="49"/>
      <c r="J294" s="48"/>
      <c r="K294" s="48"/>
      <c r="L294" s="48"/>
      <c r="M294" s="48"/>
      <c r="N294" s="48"/>
      <c r="O294" s="48"/>
      <c r="P294" s="75"/>
      <c r="Q294" s="78"/>
      <c r="R294" s="46">
        <f t="shared" si="214"/>
        <v>0</v>
      </c>
      <c r="S294" s="46">
        <f t="shared" si="215"/>
        <v>0</v>
      </c>
      <c r="T294" s="46" t="b">
        <f t="shared" si="216"/>
        <v>1</v>
      </c>
      <c r="U294" s="46" t="b">
        <f t="shared" si="217"/>
        <v>1</v>
      </c>
    </row>
    <row r="295" s="69" customFormat="1" customHeight="1" outlineLevel="1" spans="1:21">
      <c r="A295" s="32">
        <v>217</v>
      </c>
      <c r="B295" s="32" t="s">
        <v>307</v>
      </c>
      <c r="C295" s="32" t="s">
        <v>308</v>
      </c>
      <c r="D295" s="32" t="s">
        <v>88</v>
      </c>
      <c r="E295" s="32">
        <v>4</v>
      </c>
      <c r="F295" s="72">
        <v>1500</v>
      </c>
      <c r="G295" s="73">
        <f>H295*(1+I295)</f>
        <v>3232</v>
      </c>
      <c r="H295" s="72">
        <v>3200</v>
      </c>
      <c r="I295" s="49">
        <v>0.01</v>
      </c>
      <c r="J295" s="48">
        <v>550</v>
      </c>
      <c r="K295" s="73">
        <f>(F295+G295+J295)*$K$5</f>
        <v>316.92</v>
      </c>
      <c r="L295" s="73">
        <f>(F295+G295+J295+K295)*$L$5</f>
        <v>167.9676</v>
      </c>
      <c r="M295" s="76">
        <f>(F295+G295+J295+K295+L295)*1.4</f>
        <v>8073.64264</v>
      </c>
      <c r="N295" s="77"/>
      <c r="O295" s="73">
        <f>M295*E295</f>
        <v>32294.57056</v>
      </c>
      <c r="P295" s="75"/>
      <c r="Q295" s="78"/>
      <c r="R295" s="46">
        <f t="shared" si="214"/>
        <v>32294.57056</v>
      </c>
      <c r="S295" s="46">
        <f t="shared" si="215"/>
        <v>5766.8876</v>
      </c>
      <c r="T295" s="46" t="b">
        <f t="shared" si="216"/>
        <v>1</v>
      </c>
      <c r="U295" s="46" t="b">
        <f t="shared" si="217"/>
        <v>0</v>
      </c>
    </row>
    <row r="296" s="69" customFormat="1" customHeight="1" outlineLevel="1" spans="1:21">
      <c r="A296" s="32"/>
      <c r="B296" s="32"/>
      <c r="C296" s="32"/>
      <c r="D296" s="32"/>
      <c r="E296" s="32"/>
      <c r="F296" s="72"/>
      <c r="G296" s="83"/>
      <c r="H296" s="72"/>
      <c r="I296" s="49"/>
      <c r="J296" s="48"/>
      <c r="K296" s="83"/>
      <c r="L296" s="83"/>
      <c r="M296" s="88"/>
      <c r="N296" s="89"/>
      <c r="O296" s="83"/>
      <c r="P296" s="75"/>
      <c r="Q296" s="78"/>
      <c r="R296" s="46">
        <f t="shared" si="214"/>
        <v>0</v>
      </c>
      <c r="S296" s="46">
        <f t="shared" si="215"/>
        <v>0</v>
      </c>
      <c r="T296" s="46" t="b">
        <f t="shared" si="216"/>
        <v>1</v>
      </c>
      <c r="U296" s="46" t="b">
        <f t="shared" si="217"/>
        <v>1</v>
      </c>
    </row>
    <row r="297" s="69" customFormat="1" customHeight="1" outlineLevel="1" spans="1:21">
      <c r="A297" s="32"/>
      <c r="B297" s="32"/>
      <c r="C297" s="32"/>
      <c r="D297" s="32"/>
      <c r="E297" s="32"/>
      <c r="F297" s="72"/>
      <c r="G297" s="83"/>
      <c r="H297" s="72"/>
      <c r="I297" s="49"/>
      <c r="J297" s="48"/>
      <c r="K297" s="83"/>
      <c r="L297" s="83"/>
      <c r="M297" s="88"/>
      <c r="N297" s="89"/>
      <c r="O297" s="83"/>
      <c r="P297" s="75"/>
      <c r="Q297" s="78"/>
      <c r="R297" s="46">
        <f t="shared" si="214"/>
        <v>0</v>
      </c>
      <c r="S297" s="46">
        <f t="shared" si="215"/>
        <v>0</v>
      </c>
      <c r="T297" s="46" t="b">
        <f t="shared" si="216"/>
        <v>1</v>
      </c>
      <c r="U297" s="46" t="b">
        <f t="shared" si="217"/>
        <v>1</v>
      </c>
    </row>
    <row r="298" s="69" customFormat="1" customHeight="1" outlineLevel="1" spans="1:21">
      <c r="A298" s="32"/>
      <c r="B298" s="32"/>
      <c r="C298" s="32"/>
      <c r="D298" s="32"/>
      <c r="E298" s="32"/>
      <c r="F298" s="72"/>
      <c r="G298" s="83"/>
      <c r="H298" s="72"/>
      <c r="I298" s="49"/>
      <c r="J298" s="48"/>
      <c r="K298" s="83"/>
      <c r="L298" s="83"/>
      <c r="M298" s="88"/>
      <c r="N298" s="89"/>
      <c r="O298" s="83"/>
      <c r="P298" s="75"/>
      <c r="Q298" s="78"/>
      <c r="R298" s="46">
        <f t="shared" si="214"/>
        <v>0</v>
      </c>
      <c r="S298" s="46">
        <f t="shared" si="215"/>
        <v>0</v>
      </c>
      <c r="T298" s="46" t="b">
        <f t="shared" si="216"/>
        <v>1</v>
      </c>
      <c r="U298" s="46" t="b">
        <f t="shared" si="217"/>
        <v>1</v>
      </c>
    </row>
    <row r="299" s="69" customFormat="1" customHeight="1" outlineLevel="1" spans="1:21">
      <c r="A299" s="32"/>
      <c r="B299" s="32"/>
      <c r="C299" s="32"/>
      <c r="D299" s="32"/>
      <c r="E299" s="32"/>
      <c r="F299" s="72"/>
      <c r="G299" s="83"/>
      <c r="H299" s="72"/>
      <c r="I299" s="49"/>
      <c r="J299" s="48"/>
      <c r="K299" s="83"/>
      <c r="L299" s="83"/>
      <c r="M299" s="88"/>
      <c r="N299" s="89"/>
      <c r="O299" s="83"/>
      <c r="P299" s="75"/>
      <c r="Q299" s="78"/>
      <c r="R299" s="46">
        <f t="shared" si="214"/>
        <v>0</v>
      </c>
      <c r="S299" s="46">
        <f t="shared" si="215"/>
        <v>0</v>
      </c>
      <c r="T299" s="46" t="b">
        <f t="shared" si="216"/>
        <v>1</v>
      </c>
      <c r="U299" s="46" t="b">
        <f t="shared" si="217"/>
        <v>1</v>
      </c>
    </row>
    <row r="300" s="69" customFormat="1" customHeight="1" outlineLevel="1" spans="1:21">
      <c r="A300" s="32"/>
      <c r="B300" s="32"/>
      <c r="C300" s="32"/>
      <c r="D300" s="32"/>
      <c r="E300" s="32"/>
      <c r="F300" s="72"/>
      <c r="G300" s="83"/>
      <c r="H300" s="72"/>
      <c r="I300" s="49"/>
      <c r="J300" s="48"/>
      <c r="K300" s="83"/>
      <c r="L300" s="83"/>
      <c r="M300" s="88"/>
      <c r="N300" s="89"/>
      <c r="O300" s="83"/>
      <c r="P300" s="75"/>
      <c r="Q300" s="78"/>
      <c r="R300" s="46">
        <f t="shared" si="214"/>
        <v>0</v>
      </c>
      <c r="S300" s="46">
        <f t="shared" si="215"/>
        <v>0</v>
      </c>
      <c r="T300" s="46" t="b">
        <f t="shared" si="216"/>
        <v>1</v>
      </c>
      <c r="U300" s="46" t="b">
        <f t="shared" si="217"/>
        <v>1</v>
      </c>
    </row>
    <row r="301" s="69" customFormat="1" customHeight="1" outlineLevel="1" spans="1:21">
      <c r="A301" s="32"/>
      <c r="B301" s="32"/>
      <c r="C301" s="32"/>
      <c r="D301" s="32"/>
      <c r="E301" s="32"/>
      <c r="F301" s="72"/>
      <c r="G301" s="85"/>
      <c r="H301" s="72"/>
      <c r="I301" s="49"/>
      <c r="J301" s="48"/>
      <c r="K301" s="85"/>
      <c r="L301" s="85"/>
      <c r="M301" s="90"/>
      <c r="N301" s="91"/>
      <c r="O301" s="85"/>
      <c r="P301" s="75"/>
      <c r="Q301" s="78"/>
      <c r="R301" s="46">
        <f t="shared" si="214"/>
        <v>0</v>
      </c>
      <c r="S301" s="46">
        <f t="shared" si="215"/>
        <v>0</v>
      </c>
      <c r="T301" s="46" t="b">
        <f t="shared" si="216"/>
        <v>1</v>
      </c>
      <c r="U301" s="46" t="b">
        <f t="shared" si="217"/>
        <v>1</v>
      </c>
    </row>
    <row r="302" s="69" customFormat="1" customHeight="1" outlineLevel="1" spans="1:21">
      <c r="A302" s="32"/>
      <c r="B302" s="32" t="s">
        <v>309</v>
      </c>
      <c r="C302" s="32"/>
      <c r="D302" s="32"/>
      <c r="E302" s="32"/>
      <c r="F302" s="72"/>
      <c r="G302" s="48"/>
      <c r="H302" s="72"/>
      <c r="I302" s="49"/>
      <c r="J302" s="48"/>
      <c r="K302" s="48"/>
      <c r="L302" s="48"/>
      <c r="M302" s="48"/>
      <c r="N302" s="48"/>
      <c r="O302" s="48"/>
      <c r="P302" s="75"/>
      <c r="Q302" s="78"/>
      <c r="R302" s="46">
        <f t="shared" si="214"/>
        <v>0</v>
      </c>
      <c r="S302" s="46">
        <f t="shared" si="215"/>
        <v>0</v>
      </c>
      <c r="T302" s="46" t="b">
        <f t="shared" si="216"/>
        <v>1</v>
      </c>
      <c r="U302" s="46" t="b">
        <f t="shared" si="217"/>
        <v>1</v>
      </c>
    </row>
    <row r="303" s="69" customFormat="1" customHeight="1" outlineLevel="1" spans="1:21">
      <c r="A303" s="32">
        <v>218</v>
      </c>
      <c r="B303" s="32" t="s">
        <v>307</v>
      </c>
      <c r="C303" s="32" t="s">
        <v>310</v>
      </c>
      <c r="D303" s="32" t="s">
        <v>88</v>
      </c>
      <c r="E303" s="32">
        <v>6</v>
      </c>
      <c r="F303" s="72">
        <f t="shared" ref="F303:J303" si="251">F295</f>
        <v>1500</v>
      </c>
      <c r="G303" s="73">
        <f>H303*(1+I303)</f>
        <v>2424</v>
      </c>
      <c r="H303" s="74">
        <f>H295-800</f>
        <v>2400</v>
      </c>
      <c r="I303" s="57">
        <f t="shared" si="251"/>
        <v>0.01</v>
      </c>
      <c r="J303" s="73">
        <f t="shared" si="251"/>
        <v>550</v>
      </c>
      <c r="K303" s="73">
        <f>(F303+G303+J303)*$K$5</f>
        <v>268.44</v>
      </c>
      <c r="L303" s="73">
        <f>(F303+G303+J303+K303)*$L$5</f>
        <v>142.2732</v>
      </c>
      <c r="M303" s="76">
        <f>(F303+G303+J303+K303+L303)*1.4</f>
        <v>6838.59848</v>
      </c>
      <c r="N303" s="77"/>
      <c r="O303" s="73">
        <f>M303*E303</f>
        <v>41031.59088</v>
      </c>
      <c r="P303" s="75"/>
      <c r="Q303" s="78"/>
      <c r="R303" s="46">
        <f t="shared" si="214"/>
        <v>41031.59088</v>
      </c>
      <c r="S303" s="46">
        <f t="shared" si="215"/>
        <v>4884.7132</v>
      </c>
      <c r="T303" s="46" t="b">
        <f t="shared" si="216"/>
        <v>1</v>
      </c>
      <c r="U303" s="46" t="b">
        <f t="shared" si="217"/>
        <v>0</v>
      </c>
    </row>
    <row r="304" s="69" customFormat="1" customHeight="1" outlineLevel="1" spans="1:21">
      <c r="A304" s="32"/>
      <c r="B304" s="32"/>
      <c r="C304" s="32"/>
      <c r="D304" s="32"/>
      <c r="E304" s="32"/>
      <c r="F304" s="72"/>
      <c r="G304" s="83"/>
      <c r="H304" s="84"/>
      <c r="I304" s="63"/>
      <c r="J304" s="83"/>
      <c r="K304" s="83"/>
      <c r="L304" s="83"/>
      <c r="M304" s="88"/>
      <c r="N304" s="89"/>
      <c r="O304" s="83"/>
      <c r="P304" s="75"/>
      <c r="Q304" s="78"/>
      <c r="R304" s="46">
        <f t="shared" si="214"/>
        <v>0</v>
      </c>
      <c r="S304" s="46">
        <f t="shared" si="215"/>
        <v>0</v>
      </c>
      <c r="T304" s="46" t="b">
        <f t="shared" si="216"/>
        <v>1</v>
      </c>
      <c r="U304" s="46" t="b">
        <f t="shared" si="217"/>
        <v>1</v>
      </c>
    </row>
    <row r="305" s="69" customFormat="1" customHeight="1" outlineLevel="1" spans="1:21">
      <c r="A305" s="32"/>
      <c r="B305" s="32"/>
      <c r="C305" s="32"/>
      <c r="D305" s="32"/>
      <c r="E305" s="32"/>
      <c r="F305" s="72"/>
      <c r="G305" s="83"/>
      <c r="H305" s="84"/>
      <c r="I305" s="63"/>
      <c r="J305" s="83"/>
      <c r="K305" s="83"/>
      <c r="L305" s="83"/>
      <c r="M305" s="88"/>
      <c r="N305" s="89"/>
      <c r="O305" s="83"/>
      <c r="P305" s="75"/>
      <c r="Q305" s="78"/>
      <c r="R305" s="46">
        <f t="shared" si="214"/>
        <v>0</v>
      </c>
      <c r="S305" s="46">
        <f t="shared" si="215"/>
        <v>0</v>
      </c>
      <c r="T305" s="46" t="b">
        <f t="shared" si="216"/>
        <v>1</v>
      </c>
      <c r="U305" s="46" t="b">
        <f t="shared" si="217"/>
        <v>1</v>
      </c>
    </row>
    <row r="306" s="69" customFormat="1" customHeight="1" outlineLevel="1" spans="1:21">
      <c r="A306" s="32"/>
      <c r="B306" s="32"/>
      <c r="C306" s="32"/>
      <c r="D306" s="32"/>
      <c r="E306" s="32"/>
      <c r="F306" s="72"/>
      <c r="G306" s="83"/>
      <c r="H306" s="84"/>
      <c r="I306" s="63"/>
      <c r="J306" s="83"/>
      <c r="K306" s="83"/>
      <c r="L306" s="83"/>
      <c r="M306" s="88"/>
      <c r="N306" s="89"/>
      <c r="O306" s="83"/>
      <c r="P306" s="75"/>
      <c r="Q306" s="78"/>
      <c r="R306" s="46">
        <f t="shared" si="214"/>
        <v>0</v>
      </c>
      <c r="S306" s="46">
        <f t="shared" si="215"/>
        <v>0</v>
      </c>
      <c r="T306" s="46" t="b">
        <f t="shared" si="216"/>
        <v>1</v>
      </c>
      <c r="U306" s="46" t="b">
        <f t="shared" si="217"/>
        <v>1</v>
      </c>
    </row>
    <row r="307" s="69" customFormat="1" customHeight="1" outlineLevel="1" spans="1:21">
      <c r="A307" s="32"/>
      <c r="B307" s="32"/>
      <c r="C307" s="32"/>
      <c r="D307" s="32"/>
      <c r="E307" s="32"/>
      <c r="F307" s="72"/>
      <c r="G307" s="85"/>
      <c r="H307" s="86"/>
      <c r="I307" s="59"/>
      <c r="J307" s="85"/>
      <c r="K307" s="85"/>
      <c r="L307" s="85"/>
      <c r="M307" s="90"/>
      <c r="N307" s="91"/>
      <c r="O307" s="85"/>
      <c r="P307" s="75"/>
      <c r="Q307" s="78"/>
      <c r="R307" s="46">
        <f t="shared" si="214"/>
        <v>0</v>
      </c>
      <c r="S307" s="46">
        <f t="shared" si="215"/>
        <v>0</v>
      </c>
      <c r="T307" s="46" t="b">
        <f t="shared" si="216"/>
        <v>1</v>
      </c>
      <c r="U307" s="46" t="b">
        <f t="shared" si="217"/>
        <v>1</v>
      </c>
    </row>
    <row r="308" s="69" customFormat="1" customHeight="1" outlineLevel="1" spans="1:21">
      <c r="A308" s="32"/>
      <c r="B308" s="32" t="s">
        <v>311</v>
      </c>
      <c r="C308" s="32"/>
      <c r="D308" s="32"/>
      <c r="E308" s="32"/>
      <c r="F308" s="72"/>
      <c r="G308" s="48"/>
      <c r="H308" s="72"/>
      <c r="I308" s="49"/>
      <c r="J308" s="48"/>
      <c r="K308" s="48"/>
      <c r="L308" s="48"/>
      <c r="M308" s="48"/>
      <c r="N308" s="48"/>
      <c r="O308" s="48"/>
      <c r="P308" s="75"/>
      <c r="Q308" s="78"/>
      <c r="R308" s="46">
        <f t="shared" si="214"/>
        <v>0</v>
      </c>
      <c r="S308" s="46">
        <f t="shared" si="215"/>
        <v>0</v>
      </c>
      <c r="T308" s="46" t="b">
        <f t="shared" si="216"/>
        <v>1</v>
      </c>
      <c r="U308" s="46" t="b">
        <f t="shared" si="217"/>
        <v>1</v>
      </c>
    </row>
    <row r="309" s="69" customFormat="1" customHeight="1" outlineLevel="1" spans="1:21">
      <c r="A309" s="51">
        <v>219</v>
      </c>
      <c r="B309" s="51" t="s">
        <v>307</v>
      </c>
      <c r="C309" s="51" t="s">
        <v>312</v>
      </c>
      <c r="D309" s="51" t="s">
        <v>88</v>
      </c>
      <c r="E309" s="51">
        <v>1</v>
      </c>
      <c r="F309" s="74">
        <f t="shared" ref="F309:J309" si="252">F295</f>
        <v>1500</v>
      </c>
      <c r="G309" s="73">
        <f>H309*(1+I309)</f>
        <v>3232</v>
      </c>
      <c r="H309" s="74">
        <f t="shared" si="252"/>
        <v>3200</v>
      </c>
      <c r="I309" s="57">
        <f t="shared" si="252"/>
        <v>0.01</v>
      </c>
      <c r="J309" s="73">
        <f t="shared" si="252"/>
        <v>550</v>
      </c>
      <c r="K309" s="73">
        <f>(F309+G309+J309)*$K$5</f>
        <v>316.92</v>
      </c>
      <c r="L309" s="73">
        <f>(F309+G309+J309+K309)*$L$5</f>
        <v>167.9676</v>
      </c>
      <c r="M309" s="76">
        <f>(F309+G309+J309+K309+L309)*1.4</f>
        <v>8073.64264</v>
      </c>
      <c r="N309" s="77"/>
      <c r="O309" s="73">
        <f>M309*E309</f>
        <v>8073.64264</v>
      </c>
      <c r="P309" s="87"/>
      <c r="Q309" s="78"/>
      <c r="R309" s="46">
        <f t="shared" si="214"/>
        <v>8073.64264</v>
      </c>
      <c r="S309" s="46">
        <f t="shared" si="215"/>
        <v>5766.8876</v>
      </c>
      <c r="T309" s="46" t="b">
        <f t="shared" si="216"/>
        <v>1</v>
      </c>
      <c r="U309" s="46" t="b">
        <f t="shared" si="217"/>
        <v>0</v>
      </c>
    </row>
    <row r="310" s="69" customFormat="1" customHeight="1" outlineLevel="1" spans="1:21">
      <c r="A310" s="62"/>
      <c r="B310" s="62"/>
      <c r="C310" s="62"/>
      <c r="D310" s="62"/>
      <c r="E310" s="62"/>
      <c r="F310" s="84"/>
      <c r="G310" s="83"/>
      <c r="H310" s="84"/>
      <c r="I310" s="63"/>
      <c r="J310" s="83"/>
      <c r="K310" s="83"/>
      <c r="L310" s="83"/>
      <c r="M310" s="88"/>
      <c r="N310" s="89"/>
      <c r="O310" s="83"/>
      <c r="P310" s="97"/>
      <c r="Q310" s="78"/>
      <c r="R310" s="46">
        <f t="shared" si="214"/>
        <v>0</v>
      </c>
      <c r="S310" s="46">
        <f t="shared" si="215"/>
        <v>0</v>
      </c>
      <c r="T310" s="46" t="b">
        <f t="shared" si="216"/>
        <v>1</v>
      </c>
      <c r="U310" s="46" t="b">
        <f t="shared" si="217"/>
        <v>1</v>
      </c>
    </row>
    <row r="311" s="69" customFormat="1" customHeight="1" outlineLevel="1" spans="1:21">
      <c r="A311" s="62"/>
      <c r="B311" s="62"/>
      <c r="C311" s="62"/>
      <c r="D311" s="62"/>
      <c r="E311" s="62"/>
      <c r="F311" s="84"/>
      <c r="G311" s="83"/>
      <c r="H311" s="84"/>
      <c r="I311" s="63"/>
      <c r="J311" s="83"/>
      <c r="K311" s="83"/>
      <c r="L311" s="83"/>
      <c r="M311" s="88"/>
      <c r="N311" s="89"/>
      <c r="O311" s="83"/>
      <c r="P311" s="97"/>
      <c r="Q311" s="78"/>
      <c r="R311" s="46">
        <f t="shared" si="214"/>
        <v>0</v>
      </c>
      <c r="S311" s="46">
        <f t="shared" si="215"/>
        <v>0</v>
      </c>
      <c r="T311" s="46" t="b">
        <f t="shared" si="216"/>
        <v>1</v>
      </c>
      <c r="U311" s="46" t="b">
        <f t="shared" si="217"/>
        <v>1</v>
      </c>
    </row>
    <row r="312" s="69" customFormat="1" customHeight="1" outlineLevel="1" spans="1:21">
      <c r="A312" s="62"/>
      <c r="B312" s="62"/>
      <c r="C312" s="62"/>
      <c r="D312" s="62"/>
      <c r="E312" s="62"/>
      <c r="F312" s="84"/>
      <c r="G312" s="83"/>
      <c r="H312" s="84"/>
      <c r="I312" s="63"/>
      <c r="J312" s="83"/>
      <c r="K312" s="83"/>
      <c r="L312" s="83"/>
      <c r="M312" s="88"/>
      <c r="N312" s="89"/>
      <c r="O312" s="83"/>
      <c r="P312" s="97"/>
      <c r="Q312" s="78"/>
      <c r="R312" s="46">
        <f t="shared" si="214"/>
        <v>0</v>
      </c>
      <c r="S312" s="46">
        <f t="shared" si="215"/>
        <v>0</v>
      </c>
      <c r="T312" s="46" t="b">
        <f t="shared" si="216"/>
        <v>1</v>
      </c>
      <c r="U312" s="46" t="b">
        <f t="shared" si="217"/>
        <v>1</v>
      </c>
    </row>
    <row r="313" s="69" customFormat="1" customHeight="1" outlineLevel="1" spans="1:21">
      <c r="A313" s="62"/>
      <c r="B313" s="62"/>
      <c r="C313" s="62"/>
      <c r="D313" s="62"/>
      <c r="E313" s="62"/>
      <c r="F313" s="84"/>
      <c r="G313" s="83"/>
      <c r="H313" s="84"/>
      <c r="I313" s="63"/>
      <c r="J313" s="83"/>
      <c r="K313" s="83"/>
      <c r="L313" s="83"/>
      <c r="M313" s="88"/>
      <c r="N313" s="89"/>
      <c r="O313" s="83"/>
      <c r="P313" s="97"/>
      <c r="Q313" s="78"/>
      <c r="R313" s="46">
        <f t="shared" si="214"/>
        <v>0</v>
      </c>
      <c r="S313" s="46">
        <f t="shared" si="215"/>
        <v>0</v>
      </c>
      <c r="T313" s="46" t="b">
        <f t="shared" si="216"/>
        <v>1</v>
      </c>
      <c r="U313" s="46" t="b">
        <f t="shared" si="217"/>
        <v>1</v>
      </c>
    </row>
    <row r="314" s="69" customFormat="1" customHeight="1" outlineLevel="1" spans="1:21">
      <c r="A314" s="52"/>
      <c r="B314" s="52"/>
      <c r="C314" s="52"/>
      <c r="D314" s="52"/>
      <c r="E314" s="52"/>
      <c r="F314" s="86"/>
      <c r="G314" s="85"/>
      <c r="H314" s="86"/>
      <c r="I314" s="59"/>
      <c r="J314" s="85"/>
      <c r="K314" s="85"/>
      <c r="L314" s="85"/>
      <c r="M314" s="90"/>
      <c r="N314" s="91"/>
      <c r="O314" s="85"/>
      <c r="P314" s="98"/>
      <c r="Q314" s="78"/>
      <c r="R314" s="46">
        <f t="shared" si="214"/>
        <v>0</v>
      </c>
      <c r="S314" s="46">
        <f t="shared" si="215"/>
        <v>0</v>
      </c>
      <c r="T314" s="46" t="b">
        <f t="shared" si="216"/>
        <v>1</v>
      </c>
      <c r="U314" s="46" t="b">
        <f t="shared" si="217"/>
        <v>1</v>
      </c>
    </row>
    <row r="315" s="69" customFormat="1" customHeight="1" outlineLevel="1" spans="1:21">
      <c r="A315" s="32"/>
      <c r="B315" s="32" t="s">
        <v>313</v>
      </c>
      <c r="C315" s="32"/>
      <c r="D315" s="32"/>
      <c r="E315" s="32"/>
      <c r="F315" s="72"/>
      <c r="G315" s="48"/>
      <c r="H315" s="72"/>
      <c r="I315" s="49"/>
      <c r="J315" s="48"/>
      <c r="K315" s="48"/>
      <c r="L315" s="48"/>
      <c r="M315" s="48"/>
      <c r="N315" s="48"/>
      <c r="O315" s="48"/>
      <c r="P315" s="75"/>
      <c r="Q315" s="78"/>
      <c r="R315" s="46">
        <f t="shared" ref="R315:R335" si="253">E315*M315</f>
        <v>0</v>
      </c>
      <c r="S315" s="46">
        <f t="shared" ref="S315:S335" si="254">F315+G315+J315+K315+L315</f>
        <v>0</v>
      </c>
      <c r="T315" s="46" t="b">
        <f t="shared" ref="T315:T335" si="255">O315=R315</f>
        <v>1</v>
      </c>
      <c r="U315" s="46" t="b">
        <f t="shared" ref="U315:U335" si="256">M315=S315</f>
        <v>1</v>
      </c>
    </row>
    <row r="316" s="21" customFormat="1" customHeight="1" outlineLevel="1" spans="1:21">
      <c r="A316" s="51">
        <v>220</v>
      </c>
      <c r="B316" s="51" t="s">
        <v>307</v>
      </c>
      <c r="C316" s="51" t="s">
        <v>314</v>
      </c>
      <c r="D316" s="51" t="s">
        <v>88</v>
      </c>
      <c r="E316" s="51">
        <v>1</v>
      </c>
      <c r="F316" s="72">
        <f>F309*1.65</f>
        <v>2475</v>
      </c>
      <c r="G316" s="48">
        <f>H316*(1+I316)</f>
        <v>5332.8</v>
      </c>
      <c r="H316" s="72">
        <f>H309*1.65</f>
        <v>5280</v>
      </c>
      <c r="I316" s="49">
        <f>I309</f>
        <v>0.01</v>
      </c>
      <c r="J316" s="48">
        <f>J309*1.6</f>
        <v>880</v>
      </c>
      <c r="K316" s="48">
        <f>(F316+G316+J316)*$K$5</f>
        <v>521.268</v>
      </c>
      <c r="L316" s="48">
        <f>(F316+G316+J316+K316)*$L$5</f>
        <v>276.27204</v>
      </c>
      <c r="M316" s="48">
        <f>(F316+G316+J316+K316+L316)*1.4</f>
        <v>13279.476056</v>
      </c>
      <c r="N316" s="48"/>
      <c r="O316" s="48">
        <f>M316*E316</f>
        <v>13279.476056</v>
      </c>
      <c r="P316" s="75"/>
      <c r="Q316" s="78"/>
      <c r="R316" s="46">
        <f t="shared" si="253"/>
        <v>13279.476056</v>
      </c>
      <c r="S316" s="46">
        <f t="shared" si="254"/>
        <v>9485.34004</v>
      </c>
      <c r="T316" s="46" t="b">
        <f t="shared" si="255"/>
        <v>1</v>
      </c>
      <c r="U316" s="46" t="b">
        <f t="shared" si="256"/>
        <v>0</v>
      </c>
    </row>
    <row r="317" s="21" customFormat="1" customHeight="1" outlineLevel="1" spans="1:21">
      <c r="A317" s="62"/>
      <c r="B317" s="62"/>
      <c r="C317" s="62"/>
      <c r="D317" s="62"/>
      <c r="E317" s="62"/>
      <c r="F317" s="72"/>
      <c r="G317" s="48"/>
      <c r="H317" s="72"/>
      <c r="I317" s="49"/>
      <c r="J317" s="48"/>
      <c r="K317" s="48"/>
      <c r="L317" s="48"/>
      <c r="M317" s="48"/>
      <c r="N317" s="48"/>
      <c r="O317" s="48"/>
      <c r="P317" s="75"/>
      <c r="Q317" s="78"/>
      <c r="R317" s="46">
        <f t="shared" si="253"/>
        <v>0</v>
      </c>
      <c r="S317" s="46">
        <f t="shared" si="254"/>
        <v>0</v>
      </c>
      <c r="T317" s="46" t="b">
        <f t="shared" si="255"/>
        <v>1</v>
      </c>
      <c r="U317" s="46" t="b">
        <f t="shared" si="256"/>
        <v>1</v>
      </c>
    </row>
    <row r="318" s="21" customFormat="1" customHeight="1" outlineLevel="1" spans="1:21">
      <c r="A318" s="62"/>
      <c r="B318" s="62"/>
      <c r="C318" s="62"/>
      <c r="D318" s="62"/>
      <c r="E318" s="62"/>
      <c r="F318" s="72"/>
      <c r="G318" s="48"/>
      <c r="H318" s="72"/>
      <c r="I318" s="49"/>
      <c r="J318" s="48"/>
      <c r="K318" s="48"/>
      <c r="L318" s="48"/>
      <c r="M318" s="48"/>
      <c r="N318" s="48"/>
      <c r="O318" s="48"/>
      <c r="P318" s="75"/>
      <c r="Q318" s="78"/>
      <c r="R318" s="46">
        <f t="shared" si="253"/>
        <v>0</v>
      </c>
      <c r="S318" s="46">
        <f t="shared" si="254"/>
        <v>0</v>
      </c>
      <c r="T318" s="46" t="b">
        <f t="shared" si="255"/>
        <v>1</v>
      </c>
      <c r="U318" s="46" t="b">
        <f t="shared" si="256"/>
        <v>1</v>
      </c>
    </row>
    <row r="319" s="21" customFormat="1" customHeight="1" outlineLevel="1" spans="1:21">
      <c r="A319" s="62"/>
      <c r="B319" s="62"/>
      <c r="C319" s="62"/>
      <c r="D319" s="62"/>
      <c r="E319" s="62"/>
      <c r="F319" s="72"/>
      <c r="G319" s="48"/>
      <c r="H319" s="72"/>
      <c r="I319" s="49"/>
      <c r="J319" s="48"/>
      <c r="K319" s="48"/>
      <c r="L319" s="48"/>
      <c r="M319" s="48"/>
      <c r="N319" s="48"/>
      <c r="O319" s="48"/>
      <c r="P319" s="75"/>
      <c r="Q319" s="78"/>
      <c r="R319" s="46">
        <f t="shared" si="253"/>
        <v>0</v>
      </c>
      <c r="S319" s="46">
        <f t="shared" si="254"/>
        <v>0</v>
      </c>
      <c r="T319" s="46" t="b">
        <f t="shared" si="255"/>
        <v>1</v>
      </c>
      <c r="U319" s="46" t="b">
        <f t="shared" si="256"/>
        <v>1</v>
      </c>
    </row>
    <row r="320" s="21" customFormat="1" customHeight="1" outlineLevel="1" spans="1:21">
      <c r="A320" s="62"/>
      <c r="B320" s="62"/>
      <c r="C320" s="62"/>
      <c r="D320" s="62"/>
      <c r="E320" s="62"/>
      <c r="F320" s="72"/>
      <c r="G320" s="48"/>
      <c r="H320" s="72"/>
      <c r="I320" s="49"/>
      <c r="J320" s="48"/>
      <c r="K320" s="48"/>
      <c r="L320" s="48"/>
      <c r="M320" s="48"/>
      <c r="N320" s="48"/>
      <c r="O320" s="48"/>
      <c r="P320" s="75"/>
      <c r="Q320" s="78"/>
      <c r="R320" s="46">
        <f t="shared" si="253"/>
        <v>0</v>
      </c>
      <c r="S320" s="46">
        <f t="shared" si="254"/>
        <v>0</v>
      </c>
      <c r="T320" s="46" t="b">
        <f t="shared" si="255"/>
        <v>1</v>
      </c>
      <c r="U320" s="46" t="b">
        <f t="shared" si="256"/>
        <v>1</v>
      </c>
    </row>
    <row r="321" s="21" customFormat="1" customHeight="1" outlineLevel="1" spans="1:21">
      <c r="A321" s="52"/>
      <c r="B321" s="52"/>
      <c r="C321" s="52"/>
      <c r="D321" s="52"/>
      <c r="E321" s="52"/>
      <c r="F321" s="72"/>
      <c r="G321" s="48"/>
      <c r="H321" s="72"/>
      <c r="I321" s="49"/>
      <c r="J321" s="48"/>
      <c r="K321" s="48"/>
      <c r="L321" s="48"/>
      <c r="M321" s="48"/>
      <c r="N321" s="48"/>
      <c r="O321" s="48"/>
      <c r="P321" s="75"/>
      <c r="Q321" s="78"/>
      <c r="R321" s="46">
        <f t="shared" si="253"/>
        <v>0</v>
      </c>
      <c r="S321" s="46">
        <f t="shared" si="254"/>
        <v>0</v>
      </c>
      <c r="T321" s="46" t="b">
        <f t="shared" si="255"/>
        <v>1</v>
      </c>
      <c r="U321" s="46" t="b">
        <f t="shared" si="256"/>
        <v>1</v>
      </c>
    </row>
    <row r="322" s="21" customFormat="1" customHeight="1" outlineLevel="1" spans="1:21">
      <c r="A322" s="32"/>
      <c r="B322" s="32" t="s">
        <v>129</v>
      </c>
      <c r="C322" s="32"/>
      <c r="D322" s="32"/>
      <c r="E322" s="32"/>
      <c r="F322" s="72"/>
      <c r="G322" s="48"/>
      <c r="H322" s="72"/>
      <c r="I322" s="49"/>
      <c r="J322" s="48"/>
      <c r="K322" s="48"/>
      <c r="L322" s="48"/>
      <c r="M322" s="48"/>
      <c r="N322" s="48"/>
      <c r="O322" s="48"/>
      <c r="P322" s="75"/>
      <c r="Q322" s="78"/>
      <c r="R322" s="46">
        <f t="shared" si="253"/>
        <v>0</v>
      </c>
      <c r="S322" s="46">
        <f t="shared" si="254"/>
        <v>0</v>
      </c>
      <c r="T322" s="46" t="b">
        <f t="shared" si="255"/>
        <v>1</v>
      </c>
      <c r="U322" s="46" t="b">
        <f t="shared" si="256"/>
        <v>1</v>
      </c>
    </row>
    <row r="323" s="21" customFormat="1" customHeight="1" outlineLevel="1" spans="1:21">
      <c r="A323" s="51">
        <v>221</v>
      </c>
      <c r="B323" s="51" t="s">
        <v>129</v>
      </c>
      <c r="C323" s="51" t="s">
        <v>315</v>
      </c>
      <c r="D323" s="51" t="s">
        <v>94</v>
      </c>
      <c r="E323" s="51">
        <v>13.2</v>
      </c>
      <c r="F323" s="99">
        <v>850</v>
      </c>
      <c r="G323" s="31">
        <f>H323*(1+I323)</f>
        <v>3838</v>
      </c>
      <c r="H323" s="99">
        <v>3800</v>
      </c>
      <c r="I323" s="49">
        <v>0.01</v>
      </c>
      <c r="J323" s="31">
        <v>850</v>
      </c>
      <c r="K323" s="31">
        <f>(F323+G323+J323)*$K$5</f>
        <v>332.28</v>
      </c>
      <c r="L323" s="31">
        <f>(F323+G323+J323+K323)*$L$5</f>
        <v>176.1084</v>
      </c>
      <c r="M323" s="31">
        <f>(F323+G323+J323+K323+L323)*1.4</f>
        <v>8464.94376</v>
      </c>
      <c r="N323" s="31"/>
      <c r="O323" s="31">
        <f>M323*E323</f>
        <v>111737.257632</v>
      </c>
      <c r="P323" s="31"/>
      <c r="Q323" s="78"/>
      <c r="R323" s="46">
        <f t="shared" si="253"/>
        <v>111737.257632</v>
      </c>
      <c r="S323" s="46">
        <f t="shared" si="254"/>
        <v>6046.3884</v>
      </c>
      <c r="T323" s="46" t="b">
        <f t="shared" si="255"/>
        <v>1</v>
      </c>
      <c r="U323" s="46" t="b">
        <f t="shared" si="256"/>
        <v>0</v>
      </c>
    </row>
    <row r="324" s="21" customFormat="1" customHeight="1" outlineLevel="1" spans="1:21">
      <c r="A324" s="62"/>
      <c r="B324" s="62"/>
      <c r="C324" s="62"/>
      <c r="D324" s="62"/>
      <c r="E324" s="62"/>
      <c r="F324" s="99"/>
      <c r="G324" s="31"/>
      <c r="H324" s="99"/>
      <c r="I324" s="49"/>
      <c r="J324" s="31"/>
      <c r="K324" s="31"/>
      <c r="L324" s="31"/>
      <c r="M324" s="31"/>
      <c r="N324" s="31"/>
      <c r="O324" s="31"/>
      <c r="P324" s="31"/>
      <c r="Q324" s="78"/>
      <c r="R324" s="46">
        <f t="shared" si="253"/>
        <v>0</v>
      </c>
      <c r="S324" s="46">
        <f t="shared" si="254"/>
        <v>0</v>
      </c>
      <c r="T324" s="46" t="b">
        <f t="shared" si="255"/>
        <v>1</v>
      </c>
      <c r="U324" s="46" t="b">
        <f t="shared" si="256"/>
        <v>1</v>
      </c>
    </row>
    <row r="325" s="21" customFormat="1" customHeight="1" outlineLevel="1" spans="1:21">
      <c r="A325" s="62"/>
      <c r="B325" s="62"/>
      <c r="C325" s="62"/>
      <c r="D325" s="62"/>
      <c r="E325" s="62"/>
      <c r="F325" s="99"/>
      <c r="G325" s="31"/>
      <c r="H325" s="99"/>
      <c r="I325" s="49"/>
      <c r="J325" s="31"/>
      <c r="K325" s="31"/>
      <c r="L325" s="31"/>
      <c r="M325" s="31"/>
      <c r="N325" s="31"/>
      <c r="O325" s="31"/>
      <c r="P325" s="31"/>
      <c r="Q325" s="78"/>
      <c r="R325" s="46">
        <f t="shared" si="253"/>
        <v>0</v>
      </c>
      <c r="S325" s="46">
        <f t="shared" si="254"/>
        <v>0</v>
      </c>
      <c r="T325" s="46" t="b">
        <f t="shared" si="255"/>
        <v>1</v>
      </c>
      <c r="U325" s="46" t="b">
        <f t="shared" si="256"/>
        <v>1</v>
      </c>
    </row>
    <row r="326" s="21" customFormat="1" customHeight="1" outlineLevel="1" spans="1:21">
      <c r="A326" s="62"/>
      <c r="B326" s="62"/>
      <c r="C326" s="62"/>
      <c r="D326" s="62"/>
      <c r="E326" s="62"/>
      <c r="F326" s="99"/>
      <c r="G326" s="31"/>
      <c r="H326" s="99"/>
      <c r="I326" s="49"/>
      <c r="J326" s="31"/>
      <c r="K326" s="31"/>
      <c r="L326" s="31"/>
      <c r="M326" s="31"/>
      <c r="N326" s="31"/>
      <c r="O326" s="31"/>
      <c r="P326" s="31"/>
      <c r="Q326" s="78"/>
      <c r="R326" s="46">
        <f t="shared" si="253"/>
        <v>0</v>
      </c>
      <c r="S326" s="46">
        <f t="shared" si="254"/>
        <v>0</v>
      </c>
      <c r="T326" s="46" t="b">
        <f t="shared" si="255"/>
        <v>1</v>
      </c>
      <c r="U326" s="46" t="b">
        <f t="shared" si="256"/>
        <v>1</v>
      </c>
    </row>
    <row r="327" s="21" customFormat="1" customHeight="1" outlineLevel="1" spans="1:21">
      <c r="A327" s="62"/>
      <c r="B327" s="62"/>
      <c r="C327" s="62"/>
      <c r="D327" s="62"/>
      <c r="E327" s="62"/>
      <c r="F327" s="99"/>
      <c r="G327" s="31"/>
      <c r="H327" s="99"/>
      <c r="I327" s="49"/>
      <c r="J327" s="31"/>
      <c r="K327" s="31"/>
      <c r="L327" s="31"/>
      <c r="M327" s="31"/>
      <c r="N327" s="31"/>
      <c r="O327" s="31"/>
      <c r="P327" s="31"/>
      <c r="Q327" s="78"/>
      <c r="R327" s="46">
        <f t="shared" si="253"/>
        <v>0</v>
      </c>
      <c r="S327" s="46">
        <f t="shared" si="254"/>
        <v>0</v>
      </c>
      <c r="T327" s="46" t="b">
        <f t="shared" si="255"/>
        <v>1</v>
      </c>
      <c r="U327" s="46" t="b">
        <f t="shared" si="256"/>
        <v>1</v>
      </c>
    </row>
    <row r="328" s="21" customFormat="1" customHeight="1" outlineLevel="1" spans="1:21">
      <c r="A328" s="62"/>
      <c r="B328" s="62"/>
      <c r="C328" s="62"/>
      <c r="D328" s="62"/>
      <c r="E328" s="62"/>
      <c r="F328" s="99"/>
      <c r="G328" s="31"/>
      <c r="H328" s="99"/>
      <c r="I328" s="49"/>
      <c r="J328" s="31"/>
      <c r="K328" s="31"/>
      <c r="L328" s="31"/>
      <c r="M328" s="31"/>
      <c r="N328" s="31"/>
      <c r="O328" s="31"/>
      <c r="P328" s="31"/>
      <c r="Q328" s="78"/>
      <c r="R328" s="46">
        <f t="shared" si="253"/>
        <v>0</v>
      </c>
      <c r="S328" s="46">
        <f t="shared" si="254"/>
        <v>0</v>
      </c>
      <c r="T328" s="46" t="b">
        <f t="shared" si="255"/>
        <v>1</v>
      </c>
      <c r="U328" s="46" t="b">
        <f t="shared" si="256"/>
        <v>1</v>
      </c>
    </row>
    <row r="329" s="21" customFormat="1" customHeight="1" outlineLevel="1" spans="1:21">
      <c r="A329" s="62"/>
      <c r="B329" s="62"/>
      <c r="C329" s="62"/>
      <c r="D329" s="62"/>
      <c r="E329" s="62"/>
      <c r="F329" s="99"/>
      <c r="G329" s="31"/>
      <c r="H329" s="99"/>
      <c r="I329" s="49"/>
      <c r="J329" s="31"/>
      <c r="K329" s="31"/>
      <c r="L329" s="31"/>
      <c r="M329" s="31"/>
      <c r="N329" s="31"/>
      <c r="O329" s="31"/>
      <c r="P329" s="31"/>
      <c r="Q329" s="78"/>
      <c r="R329" s="46">
        <f t="shared" si="253"/>
        <v>0</v>
      </c>
      <c r="S329" s="46">
        <f t="shared" si="254"/>
        <v>0</v>
      </c>
      <c r="T329" s="46" t="b">
        <f t="shared" si="255"/>
        <v>1</v>
      </c>
      <c r="U329" s="46" t="b">
        <f t="shared" si="256"/>
        <v>1</v>
      </c>
    </row>
    <row r="330" s="21" customFormat="1" customHeight="1" outlineLevel="1" spans="1:21">
      <c r="A330" s="62"/>
      <c r="B330" s="62"/>
      <c r="C330" s="62"/>
      <c r="D330" s="62"/>
      <c r="E330" s="62"/>
      <c r="F330" s="99"/>
      <c r="G330" s="31"/>
      <c r="H330" s="99"/>
      <c r="I330" s="49"/>
      <c r="J330" s="31"/>
      <c r="K330" s="31"/>
      <c r="L330" s="31"/>
      <c r="M330" s="31"/>
      <c r="N330" s="31"/>
      <c r="O330" s="31"/>
      <c r="P330" s="31"/>
      <c r="Q330" s="78"/>
      <c r="R330" s="46">
        <f t="shared" si="253"/>
        <v>0</v>
      </c>
      <c r="S330" s="46">
        <f t="shared" si="254"/>
        <v>0</v>
      </c>
      <c r="T330" s="46" t="b">
        <f t="shared" si="255"/>
        <v>1</v>
      </c>
      <c r="U330" s="46" t="b">
        <f t="shared" si="256"/>
        <v>1</v>
      </c>
    </row>
    <row r="331" s="21" customFormat="1" customHeight="1" outlineLevel="1" spans="1:21">
      <c r="A331" s="52"/>
      <c r="B331" s="52"/>
      <c r="C331" s="52"/>
      <c r="D331" s="52"/>
      <c r="E331" s="52"/>
      <c r="F331" s="99"/>
      <c r="G331" s="31"/>
      <c r="H331" s="99"/>
      <c r="I331" s="49"/>
      <c r="J331" s="31"/>
      <c r="K331" s="31"/>
      <c r="L331" s="31"/>
      <c r="M331" s="31"/>
      <c r="N331" s="31"/>
      <c r="O331" s="31"/>
      <c r="P331" s="31"/>
      <c r="Q331" s="78"/>
      <c r="R331" s="46">
        <f t="shared" si="253"/>
        <v>0</v>
      </c>
      <c r="S331" s="46">
        <f t="shared" si="254"/>
        <v>0</v>
      </c>
      <c r="T331" s="46" t="b">
        <f t="shared" si="255"/>
        <v>1</v>
      </c>
      <c r="U331" s="46" t="b">
        <f t="shared" si="256"/>
        <v>1</v>
      </c>
    </row>
    <row r="332" s="21" customFormat="1" customHeight="1" spans="1:21">
      <c r="A332" s="30">
        <v>222</v>
      </c>
      <c r="B332" s="32" t="s">
        <v>69</v>
      </c>
      <c r="C332" s="32" t="s">
        <v>316</v>
      </c>
      <c r="D332" s="32" t="s">
        <v>59</v>
      </c>
      <c r="E332" s="32">
        <v>103.75</v>
      </c>
      <c r="F332" s="32">
        <v>95</v>
      </c>
      <c r="G332" s="32">
        <f>H332*(1+I332)</f>
        <v>48.6</v>
      </c>
      <c r="H332" s="32">
        <v>45</v>
      </c>
      <c r="I332" s="100">
        <f>I76</f>
        <v>0.08</v>
      </c>
      <c r="J332" s="32">
        <v>45</v>
      </c>
      <c r="K332" s="48">
        <f>(F332+G332+J332)*$K$5</f>
        <v>11.316</v>
      </c>
      <c r="L332" s="48">
        <f>(F332+G332+J332+K332)*$L$5</f>
        <v>5.99748</v>
      </c>
      <c r="M332" s="48">
        <f>(F332+G332+J332+K332+L332)*1.4</f>
        <v>288.278872</v>
      </c>
      <c r="N332" s="48"/>
      <c r="O332" s="48">
        <f>M332*E332</f>
        <v>29908.93297</v>
      </c>
      <c r="P332" s="32" t="s">
        <v>317</v>
      </c>
      <c r="Q332" s="78"/>
      <c r="R332" s="46">
        <f t="shared" si="253"/>
        <v>29908.93297</v>
      </c>
      <c r="S332" s="46">
        <f t="shared" si="254"/>
        <v>205.91348</v>
      </c>
      <c r="T332" s="46" t="b">
        <f t="shared" si="255"/>
        <v>1</v>
      </c>
      <c r="U332" s="46" t="b">
        <f t="shared" si="256"/>
        <v>0</v>
      </c>
    </row>
    <row r="333" s="21" customFormat="1" customHeight="1" spans="1:21">
      <c r="A333" s="30"/>
      <c r="B333" s="32"/>
      <c r="C333" s="32"/>
      <c r="D333" s="32"/>
      <c r="E333" s="32"/>
      <c r="F333" s="32"/>
      <c r="G333" s="32"/>
      <c r="H333" s="32"/>
      <c r="I333" s="100"/>
      <c r="J333" s="32"/>
      <c r="K333" s="48"/>
      <c r="L333" s="48"/>
      <c r="M333" s="48"/>
      <c r="N333" s="48"/>
      <c r="O333" s="48"/>
      <c r="P333" s="32"/>
      <c r="Q333" s="78" t="s">
        <v>318</v>
      </c>
      <c r="R333" s="46">
        <f t="shared" si="253"/>
        <v>0</v>
      </c>
      <c r="S333" s="46">
        <f t="shared" si="254"/>
        <v>0</v>
      </c>
      <c r="T333" s="46" t="b">
        <f t="shared" si="255"/>
        <v>1</v>
      </c>
      <c r="U333" s="46" t="b">
        <f t="shared" si="256"/>
        <v>1</v>
      </c>
    </row>
    <row r="334" s="21" customFormat="1" customHeight="1" spans="1:21">
      <c r="A334" s="30">
        <v>223</v>
      </c>
      <c r="B334" s="32" t="s">
        <v>69</v>
      </c>
      <c r="C334" s="32" t="s">
        <v>319</v>
      </c>
      <c r="D334" s="32" t="s">
        <v>59</v>
      </c>
      <c r="E334" s="32">
        <v>2.22</v>
      </c>
      <c r="F334" s="32">
        <f>F332</f>
        <v>95</v>
      </c>
      <c r="G334" s="32">
        <f>H334*(1+I334)</f>
        <v>48.6</v>
      </c>
      <c r="H334" s="32">
        <f>H332</f>
        <v>45</v>
      </c>
      <c r="I334" s="100">
        <f>I332</f>
        <v>0.08</v>
      </c>
      <c r="J334" s="32">
        <f>J332</f>
        <v>45</v>
      </c>
      <c r="K334" s="48">
        <f>(F334+G334+J334)*$K$5</f>
        <v>11.316</v>
      </c>
      <c r="L334" s="48">
        <f>(F334+G334+J334+K334)*$L$5</f>
        <v>5.99748</v>
      </c>
      <c r="M334" s="48">
        <f>(F334+G334+J334+K334+L334)*1.4</f>
        <v>288.278872</v>
      </c>
      <c r="N334" s="48"/>
      <c r="O334" s="48">
        <f>M334*E334</f>
        <v>639.97909584</v>
      </c>
      <c r="P334" s="32" t="s">
        <v>317</v>
      </c>
      <c r="Q334" s="78"/>
      <c r="R334" s="46">
        <f t="shared" si="253"/>
        <v>639.97909584</v>
      </c>
      <c r="S334" s="46">
        <f t="shared" si="254"/>
        <v>205.91348</v>
      </c>
      <c r="T334" s="46" t="b">
        <f t="shared" si="255"/>
        <v>1</v>
      </c>
      <c r="U334" s="46" t="b">
        <f t="shared" si="256"/>
        <v>0</v>
      </c>
    </row>
    <row r="335" s="21" customFormat="1" customHeight="1" spans="1:21">
      <c r="A335" s="30"/>
      <c r="B335" s="32"/>
      <c r="C335" s="32"/>
      <c r="D335" s="32"/>
      <c r="E335" s="32"/>
      <c r="F335" s="32"/>
      <c r="G335" s="32"/>
      <c r="H335" s="32"/>
      <c r="I335" s="100"/>
      <c r="J335" s="32"/>
      <c r="K335" s="48"/>
      <c r="L335" s="48"/>
      <c r="M335" s="48"/>
      <c r="N335" s="48"/>
      <c r="O335" s="48"/>
      <c r="P335" s="32"/>
      <c r="Q335" s="78"/>
      <c r="R335" s="46">
        <f t="shared" si="253"/>
        <v>0</v>
      </c>
      <c r="S335" s="46">
        <f t="shared" si="254"/>
        <v>0</v>
      </c>
      <c r="T335" s="46" t="b">
        <f t="shared" si="255"/>
        <v>1</v>
      </c>
      <c r="U335" s="46" t="b">
        <f t="shared" si="256"/>
        <v>1</v>
      </c>
    </row>
    <row r="336" s="21" customFormat="1" customHeight="1" spans="1:21">
      <c r="A336" s="30"/>
      <c r="B336" s="32"/>
      <c r="C336" s="32" t="s">
        <v>320</v>
      </c>
      <c r="D336" s="32"/>
      <c r="E336" s="32"/>
      <c r="F336" s="32"/>
      <c r="G336" s="32"/>
      <c r="H336" s="32"/>
      <c r="I336" s="32"/>
      <c r="J336" s="32"/>
      <c r="K336" s="32"/>
      <c r="L336" s="32"/>
      <c r="M336" s="32"/>
      <c r="N336" s="32"/>
      <c r="O336" s="32">
        <f>SUM(O7:O335)</f>
        <v>4095594.58419318</v>
      </c>
      <c r="P336" s="32"/>
      <c r="Q336" s="78"/>
      <c r="R336" s="46">
        <f>SUM(R7:R335)</f>
        <v>4095594.58419318</v>
      </c>
      <c r="S336" s="46"/>
      <c r="T336" s="46"/>
      <c r="U336" s="46"/>
    </row>
    <row r="337" s="21" customFormat="1" ht="24" customHeight="1" spans="1:21">
      <c r="A337" s="35" t="s">
        <v>321</v>
      </c>
      <c r="B337" s="36" t="s">
        <v>322</v>
      </c>
      <c r="C337" s="36"/>
      <c r="D337" s="36"/>
      <c r="E337" s="36"/>
      <c r="F337" s="36"/>
      <c r="G337" s="36"/>
      <c r="H337" s="36"/>
      <c r="I337" s="36"/>
      <c r="J337" s="36"/>
      <c r="K337" s="36"/>
      <c r="L337" s="36"/>
      <c r="M337" s="36"/>
      <c r="N337" s="36"/>
      <c r="O337" s="36"/>
      <c r="P337" s="36"/>
      <c r="Q337" s="78"/>
      <c r="R337" s="46"/>
      <c r="S337" s="46"/>
      <c r="T337" s="46"/>
      <c r="U337" s="46"/>
    </row>
  </sheetData>
  <autoFilter ref="A5:Q337">
    <extLst/>
  </autoFilter>
  <mergeCells count="614">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100:N100"/>
    <mergeCell ref="M105:N105"/>
    <mergeCell ref="M106:N106"/>
    <mergeCell ref="M107:N107"/>
    <mergeCell ref="M108:N108"/>
    <mergeCell ref="M109:N109"/>
    <mergeCell ref="M110:N110"/>
    <mergeCell ref="M117:N117"/>
    <mergeCell ref="M118:N118"/>
    <mergeCell ref="M123:N123"/>
    <mergeCell ref="M124:N124"/>
    <mergeCell ref="M125:N125"/>
    <mergeCell ref="M126:N126"/>
    <mergeCell ref="M127:N127"/>
    <mergeCell ref="M130:N130"/>
    <mergeCell ref="M131:N131"/>
    <mergeCell ref="M132:N132"/>
    <mergeCell ref="M133:N133"/>
    <mergeCell ref="M134:N134"/>
    <mergeCell ref="M138:N138"/>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181:N181"/>
    <mergeCell ref="M182:N182"/>
    <mergeCell ref="M183:N183"/>
    <mergeCell ref="M184:N184"/>
    <mergeCell ref="M185:N185"/>
    <mergeCell ref="M186:N186"/>
    <mergeCell ref="M187:N187"/>
    <mergeCell ref="M188:N188"/>
    <mergeCell ref="M189:N189"/>
    <mergeCell ref="M190:N190"/>
    <mergeCell ref="M191:N191"/>
    <mergeCell ref="M192:N192"/>
    <mergeCell ref="M193:N193"/>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2:N212"/>
    <mergeCell ref="M213:N213"/>
    <mergeCell ref="M214:N214"/>
    <mergeCell ref="M215:N215"/>
    <mergeCell ref="M216:N216"/>
    <mergeCell ref="M217:N217"/>
    <mergeCell ref="M218:N218"/>
    <mergeCell ref="M219:N219"/>
    <mergeCell ref="M220:N220"/>
    <mergeCell ref="M221:N221"/>
    <mergeCell ref="M222:N222"/>
    <mergeCell ref="M223:N223"/>
    <mergeCell ref="M224:N224"/>
    <mergeCell ref="M225:N225"/>
    <mergeCell ref="M226:N226"/>
    <mergeCell ref="M227:N227"/>
    <mergeCell ref="M228:N228"/>
    <mergeCell ref="M229:N229"/>
    <mergeCell ref="M230:N230"/>
    <mergeCell ref="M231:N231"/>
    <mergeCell ref="M232:N232"/>
    <mergeCell ref="M235:N235"/>
    <mergeCell ref="M236:N236"/>
    <mergeCell ref="M237:N237"/>
    <mergeCell ref="M238:N238"/>
    <mergeCell ref="M241:N241"/>
    <mergeCell ref="M242:N242"/>
    <mergeCell ref="M243:N243"/>
    <mergeCell ref="M244:N244"/>
    <mergeCell ref="M245:N245"/>
    <mergeCell ref="M246:N246"/>
    <mergeCell ref="M247:N247"/>
    <mergeCell ref="M248:N248"/>
    <mergeCell ref="M249:N249"/>
    <mergeCell ref="M250:N250"/>
    <mergeCell ref="M251:N251"/>
    <mergeCell ref="M252:N252"/>
    <mergeCell ref="M253:N253"/>
    <mergeCell ref="M254:N254"/>
    <mergeCell ref="M255:N255"/>
    <mergeCell ref="M256:N256"/>
    <mergeCell ref="M257:N257"/>
    <mergeCell ref="M258:N258"/>
    <mergeCell ref="M259:N259"/>
    <mergeCell ref="M260:N260"/>
    <mergeCell ref="M261:N261"/>
    <mergeCell ref="M264:N264"/>
    <mergeCell ref="M265:N265"/>
    <mergeCell ref="M266:N266"/>
    <mergeCell ref="M267:N267"/>
    <mergeCell ref="M268:N268"/>
    <mergeCell ref="M269:N269"/>
    <mergeCell ref="M270:N270"/>
    <mergeCell ref="M271:N271"/>
    <mergeCell ref="M272:N272"/>
    <mergeCell ref="M273:N273"/>
    <mergeCell ref="M274:N274"/>
    <mergeCell ref="M277:N277"/>
    <mergeCell ref="M278:N278"/>
    <mergeCell ref="M279:N279"/>
    <mergeCell ref="M280:N280"/>
    <mergeCell ref="M281:N281"/>
    <mergeCell ref="M282:N282"/>
    <mergeCell ref="M283:N283"/>
    <mergeCell ref="M284:N284"/>
    <mergeCell ref="M285:N285"/>
    <mergeCell ref="M287:N287"/>
    <mergeCell ref="M288:N288"/>
    <mergeCell ref="M289:N289"/>
    <mergeCell ref="M294:N294"/>
    <mergeCell ref="M302:N302"/>
    <mergeCell ref="M308:N308"/>
    <mergeCell ref="M315:N315"/>
    <mergeCell ref="M322:N322"/>
    <mergeCell ref="B337:P337"/>
    <mergeCell ref="A3:A5"/>
    <mergeCell ref="A76:A77"/>
    <mergeCell ref="A97:A99"/>
    <mergeCell ref="A101:A104"/>
    <mergeCell ref="A111:A113"/>
    <mergeCell ref="A114:A116"/>
    <mergeCell ref="A119:A120"/>
    <mergeCell ref="A121:A122"/>
    <mergeCell ref="A128:A129"/>
    <mergeCell ref="A135:A137"/>
    <mergeCell ref="A157:A159"/>
    <mergeCell ref="A178:A180"/>
    <mergeCell ref="A233:A234"/>
    <mergeCell ref="A239:A240"/>
    <mergeCell ref="A262:A263"/>
    <mergeCell ref="A275:A276"/>
    <mergeCell ref="A290:A293"/>
    <mergeCell ref="A295:A301"/>
    <mergeCell ref="A303:A307"/>
    <mergeCell ref="A309:A314"/>
    <mergeCell ref="A316:A321"/>
    <mergeCell ref="A323:A331"/>
    <mergeCell ref="A332:A333"/>
    <mergeCell ref="A334:A335"/>
    <mergeCell ref="B3:B5"/>
    <mergeCell ref="B76:B77"/>
    <mergeCell ref="B97:B99"/>
    <mergeCell ref="B101:B104"/>
    <mergeCell ref="B111:B113"/>
    <mergeCell ref="B114:B116"/>
    <mergeCell ref="B119:B120"/>
    <mergeCell ref="B121:B122"/>
    <mergeCell ref="B128:B129"/>
    <mergeCell ref="B135:B137"/>
    <mergeCell ref="B157:B159"/>
    <mergeCell ref="B178:B180"/>
    <mergeCell ref="B233:B234"/>
    <mergeCell ref="B239:B240"/>
    <mergeCell ref="B262:B263"/>
    <mergeCell ref="B275:B276"/>
    <mergeCell ref="B290:B293"/>
    <mergeCell ref="B295:B301"/>
    <mergeCell ref="B303:B307"/>
    <mergeCell ref="B309:B314"/>
    <mergeCell ref="B316:B321"/>
    <mergeCell ref="B323:B331"/>
    <mergeCell ref="B332:B333"/>
    <mergeCell ref="B334:B335"/>
    <mergeCell ref="C3:C5"/>
    <mergeCell ref="C76:C77"/>
    <mergeCell ref="C97:C99"/>
    <mergeCell ref="C101:C104"/>
    <mergeCell ref="C111:C113"/>
    <mergeCell ref="C114:C116"/>
    <mergeCell ref="C119:C120"/>
    <mergeCell ref="C121:C122"/>
    <mergeCell ref="C128:C129"/>
    <mergeCell ref="C135:C137"/>
    <mergeCell ref="C157:C159"/>
    <mergeCell ref="C178:C180"/>
    <mergeCell ref="C233:C234"/>
    <mergeCell ref="C239:C240"/>
    <mergeCell ref="C262:C263"/>
    <mergeCell ref="C275:C276"/>
    <mergeCell ref="C290:C293"/>
    <mergeCell ref="C295:C301"/>
    <mergeCell ref="C303:C307"/>
    <mergeCell ref="C309:C314"/>
    <mergeCell ref="C316:C321"/>
    <mergeCell ref="C323:C331"/>
    <mergeCell ref="C332:C333"/>
    <mergeCell ref="C334:C335"/>
    <mergeCell ref="D3:D5"/>
    <mergeCell ref="D76:D77"/>
    <mergeCell ref="D97:D99"/>
    <mergeCell ref="D101:D104"/>
    <mergeCell ref="D111:D113"/>
    <mergeCell ref="D114:D116"/>
    <mergeCell ref="D119:D120"/>
    <mergeCell ref="D121:D122"/>
    <mergeCell ref="D128:D129"/>
    <mergeCell ref="D135:D137"/>
    <mergeCell ref="D157:D159"/>
    <mergeCell ref="D178:D180"/>
    <mergeCell ref="D233:D234"/>
    <mergeCell ref="D239:D240"/>
    <mergeCell ref="D262:D263"/>
    <mergeCell ref="D275:D276"/>
    <mergeCell ref="D290:D293"/>
    <mergeCell ref="D295:D301"/>
    <mergeCell ref="D303:D307"/>
    <mergeCell ref="D309:D314"/>
    <mergeCell ref="D316:D321"/>
    <mergeCell ref="D323:D331"/>
    <mergeCell ref="D332:D333"/>
    <mergeCell ref="D334:D335"/>
    <mergeCell ref="E3:E5"/>
    <mergeCell ref="E76:E77"/>
    <mergeCell ref="E97:E99"/>
    <mergeCell ref="E101:E104"/>
    <mergeCell ref="E111:E113"/>
    <mergeCell ref="E114:E116"/>
    <mergeCell ref="E119:E120"/>
    <mergeCell ref="E121:E122"/>
    <mergeCell ref="E128:E129"/>
    <mergeCell ref="E135:E137"/>
    <mergeCell ref="E157:E159"/>
    <mergeCell ref="E178:E180"/>
    <mergeCell ref="E233:E234"/>
    <mergeCell ref="E239:E240"/>
    <mergeCell ref="E262:E263"/>
    <mergeCell ref="E275:E276"/>
    <mergeCell ref="E290:E293"/>
    <mergeCell ref="E295:E301"/>
    <mergeCell ref="E303:E307"/>
    <mergeCell ref="E309:E314"/>
    <mergeCell ref="E316:E321"/>
    <mergeCell ref="E323:E331"/>
    <mergeCell ref="E332:E333"/>
    <mergeCell ref="E334:E335"/>
    <mergeCell ref="F4:F5"/>
    <mergeCell ref="F76:F77"/>
    <mergeCell ref="F97:F99"/>
    <mergeCell ref="F101:F104"/>
    <mergeCell ref="F111:F113"/>
    <mergeCell ref="F114:F116"/>
    <mergeCell ref="F119:F120"/>
    <mergeCell ref="F121:F122"/>
    <mergeCell ref="F128:F129"/>
    <mergeCell ref="F135:F137"/>
    <mergeCell ref="F157:F159"/>
    <mergeCell ref="F178:F180"/>
    <mergeCell ref="F233:F234"/>
    <mergeCell ref="F239:F240"/>
    <mergeCell ref="F262:F263"/>
    <mergeCell ref="F275:F276"/>
    <mergeCell ref="F290:F293"/>
    <mergeCell ref="F295:F301"/>
    <mergeCell ref="F303:F307"/>
    <mergeCell ref="F309:F314"/>
    <mergeCell ref="F316:F321"/>
    <mergeCell ref="F323:F331"/>
    <mergeCell ref="F332:F333"/>
    <mergeCell ref="F334:F335"/>
    <mergeCell ref="G76:G77"/>
    <mergeCell ref="G97:G99"/>
    <mergeCell ref="G101:G104"/>
    <mergeCell ref="G111:G113"/>
    <mergeCell ref="G114:G116"/>
    <mergeCell ref="G119:G120"/>
    <mergeCell ref="G121:G122"/>
    <mergeCell ref="G128:G129"/>
    <mergeCell ref="G135:G137"/>
    <mergeCell ref="G157:G159"/>
    <mergeCell ref="G178:G180"/>
    <mergeCell ref="G233:G234"/>
    <mergeCell ref="G239:G240"/>
    <mergeCell ref="G262:G263"/>
    <mergeCell ref="G275:G276"/>
    <mergeCell ref="G290:G293"/>
    <mergeCell ref="G295:G301"/>
    <mergeCell ref="G303:G307"/>
    <mergeCell ref="G309:G314"/>
    <mergeCell ref="G316:G321"/>
    <mergeCell ref="G323:G331"/>
    <mergeCell ref="G332:G333"/>
    <mergeCell ref="G334:G335"/>
    <mergeCell ref="H76:H77"/>
    <mergeCell ref="H97:H99"/>
    <mergeCell ref="H101:H104"/>
    <mergeCell ref="H111:H113"/>
    <mergeCell ref="H114:H116"/>
    <mergeCell ref="H119:H120"/>
    <mergeCell ref="H121:H122"/>
    <mergeCell ref="H128:H129"/>
    <mergeCell ref="H135:H137"/>
    <mergeCell ref="H157:H159"/>
    <mergeCell ref="H178:H180"/>
    <mergeCell ref="H233:H234"/>
    <mergeCell ref="H239:H240"/>
    <mergeCell ref="H262:H263"/>
    <mergeCell ref="H275:H276"/>
    <mergeCell ref="H290:H293"/>
    <mergeCell ref="H295:H301"/>
    <mergeCell ref="H303:H307"/>
    <mergeCell ref="H309:H314"/>
    <mergeCell ref="H316:H321"/>
    <mergeCell ref="H323:H331"/>
    <mergeCell ref="H332:H333"/>
    <mergeCell ref="H334:H335"/>
    <mergeCell ref="I76:I77"/>
    <mergeCell ref="I97:I99"/>
    <mergeCell ref="I101:I104"/>
    <mergeCell ref="I111:I113"/>
    <mergeCell ref="I114:I116"/>
    <mergeCell ref="I119:I120"/>
    <mergeCell ref="I121:I122"/>
    <mergeCell ref="I128:I129"/>
    <mergeCell ref="I135:I137"/>
    <mergeCell ref="I157:I159"/>
    <mergeCell ref="I178:I180"/>
    <mergeCell ref="I233:I234"/>
    <mergeCell ref="I239:I240"/>
    <mergeCell ref="I262:I263"/>
    <mergeCell ref="I275:I276"/>
    <mergeCell ref="I290:I293"/>
    <mergeCell ref="I295:I301"/>
    <mergeCell ref="I303:I307"/>
    <mergeCell ref="I309:I314"/>
    <mergeCell ref="I316:I321"/>
    <mergeCell ref="I323:I331"/>
    <mergeCell ref="I332:I333"/>
    <mergeCell ref="I334:I335"/>
    <mergeCell ref="J4:J5"/>
    <mergeCell ref="J76:J77"/>
    <mergeCell ref="J97:J99"/>
    <mergeCell ref="J101:J104"/>
    <mergeCell ref="J111:J113"/>
    <mergeCell ref="J114:J116"/>
    <mergeCell ref="J119:J120"/>
    <mergeCell ref="J121:J122"/>
    <mergeCell ref="J128:J129"/>
    <mergeCell ref="J135:J137"/>
    <mergeCell ref="J157:J159"/>
    <mergeCell ref="J178:J180"/>
    <mergeCell ref="J233:J234"/>
    <mergeCell ref="J239:J240"/>
    <mergeCell ref="J262:J263"/>
    <mergeCell ref="J275:J276"/>
    <mergeCell ref="J290:J293"/>
    <mergeCell ref="J295:J301"/>
    <mergeCell ref="J303:J307"/>
    <mergeCell ref="J309:J314"/>
    <mergeCell ref="J316:J321"/>
    <mergeCell ref="J323:J331"/>
    <mergeCell ref="J332:J333"/>
    <mergeCell ref="J334:J335"/>
    <mergeCell ref="K76:K77"/>
    <mergeCell ref="K97:K99"/>
    <mergeCell ref="K101:K104"/>
    <mergeCell ref="K111:K113"/>
    <mergeCell ref="K114:K116"/>
    <mergeCell ref="K119:K120"/>
    <mergeCell ref="K121:K122"/>
    <mergeCell ref="K128:K129"/>
    <mergeCell ref="K135:K137"/>
    <mergeCell ref="K157:K159"/>
    <mergeCell ref="K178:K180"/>
    <mergeCell ref="K233:K234"/>
    <mergeCell ref="K239:K240"/>
    <mergeCell ref="K262:K263"/>
    <mergeCell ref="K275:K276"/>
    <mergeCell ref="K290:K293"/>
    <mergeCell ref="K295:K301"/>
    <mergeCell ref="K303:K307"/>
    <mergeCell ref="K309:K314"/>
    <mergeCell ref="K316:K321"/>
    <mergeCell ref="K323:K331"/>
    <mergeCell ref="K332:K333"/>
    <mergeCell ref="K334:K335"/>
    <mergeCell ref="L76:L77"/>
    <mergeCell ref="L97:L99"/>
    <mergeCell ref="L101:L104"/>
    <mergeCell ref="L111:L113"/>
    <mergeCell ref="L114:L116"/>
    <mergeCell ref="L119:L120"/>
    <mergeCell ref="L121:L122"/>
    <mergeCell ref="L128:L129"/>
    <mergeCell ref="L135:L137"/>
    <mergeCell ref="L157:L159"/>
    <mergeCell ref="L178:L180"/>
    <mergeCell ref="L233:L234"/>
    <mergeCell ref="L239:L240"/>
    <mergeCell ref="L262:L263"/>
    <mergeCell ref="L275:L276"/>
    <mergeCell ref="L290:L293"/>
    <mergeCell ref="L295:L301"/>
    <mergeCell ref="L303:L307"/>
    <mergeCell ref="L309:L314"/>
    <mergeCell ref="L316:L321"/>
    <mergeCell ref="L323:L331"/>
    <mergeCell ref="L332:L333"/>
    <mergeCell ref="L334:L335"/>
    <mergeCell ref="O3:O5"/>
    <mergeCell ref="O76:O77"/>
    <mergeCell ref="O97:O99"/>
    <mergeCell ref="O101:O104"/>
    <mergeCell ref="O111:O113"/>
    <mergeCell ref="O114:O116"/>
    <mergeCell ref="O119:O120"/>
    <mergeCell ref="O121:O122"/>
    <mergeCell ref="O128:O129"/>
    <mergeCell ref="O135:O137"/>
    <mergeCell ref="O157:O159"/>
    <mergeCell ref="O178:O180"/>
    <mergeCell ref="O233:O234"/>
    <mergeCell ref="O239:O240"/>
    <mergeCell ref="O262:O263"/>
    <mergeCell ref="O275:O276"/>
    <mergeCell ref="O290:O293"/>
    <mergeCell ref="O295:O301"/>
    <mergeCell ref="O303:O307"/>
    <mergeCell ref="O309:O314"/>
    <mergeCell ref="O316:O321"/>
    <mergeCell ref="O323:O331"/>
    <mergeCell ref="O332:O333"/>
    <mergeCell ref="O334:O335"/>
    <mergeCell ref="P3:P5"/>
    <mergeCell ref="P76:P77"/>
    <mergeCell ref="P97:P99"/>
    <mergeCell ref="P101:P104"/>
    <mergeCell ref="P111:P113"/>
    <mergeCell ref="P114:P116"/>
    <mergeCell ref="P119:P120"/>
    <mergeCell ref="P121:P122"/>
    <mergeCell ref="P128:P129"/>
    <mergeCell ref="P135:P137"/>
    <mergeCell ref="P157:P159"/>
    <mergeCell ref="P178:P180"/>
    <mergeCell ref="P233:P234"/>
    <mergeCell ref="P239:P240"/>
    <mergeCell ref="P262:P263"/>
    <mergeCell ref="P275:P276"/>
    <mergeCell ref="P290:P293"/>
    <mergeCell ref="P295:P301"/>
    <mergeCell ref="P303:P307"/>
    <mergeCell ref="P309:P314"/>
    <mergeCell ref="P316:P321"/>
    <mergeCell ref="P323:P331"/>
    <mergeCell ref="P332:P333"/>
    <mergeCell ref="P334:P335"/>
    <mergeCell ref="Q76:Q77"/>
    <mergeCell ref="Q97:Q99"/>
    <mergeCell ref="Q101:Q104"/>
    <mergeCell ref="Q333:Q335"/>
    <mergeCell ref="M3:N5"/>
    <mergeCell ref="M76:N77"/>
    <mergeCell ref="M334:N335"/>
    <mergeCell ref="M114:N116"/>
    <mergeCell ref="M97:N99"/>
    <mergeCell ref="M101:N104"/>
    <mergeCell ref="M111:N113"/>
    <mergeCell ref="M295:N301"/>
    <mergeCell ref="M303:N307"/>
    <mergeCell ref="M309:N314"/>
    <mergeCell ref="M316:N321"/>
    <mergeCell ref="M323:N331"/>
    <mergeCell ref="M332:N333"/>
    <mergeCell ref="M119:N120"/>
    <mergeCell ref="M121:N122"/>
    <mergeCell ref="M275:N276"/>
    <mergeCell ref="M262:N263"/>
    <mergeCell ref="M239:N240"/>
    <mergeCell ref="M233:N234"/>
    <mergeCell ref="M178:N180"/>
    <mergeCell ref="M157:N159"/>
    <mergeCell ref="M135:N137"/>
    <mergeCell ref="M128:N129"/>
    <mergeCell ref="M290:N293"/>
  </mergeCells>
  <pageMargins left="0.751388888888889" right="0.66875" top="0.786805555555556" bottom="0.66875" header="0.5" footer="0.5"/>
  <pageSetup paperSize="9" scale="92"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9"/>
  <sheetViews>
    <sheetView zoomScale="115" zoomScaleNormal="115" workbookViewId="0">
      <selection activeCell="N238" sqref="N238:O238"/>
    </sheetView>
  </sheetViews>
  <sheetFormatPr defaultColWidth="9" defaultRowHeight="11.25"/>
  <cols>
    <col min="1" max="1" width="6.14285714285714" style="46" customWidth="1"/>
    <col min="2" max="2" width="8.28571428571429" style="46" customWidth="1"/>
    <col min="3" max="3" width="21" style="46" customWidth="1"/>
    <col min="4" max="4" width="6.42857142857143" style="46" customWidth="1"/>
    <col min="5" max="5" width="6.71428571428571" style="46" customWidth="1"/>
    <col min="6" max="6" width="7" style="46" customWidth="1"/>
    <col min="7" max="7" width="8.66666666666667" style="46" customWidth="1"/>
    <col min="8" max="8" width="9.14285714285714" style="46" customWidth="1"/>
    <col min="9" max="9" width="7.57142857142857" style="46" customWidth="1"/>
    <col min="10" max="10" width="9" style="47" customWidth="1"/>
    <col min="11" max="11" width="10.4285714285714" style="47" customWidth="1"/>
    <col min="12" max="12" width="9.85714285714286" style="47" customWidth="1"/>
    <col min="13" max="13" width="0.333333333333333" style="46" customWidth="1"/>
    <col min="14" max="14" width="11.7142857142857" style="46" customWidth="1"/>
    <col min="15" max="15" width="9.14285714285714" style="46" customWidth="1"/>
    <col min="16" max="16" width="5.42857142857143" style="46" customWidth="1"/>
    <col min="17" max="17" width="9" style="46"/>
    <col min="18" max="19" width="11" style="46"/>
    <col min="20" max="16384" width="9" style="46"/>
  </cols>
  <sheetData>
    <row r="1" s="46" customFormat="1" ht="25.5" spans="1:16">
      <c r="A1" s="25" t="s">
        <v>36</v>
      </c>
      <c r="B1" s="25"/>
      <c r="C1" s="25"/>
      <c r="D1" s="25"/>
      <c r="E1" s="25"/>
      <c r="F1" s="25"/>
      <c r="G1" s="25"/>
      <c r="H1" s="25"/>
      <c r="I1" s="25"/>
      <c r="J1" s="25"/>
      <c r="K1" s="25"/>
      <c r="L1" s="25"/>
      <c r="M1" s="25"/>
      <c r="N1" s="25"/>
      <c r="O1" s="25"/>
      <c r="P1" s="25"/>
    </row>
    <row r="2" s="46" customFormat="1" spans="1:16">
      <c r="A2" s="27" t="s">
        <v>323</v>
      </c>
      <c r="B2" s="27"/>
      <c r="C2" s="27"/>
      <c r="D2" s="27"/>
      <c r="E2" s="27"/>
      <c r="F2" s="27"/>
      <c r="G2" s="27"/>
      <c r="H2" s="27"/>
      <c r="I2" s="27"/>
      <c r="J2" s="39"/>
      <c r="K2" s="39"/>
      <c r="L2" s="39"/>
      <c r="M2" s="27"/>
      <c r="N2" s="27"/>
      <c r="O2" s="27"/>
      <c r="P2" s="27"/>
    </row>
    <row r="3" s="46" customFormat="1" spans="1:16">
      <c r="A3" s="32" t="s">
        <v>38</v>
      </c>
      <c r="B3" s="32" t="s">
        <v>39</v>
      </c>
      <c r="C3" s="32" t="s">
        <v>40</v>
      </c>
      <c r="D3" s="32" t="s">
        <v>25</v>
      </c>
      <c r="E3" s="32" t="s">
        <v>41</v>
      </c>
      <c r="F3" s="32" t="s">
        <v>42</v>
      </c>
      <c r="G3" s="32"/>
      <c r="H3" s="32"/>
      <c r="I3" s="32"/>
      <c r="J3" s="30"/>
      <c r="K3" s="30"/>
      <c r="L3" s="30"/>
      <c r="M3" s="32" t="s">
        <v>43</v>
      </c>
      <c r="N3" s="32"/>
      <c r="O3" s="32" t="s">
        <v>44</v>
      </c>
      <c r="P3" s="32" t="s">
        <v>45</v>
      </c>
    </row>
    <row r="4" s="46" customFormat="1" ht="45" spans="1:16">
      <c r="A4" s="32"/>
      <c r="B4" s="32"/>
      <c r="C4" s="32"/>
      <c r="D4" s="32"/>
      <c r="E4" s="32"/>
      <c r="F4" s="32" t="s">
        <v>46</v>
      </c>
      <c r="G4" s="32" t="s">
        <v>47</v>
      </c>
      <c r="H4" s="32" t="s">
        <v>48</v>
      </c>
      <c r="I4" s="32" t="s">
        <v>49</v>
      </c>
      <c r="J4" s="30" t="s">
        <v>50</v>
      </c>
      <c r="K4" s="30" t="s">
        <v>51</v>
      </c>
      <c r="L4" s="30" t="s">
        <v>52</v>
      </c>
      <c r="M4" s="32"/>
      <c r="N4" s="32"/>
      <c r="O4" s="32"/>
      <c r="P4" s="32"/>
    </row>
    <row r="5" s="46" customFormat="1" ht="22.5" spans="1:16">
      <c r="A5" s="32"/>
      <c r="B5" s="32"/>
      <c r="C5" s="32"/>
      <c r="D5" s="32"/>
      <c r="E5" s="32"/>
      <c r="F5" s="32"/>
      <c r="G5" s="32" t="s">
        <v>53</v>
      </c>
      <c r="H5" s="32" t="s">
        <v>54</v>
      </c>
      <c r="I5" s="32" t="s">
        <v>55</v>
      </c>
      <c r="J5" s="30"/>
      <c r="K5" s="49">
        <f>'02、装饰工程'!K5</f>
        <v>0.06</v>
      </c>
      <c r="L5" s="49">
        <f>'02、装饰工程'!L5</f>
        <v>0.03</v>
      </c>
      <c r="M5" s="32"/>
      <c r="N5" s="32"/>
      <c r="O5" s="32"/>
      <c r="P5" s="32"/>
    </row>
    <row r="6" s="46" customFormat="1" spans="1:16">
      <c r="A6" s="32"/>
      <c r="B6" s="32" t="s">
        <v>324</v>
      </c>
      <c r="C6" s="32"/>
      <c r="D6" s="32"/>
      <c r="E6" s="32"/>
      <c r="F6" s="32"/>
      <c r="G6" s="32"/>
      <c r="H6" s="32"/>
      <c r="I6" s="32"/>
      <c r="J6" s="30"/>
      <c r="K6" s="30"/>
      <c r="L6" s="30"/>
      <c r="M6" s="32">
        <f>SUM(O7:O158)</f>
        <v>712321.09328046</v>
      </c>
      <c r="N6" s="32"/>
      <c r="O6" s="32"/>
      <c r="P6" s="32"/>
    </row>
    <row r="7" s="46" customFormat="1" spans="1:16">
      <c r="A7" s="32"/>
      <c r="B7" s="32" t="s">
        <v>325</v>
      </c>
      <c r="C7" s="32"/>
      <c r="D7" s="32"/>
      <c r="E7" s="32"/>
      <c r="F7" s="32"/>
      <c r="G7" s="32"/>
      <c r="H7" s="32"/>
      <c r="I7" s="32"/>
      <c r="J7" s="30"/>
      <c r="K7" s="30"/>
      <c r="L7" s="30"/>
      <c r="M7" s="32"/>
      <c r="N7" s="32"/>
      <c r="O7" s="32"/>
      <c r="P7" s="32"/>
    </row>
    <row r="8" s="46" customFormat="1" ht="45" outlineLevel="1" spans="1:21">
      <c r="A8" s="32">
        <v>1</v>
      </c>
      <c r="B8" s="32" t="s">
        <v>326</v>
      </c>
      <c r="C8" s="32" t="s">
        <v>327</v>
      </c>
      <c r="D8" s="32" t="s">
        <v>328</v>
      </c>
      <c r="E8" s="32">
        <v>1</v>
      </c>
      <c r="F8" s="32">
        <v>200</v>
      </c>
      <c r="G8" s="48">
        <f t="shared" ref="G8:G27" si="0">H8*(1+I8)</f>
        <v>2222</v>
      </c>
      <c r="H8" s="48">
        <v>2200</v>
      </c>
      <c r="I8" s="49">
        <v>0.01</v>
      </c>
      <c r="J8" s="31">
        <v>50</v>
      </c>
      <c r="K8" s="31">
        <f>(F8+G8+J8)*$K$5</f>
        <v>148.32</v>
      </c>
      <c r="L8" s="31">
        <f>(F8+G8+J8+K8)*$L$5</f>
        <v>78.6096</v>
      </c>
      <c r="M8" s="48">
        <f>(F8+G8+J8+K8+L8)*1.4</f>
        <v>3778.50144</v>
      </c>
      <c r="N8" s="48"/>
      <c r="O8" s="48">
        <f t="shared" ref="O8:O42" si="1">M8*E8</f>
        <v>3778.50144</v>
      </c>
      <c r="P8" s="32"/>
      <c r="R8" s="46">
        <f>E8*M8</f>
        <v>3778.50144</v>
      </c>
      <c r="S8" s="46">
        <f>F8+G8+J8+K8+L8</f>
        <v>2698.9296</v>
      </c>
      <c r="T8" s="46" t="b">
        <f>M8=S8</f>
        <v>0</v>
      </c>
      <c r="U8" s="46" t="b">
        <f>R8=O8</f>
        <v>1</v>
      </c>
    </row>
    <row r="9" s="46" customFormat="1" ht="56.25" outlineLevel="1" spans="1:21">
      <c r="A9" s="32">
        <v>2</v>
      </c>
      <c r="B9" s="32" t="s">
        <v>326</v>
      </c>
      <c r="C9" s="32" t="s">
        <v>329</v>
      </c>
      <c r="D9" s="32" t="s">
        <v>328</v>
      </c>
      <c r="E9" s="32">
        <v>1</v>
      </c>
      <c r="F9" s="32">
        <f t="shared" ref="F9:J9" si="2">F8</f>
        <v>200</v>
      </c>
      <c r="G9" s="48">
        <f t="shared" si="0"/>
        <v>3232</v>
      </c>
      <c r="H9" s="48">
        <v>3200</v>
      </c>
      <c r="I9" s="49">
        <f t="shared" si="2"/>
        <v>0.01</v>
      </c>
      <c r="J9" s="31">
        <f t="shared" si="2"/>
        <v>50</v>
      </c>
      <c r="K9" s="31">
        <f>(F9+G9+J9)*$K$5</f>
        <v>208.92</v>
      </c>
      <c r="L9" s="31">
        <f>(F9+G9+J9+K9)*$L$5</f>
        <v>110.7276</v>
      </c>
      <c r="M9" s="48">
        <f t="shared" ref="M9:M72" si="3">(F9+G9+J9+K9+L9)*1.4</f>
        <v>5322.30664</v>
      </c>
      <c r="N9" s="48"/>
      <c r="O9" s="48">
        <f t="shared" si="1"/>
        <v>5322.30664</v>
      </c>
      <c r="P9" s="32"/>
      <c r="R9" s="46">
        <f t="shared" ref="R9:R72" si="4">E9*M9</f>
        <v>5322.30664</v>
      </c>
      <c r="S9" s="46">
        <f t="shared" ref="S9:S72" si="5">F9+G9+J9+K9+L9</f>
        <v>3801.6476</v>
      </c>
      <c r="T9" s="46" t="b">
        <f t="shared" ref="T9:T72" si="6">M9=S9</f>
        <v>0</v>
      </c>
      <c r="U9" s="46" t="b">
        <f t="shared" ref="U9:U72" si="7">R9=O9</f>
        <v>1</v>
      </c>
    </row>
    <row r="10" s="46" customFormat="1" ht="56.25" outlineLevel="1" spans="1:21">
      <c r="A10" s="32">
        <v>3</v>
      </c>
      <c r="B10" s="32" t="s">
        <v>330</v>
      </c>
      <c r="C10" s="32" t="s">
        <v>331</v>
      </c>
      <c r="D10" s="32" t="s">
        <v>94</v>
      </c>
      <c r="E10" s="32">
        <v>7.54</v>
      </c>
      <c r="F10" s="32">
        <v>25</v>
      </c>
      <c r="G10" s="48">
        <f t="shared" si="0"/>
        <v>25.5</v>
      </c>
      <c r="H10" s="48">
        <v>25</v>
      </c>
      <c r="I10" s="49">
        <v>0.02</v>
      </c>
      <c r="J10" s="31">
        <v>6</v>
      </c>
      <c r="K10" s="31">
        <f>(F10+G10+J10)*$K$5</f>
        <v>3.39</v>
      </c>
      <c r="L10" s="31">
        <f>(F10+G10+J10+K10)*$L$5</f>
        <v>1.7967</v>
      </c>
      <c r="M10" s="48">
        <f t="shared" si="3"/>
        <v>86.36138</v>
      </c>
      <c r="N10" s="48"/>
      <c r="O10" s="48">
        <f t="shared" si="1"/>
        <v>651.1648052</v>
      </c>
      <c r="P10" s="32"/>
      <c r="R10" s="46">
        <f t="shared" si="4"/>
        <v>651.1648052</v>
      </c>
      <c r="S10" s="46">
        <f t="shared" si="5"/>
        <v>61.6867</v>
      </c>
      <c r="T10" s="46" t="b">
        <f t="shared" si="6"/>
        <v>0</v>
      </c>
      <c r="U10" s="46" t="b">
        <f t="shared" si="7"/>
        <v>1</v>
      </c>
    </row>
    <row r="11" s="46" customFormat="1" ht="56.25" outlineLevel="1" spans="1:21">
      <c r="A11" s="32">
        <v>4</v>
      </c>
      <c r="B11" s="32" t="s">
        <v>330</v>
      </c>
      <c r="C11" s="32" t="s">
        <v>332</v>
      </c>
      <c r="D11" s="32" t="s">
        <v>94</v>
      </c>
      <c r="E11" s="32">
        <v>105.39</v>
      </c>
      <c r="F11" s="32">
        <f>F10</f>
        <v>25</v>
      </c>
      <c r="G11" s="48">
        <f t="shared" si="0"/>
        <v>49.98</v>
      </c>
      <c r="H11" s="48">
        <v>49</v>
      </c>
      <c r="I11" s="49">
        <f>I10</f>
        <v>0.02</v>
      </c>
      <c r="J11" s="31">
        <v>8</v>
      </c>
      <c r="K11" s="31">
        <f>(F11+G11+J11)*$K$5</f>
        <v>4.9788</v>
      </c>
      <c r="L11" s="31">
        <f>(F11+G11+J11+K11)*$L$5</f>
        <v>2.638764</v>
      </c>
      <c r="M11" s="48">
        <f t="shared" si="3"/>
        <v>126.8365896</v>
      </c>
      <c r="N11" s="48"/>
      <c r="O11" s="48">
        <f t="shared" si="1"/>
        <v>13367.308177944</v>
      </c>
      <c r="P11" s="32"/>
      <c r="R11" s="46">
        <f t="shared" si="4"/>
        <v>13367.308177944</v>
      </c>
      <c r="S11" s="46">
        <f t="shared" si="5"/>
        <v>90.597564</v>
      </c>
      <c r="T11" s="46" t="b">
        <f t="shared" si="6"/>
        <v>0</v>
      </c>
      <c r="U11" s="46" t="b">
        <f t="shared" si="7"/>
        <v>1</v>
      </c>
    </row>
    <row r="12" s="46" customFormat="1" ht="56.25" outlineLevel="1" spans="1:21">
      <c r="A12" s="32">
        <v>5</v>
      </c>
      <c r="B12" s="32" t="s">
        <v>330</v>
      </c>
      <c r="C12" s="32" t="s">
        <v>333</v>
      </c>
      <c r="D12" s="32" t="s">
        <v>94</v>
      </c>
      <c r="E12" s="32">
        <v>7.65</v>
      </c>
      <c r="F12" s="32">
        <v>30</v>
      </c>
      <c r="G12" s="48">
        <f t="shared" si="0"/>
        <v>66.3</v>
      </c>
      <c r="H12" s="48">
        <v>65</v>
      </c>
      <c r="I12" s="49">
        <f>I10</f>
        <v>0.02</v>
      </c>
      <c r="J12" s="31">
        <v>10</v>
      </c>
      <c r="K12" s="31">
        <f>(F12+G12+J12)*$K$5</f>
        <v>6.378</v>
      </c>
      <c r="L12" s="31">
        <f>(F12+G12+J12+K12)*$L$5</f>
        <v>3.38034</v>
      </c>
      <c r="M12" s="48">
        <f t="shared" si="3"/>
        <v>162.481676</v>
      </c>
      <c r="N12" s="48"/>
      <c r="O12" s="48">
        <f t="shared" si="1"/>
        <v>1242.9848214</v>
      </c>
      <c r="P12" s="32"/>
      <c r="R12" s="46">
        <f t="shared" si="4"/>
        <v>1242.9848214</v>
      </c>
      <c r="S12" s="46">
        <f t="shared" si="5"/>
        <v>116.05834</v>
      </c>
      <c r="T12" s="46" t="b">
        <f t="shared" si="6"/>
        <v>0</v>
      </c>
      <c r="U12" s="46" t="b">
        <f t="shared" si="7"/>
        <v>1</v>
      </c>
    </row>
    <row r="13" s="46" customFormat="1" ht="56.25" outlineLevel="1" spans="1:21">
      <c r="A13" s="32">
        <v>6</v>
      </c>
      <c r="B13" s="32" t="s">
        <v>330</v>
      </c>
      <c r="C13" s="32" t="s">
        <v>334</v>
      </c>
      <c r="D13" s="32" t="s">
        <v>94</v>
      </c>
      <c r="E13" s="32">
        <v>44.61</v>
      </c>
      <c r="F13" s="32">
        <v>36</v>
      </c>
      <c r="G13" s="48">
        <f t="shared" si="0"/>
        <v>168.3</v>
      </c>
      <c r="H13" s="48">
        <v>165</v>
      </c>
      <c r="I13" s="49">
        <f>I10</f>
        <v>0.02</v>
      </c>
      <c r="J13" s="31">
        <v>18</v>
      </c>
      <c r="K13" s="31">
        <f>(F13+G13+J13)*$K$5</f>
        <v>13.338</v>
      </c>
      <c r="L13" s="31">
        <f>(F13+G13+J13+K13)*$L$5</f>
        <v>7.06914</v>
      </c>
      <c r="M13" s="48">
        <f t="shared" si="3"/>
        <v>339.789996</v>
      </c>
      <c r="N13" s="48"/>
      <c r="O13" s="48">
        <f t="shared" si="1"/>
        <v>15158.03172156</v>
      </c>
      <c r="P13" s="32"/>
      <c r="R13" s="46">
        <f t="shared" si="4"/>
        <v>15158.03172156</v>
      </c>
      <c r="S13" s="46">
        <f t="shared" si="5"/>
        <v>242.70714</v>
      </c>
      <c r="T13" s="46" t="b">
        <f t="shared" si="6"/>
        <v>0</v>
      </c>
      <c r="U13" s="46" t="b">
        <f t="shared" si="7"/>
        <v>1</v>
      </c>
    </row>
    <row r="14" s="46" customFormat="1" ht="67.5" outlineLevel="1" spans="1:21">
      <c r="A14" s="32">
        <v>7</v>
      </c>
      <c r="B14" s="32" t="s">
        <v>335</v>
      </c>
      <c r="C14" s="32" t="s">
        <v>336</v>
      </c>
      <c r="D14" s="32" t="s">
        <v>337</v>
      </c>
      <c r="E14" s="32">
        <v>134.57</v>
      </c>
      <c r="F14" s="32">
        <v>4.6</v>
      </c>
      <c r="G14" s="48">
        <f t="shared" si="0"/>
        <v>5.04</v>
      </c>
      <c r="H14" s="48">
        <v>4.8</v>
      </c>
      <c r="I14" s="49">
        <v>0.05</v>
      </c>
      <c r="J14" s="31">
        <v>3</v>
      </c>
      <c r="K14" s="31">
        <f>(F14+G14+J14)*$K$5</f>
        <v>0.7584</v>
      </c>
      <c r="L14" s="31">
        <f>(F14+G14+J14+K14)*$L$5</f>
        <v>0.401952</v>
      </c>
      <c r="M14" s="48">
        <f t="shared" si="3"/>
        <v>19.3204928</v>
      </c>
      <c r="N14" s="48"/>
      <c r="O14" s="48">
        <f t="shared" si="1"/>
        <v>2599.958716096</v>
      </c>
      <c r="P14" s="32"/>
      <c r="R14" s="46">
        <f t="shared" si="4"/>
        <v>2599.958716096</v>
      </c>
      <c r="S14" s="46">
        <f t="shared" si="5"/>
        <v>13.800352</v>
      </c>
      <c r="T14" s="46" t="b">
        <f t="shared" si="6"/>
        <v>0</v>
      </c>
      <c r="U14" s="46" t="b">
        <f t="shared" si="7"/>
        <v>1</v>
      </c>
    </row>
    <row r="15" s="46" customFormat="1" ht="56.25" outlineLevel="1" spans="1:21">
      <c r="A15" s="32">
        <v>8</v>
      </c>
      <c r="B15" s="32" t="s">
        <v>338</v>
      </c>
      <c r="C15" s="32" t="s">
        <v>339</v>
      </c>
      <c r="D15" s="32" t="s">
        <v>94</v>
      </c>
      <c r="E15" s="32">
        <v>931.43</v>
      </c>
      <c r="F15" s="32">
        <v>10</v>
      </c>
      <c r="G15" s="48">
        <f t="shared" si="0"/>
        <v>5.665</v>
      </c>
      <c r="H15" s="48">
        <v>5.5</v>
      </c>
      <c r="I15" s="49">
        <v>0.03</v>
      </c>
      <c r="J15" s="31">
        <v>2</v>
      </c>
      <c r="K15" s="31">
        <f>(F15+G15+J15)*$K$5</f>
        <v>1.0599</v>
      </c>
      <c r="L15" s="31">
        <f>(F15+G15+J15+K15)*$L$5</f>
        <v>0.561747</v>
      </c>
      <c r="M15" s="48">
        <f t="shared" si="3"/>
        <v>27.0013058</v>
      </c>
      <c r="N15" s="48"/>
      <c r="O15" s="48">
        <f t="shared" si="1"/>
        <v>25149.826261294</v>
      </c>
      <c r="P15" s="32" t="s">
        <v>340</v>
      </c>
      <c r="R15" s="46">
        <f t="shared" si="4"/>
        <v>25149.826261294</v>
      </c>
      <c r="S15" s="46">
        <f t="shared" si="5"/>
        <v>19.286647</v>
      </c>
      <c r="T15" s="46" t="b">
        <f t="shared" si="6"/>
        <v>0</v>
      </c>
      <c r="U15" s="46" t="b">
        <f t="shared" si="7"/>
        <v>1</v>
      </c>
    </row>
    <row r="16" s="46" customFormat="1" ht="56.25" outlineLevel="1" spans="1:21">
      <c r="A16" s="32">
        <v>9</v>
      </c>
      <c r="B16" s="32" t="s">
        <v>338</v>
      </c>
      <c r="C16" s="32" t="s">
        <v>341</v>
      </c>
      <c r="D16" s="32" t="s">
        <v>94</v>
      </c>
      <c r="E16" s="32">
        <v>406</v>
      </c>
      <c r="F16" s="32">
        <f t="shared" ref="F16:J16" si="8">F15</f>
        <v>10</v>
      </c>
      <c r="G16" s="48">
        <f t="shared" si="0"/>
        <v>5.665</v>
      </c>
      <c r="H16" s="48">
        <f t="shared" si="8"/>
        <v>5.5</v>
      </c>
      <c r="I16" s="49">
        <f t="shared" si="8"/>
        <v>0.03</v>
      </c>
      <c r="J16" s="31">
        <f t="shared" si="8"/>
        <v>2</v>
      </c>
      <c r="K16" s="31">
        <f>(F16+G16+J16)*$K$5</f>
        <v>1.0599</v>
      </c>
      <c r="L16" s="31">
        <f>(F16+G16+J16+K16)*$L$5</f>
        <v>0.561747</v>
      </c>
      <c r="M16" s="48">
        <f t="shared" si="3"/>
        <v>27.0013058</v>
      </c>
      <c r="N16" s="48"/>
      <c r="O16" s="48">
        <f t="shared" si="1"/>
        <v>10962.5301548</v>
      </c>
      <c r="P16" s="32" t="s">
        <v>340</v>
      </c>
      <c r="R16" s="46">
        <f t="shared" si="4"/>
        <v>10962.5301548</v>
      </c>
      <c r="S16" s="46">
        <f t="shared" si="5"/>
        <v>19.286647</v>
      </c>
      <c r="T16" s="46" t="b">
        <f t="shared" si="6"/>
        <v>0</v>
      </c>
      <c r="U16" s="46" t="b">
        <f t="shared" si="7"/>
        <v>1</v>
      </c>
    </row>
    <row r="17" s="46" customFormat="1" ht="56.25" outlineLevel="1" spans="1:21">
      <c r="A17" s="32">
        <v>10</v>
      </c>
      <c r="B17" s="32" t="s">
        <v>338</v>
      </c>
      <c r="C17" s="32" t="s">
        <v>342</v>
      </c>
      <c r="D17" s="32" t="s">
        <v>94</v>
      </c>
      <c r="E17" s="32">
        <v>230.52</v>
      </c>
      <c r="F17" s="32">
        <f t="shared" ref="F17:J17" si="9">F15</f>
        <v>10</v>
      </c>
      <c r="G17" s="48">
        <f t="shared" si="0"/>
        <v>8.858</v>
      </c>
      <c r="H17" s="48">
        <v>8.6</v>
      </c>
      <c r="I17" s="49">
        <f t="shared" si="9"/>
        <v>0.03</v>
      </c>
      <c r="J17" s="31">
        <f t="shared" si="9"/>
        <v>2</v>
      </c>
      <c r="K17" s="31">
        <f>(F17+G17+J17)*$K$5</f>
        <v>1.25148</v>
      </c>
      <c r="L17" s="31">
        <f>(F17+G17+J17+K17)*$L$5</f>
        <v>0.6632844</v>
      </c>
      <c r="M17" s="48">
        <f t="shared" si="3"/>
        <v>31.88187016</v>
      </c>
      <c r="N17" s="48"/>
      <c r="O17" s="48">
        <f t="shared" si="1"/>
        <v>7349.4087092832</v>
      </c>
      <c r="P17" s="32" t="s">
        <v>340</v>
      </c>
      <c r="R17" s="46">
        <f t="shared" si="4"/>
        <v>7349.4087092832</v>
      </c>
      <c r="S17" s="46">
        <f t="shared" si="5"/>
        <v>22.7727644</v>
      </c>
      <c r="T17" s="46" t="b">
        <f t="shared" si="6"/>
        <v>0</v>
      </c>
      <c r="U17" s="46" t="b">
        <f t="shared" si="7"/>
        <v>1</v>
      </c>
    </row>
    <row r="18" s="46" customFormat="1" ht="56.25" outlineLevel="1" spans="1:21">
      <c r="A18" s="32">
        <v>11</v>
      </c>
      <c r="B18" s="32" t="s">
        <v>338</v>
      </c>
      <c r="C18" s="32" t="s">
        <v>343</v>
      </c>
      <c r="D18" s="32" t="s">
        <v>94</v>
      </c>
      <c r="E18" s="32">
        <v>42.9</v>
      </c>
      <c r="F18" s="32">
        <f t="shared" ref="F18:J18" si="10">F15</f>
        <v>10</v>
      </c>
      <c r="G18" s="48">
        <f t="shared" si="0"/>
        <v>8.858</v>
      </c>
      <c r="H18" s="48">
        <f>H17</f>
        <v>8.6</v>
      </c>
      <c r="I18" s="49">
        <f t="shared" si="10"/>
        <v>0.03</v>
      </c>
      <c r="J18" s="31">
        <f t="shared" si="10"/>
        <v>2</v>
      </c>
      <c r="K18" s="31">
        <f>(F18+G18+J18)*$K$5</f>
        <v>1.25148</v>
      </c>
      <c r="L18" s="31">
        <f>(F18+G18+J18+K18)*$L$5</f>
        <v>0.6632844</v>
      </c>
      <c r="M18" s="48">
        <f t="shared" si="3"/>
        <v>31.88187016</v>
      </c>
      <c r="N18" s="48"/>
      <c r="O18" s="48">
        <f t="shared" si="1"/>
        <v>1367.732229864</v>
      </c>
      <c r="P18" s="32" t="s">
        <v>340</v>
      </c>
      <c r="R18" s="46">
        <f t="shared" si="4"/>
        <v>1367.732229864</v>
      </c>
      <c r="S18" s="46">
        <f t="shared" si="5"/>
        <v>22.7727644</v>
      </c>
      <c r="T18" s="46" t="b">
        <f t="shared" si="6"/>
        <v>0</v>
      </c>
      <c r="U18" s="46" t="b">
        <f t="shared" si="7"/>
        <v>1</v>
      </c>
    </row>
    <row r="19" s="46" customFormat="1" ht="78.75" outlineLevel="1" spans="1:21">
      <c r="A19" s="32">
        <v>12</v>
      </c>
      <c r="B19" s="32" t="s">
        <v>344</v>
      </c>
      <c r="C19" s="32" t="s">
        <v>345</v>
      </c>
      <c r="D19" s="32" t="s">
        <v>94</v>
      </c>
      <c r="E19" s="32">
        <v>3.08</v>
      </c>
      <c r="F19" s="32">
        <v>15</v>
      </c>
      <c r="G19" s="48">
        <f t="shared" si="0"/>
        <v>123.6</v>
      </c>
      <c r="H19" s="48">
        <v>120</v>
      </c>
      <c r="I19" s="49">
        <v>0.03</v>
      </c>
      <c r="J19" s="31">
        <v>5</v>
      </c>
      <c r="K19" s="31">
        <f>(F19+G19+J19)*$K$5</f>
        <v>8.616</v>
      </c>
      <c r="L19" s="31">
        <f>(F19+G19+J19+K19)*$L$5</f>
        <v>4.56648</v>
      </c>
      <c r="M19" s="48">
        <f t="shared" si="3"/>
        <v>219.495472</v>
      </c>
      <c r="N19" s="48"/>
      <c r="O19" s="48">
        <f t="shared" si="1"/>
        <v>676.04605376</v>
      </c>
      <c r="P19" s="32" t="s">
        <v>340</v>
      </c>
      <c r="R19" s="46">
        <f t="shared" si="4"/>
        <v>676.04605376</v>
      </c>
      <c r="S19" s="46">
        <f t="shared" si="5"/>
        <v>156.78248</v>
      </c>
      <c r="T19" s="46" t="b">
        <f t="shared" si="6"/>
        <v>0</v>
      </c>
      <c r="U19" s="46" t="b">
        <f t="shared" si="7"/>
        <v>1</v>
      </c>
    </row>
    <row r="20" s="46" customFormat="1" ht="67.5" outlineLevel="1" spans="1:21">
      <c r="A20" s="32">
        <v>13</v>
      </c>
      <c r="B20" s="32" t="s">
        <v>346</v>
      </c>
      <c r="C20" s="32" t="s">
        <v>347</v>
      </c>
      <c r="D20" s="32" t="s">
        <v>88</v>
      </c>
      <c r="E20" s="32">
        <v>2</v>
      </c>
      <c r="F20" s="32">
        <v>50</v>
      </c>
      <c r="G20" s="48">
        <f t="shared" si="0"/>
        <v>14.645</v>
      </c>
      <c r="H20" s="48">
        <v>14.5</v>
      </c>
      <c r="I20" s="49">
        <v>0.01</v>
      </c>
      <c r="J20" s="31">
        <v>1</v>
      </c>
      <c r="K20" s="31">
        <f>(F20+G20+J20)*$K$5</f>
        <v>3.9387</v>
      </c>
      <c r="L20" s="31">
        <f>(F20+G20+J20+K20)*$L$5</f>
        <v>2.087511</v>
      </c>
      <c r="M20" s="48">
        <f t="shared" si="3"/>
        <v>100.3396954</v>
      </c>
      <c r="N20" s="48"/>
      <c r="O20" s="48">
        <f t="shared" si="1"/>
        <v>200.6793908</v>
      </c>
      <c r="P20" s="32" t="s">
        <v>340</v>
      </c>
      <c r="R20" s="46">
        <f t="shared" si="4"/>
        <v>200.6793908</v>
      </c>
      <c r="S20" s="46">
        <f t="shared" si="5"/>
        <v>71.671211</v>
      </c>
      <c r="T20" s="46" t="b">
        <f t="shared" si="6"/>
        <v>0</v>
      </c>
      <c r="U20" s="46" t="b">
        <f t="shared" si="7"/>
        <v>1</v>
      </c>
    </row>
    <row r="21" s="46" customFormat="1" ht="67.5" outlineLevel="1" spans="1:21">
      <c r="A21" s="32">
        <v>14</v>
      </c>
      <c r="B21" s="32" t="s">
        <v>348</v>
      </c>
      <c r="C21" s="32" t="s">
        <v>349</v>
      </c>
      <c r="D21" s="32" t="s">
        <v>94</v>
      </c>
      <c r="E21" s="32">
        <v>1913.96</v>
      </c>
      <c r="F21" s="32">
        <v>3</v>
      </c>
      <c r="G21" s="48">
        <f t="shared" si="0"/>
        <v>2.088</v>
      </c>
      <c r="H21" s="48">
        <v>1.8</v>
      </c>
      <c r="I21" s="49">
        <v>0.16</v>
      </c>
      <c r="J21" s="31">
        <v>0.5</v>
      </c>
      <c r="K21" s="31">
        <f>(F21+G21+J21)*$K$5</f>
        <v>0.33528</v>
      </c>
      <c r="L21" s="31">
        <f>(F21+G21+J21+K21)*$L$5</f>
        <v>0.1776984</v>
      </c>
      <c r="M21" s="48">
        <f t="shared" si="3"/>
        <v>8.54136976</v>
      </c>
      <c r="N21" s="48"/>
      <c r="O21" s="48">
        <f t="shared" si="1"/>
        <v>16347.8400658496</v>
      </c>
      <c r="P21" s="32" t="s">
        <v>340</v>
      </c>
      <c r="R21" s="46">
        <f t="shared" si="4"/>
        <v>16347.8400658496</v>
      </c>
      <c r="S21" s="46">
        <f t="shared" si="5"/>
        <v>6.1009784</v>
      </c>
      <c r="T21" s="46" t="b">
        <f t="shared" si="6"/>
        <v>0</v>
      </c>
      <c r="U21" s="46" t="b">
        <f t="shared" si="7"/>
        <v>1</v>
      </c>
    </row>
    <row r="22" s="46" customFormat="1" ht="67.5" outlineLevel="1" spans="1:21">
      <c r="A22" s="32">
        <v>15</v>
      </c>
      <c r="B22" s="32" t="s">
        <v>348</v>
      </c>
      <c r="C22" s="32" t="s">
        <v>350</v>
      </c>
      <c r="D22" s="32" t="s">
        <v>94</v>
      </c>
      <c r="E22" s="32">
        <v>2687.35</v>
      </c>
      <c r="F22" s="32">
        <f t="shared" ref="F22:J22" si="11">F21</f>
        <v>3</v>
      </c>
      <c r="G22" s="48">
        <f t="shared" si="0"/>
        <v>3.016</v>
      </c>
      <c r="H22" s="48">
        <v>2.6</v>
      </c>
      <c r="I22" s="49">
        <f t="shared" si="11"/>
        <v>0.16</v>
      </c>
      <c r="J22" s="31">
        <f t="shared" si="11"/>
        <v>0.5</v>
      </c>
      <c r="K22" s="31">
        <f>(F22+G22+J22)*$K$5</f>
        <v>0.39096</v>
      </c>
      <c r="L22" s="31">
        <f>(F22+G22+J22+K22)*$L$5</f>
        <v>0.2072088</v>
      </c>
      <c r="M22" s="48">
        <f t="shared" si="3"/>
        <v>9.95983632</v>
      </c>
      <c r="N22" s="48"/>
      <c r="O22" s="48">
        <f t="shared" si="1"/>
        <v>26765.566134552</v>
      </c>
      <c r="P22" s="32" t="s">
        <v>340</v>
      </c>
      <c r="R22" s="46">
        <f t="shared" si="4"/>
        <v>26765.566134552</v>
      </c>
      <c r="S22" s="46">
        <f t="shared" si="5"/>
        <v>7.1141688</v>
      </c>
      <c r="T22" s="46" t="b">
        <f t="shared" si="6"/>
        <v>0</v>
      </c>
      <c r="U22" s="46" t="b">
        <f t="shared" si="7"/>
        <v>1</v>
      </c>
    </row>
    <row r="23" s="46" customFormat="1" ht="67.5" outlineLevel="1" spans="1:21">
      <c r="A23" s="32">
        <v>16</v>
      </c>
      <c r="B23" s="32" t="s">
        <v>348</v>
      </c>
      <c r="C23" s="32" t="s">
        <v>351</v>
      </c>
      <c r="D23" s="32" t="s">
        <v>94</v>
      </c>
      <c r="E23" s="32">
        <v>1426.56</v>
      </c>
      <c r="F23" s="32">
        <f>F21</f>
        <v>3</v>
      </c>
      <c r="G23" s="48">
        <f t="shared" si="0"/>
        <v>3.016</v>
      </c>
      <c r="H23" s="48">
        <f t="shared" ref="H23:J23" si="12">H22</f>
        <v>2.6</v>
      </c>
      <c r="I23" s="49">
        <f t="shared" si="12"/>
        <v>0.16</v>
      </c>
      <c r="J23" s="31">
        <f t="shared" si="12"/>
        <v>0.5</v>
      </c>
      <c r="K23" s="31">
        <f>(F23+G23+J23)*$K$5</f>
        <v>0.39096</v>
      </c>
      <c r="L23" s="31">
        <f>(F23+G23+J23+K23)*$L$5</f>
        <v>0.2072088</v>
      </c>
      <c r="M23" s="48">
        <f t="shared" si="3"/>
        <v>9.95983632</v>
      </c>
      <c r="N23" s="48"/>
      <c r="O23" s="48">
        <f t="shared" si="1"/>
        <v>14208.3041006592</v>
      </c>
      <c r="P23" s="32" t="s">
        <v>340</v>
      </c>
      <c r="R23" s="46">
        <f t="shared" si="4"/>
        <v>14208.3041006592</v>
      </c>
      <c r="S23" s="46">
        <f t="shared" si="5"/>
        <v>7.1141688</v>
      </c>
      <c r="T23" s="46" t="b">
        <f t="shared" si="6"/>
        <v>0</v>
      </c>
      <c r="U23" s="46" t="b">
        <f t="shared" si="7"/>
        <v>1</v>
      </c>
    </row>
    <row r="24" s="46" customFormat="1" ht="56.25" outlineLevel="1" spans="1:21">
      <c r="A24" s="32">
        <v>17</v>
      </c>
      <c r="B24" s="32" t="s">
        <v>348</v>
      </c>
      <c r="C24" s="32" t="s">
        <v>352</v>
      </c>
      <c r="D24" s="32" t="s">
        <v>94</v>
      </c>
      <c r="E24" s="32">
        <v>1307.74</v>
      </c>
      <c r="F24" s="32">
        <f>F21</f>
        <v>3</v>
      </c>
      <c r="G24" s="48">
        <f t="shared" si="0"/>
        <v>3.944</v>
      </c>
      <c r="H24" s="48">
        <v>3.4</v>
      </c>
      <c r="I24" s="49">
        <f>I23</f>
        <v>0.16</v>
      </c>
      <c r="J24" s="31">
        <f>J23</f>
        <v>0.5</v>
      </c>
      <c r="K24" s="31">
        <f>(F24+G24+J24)*$K$5</f>
        <v>0.44664</v>
      </c>
      <c r="L24" s="31">
        <f>(F24+G24+J24+K24)*$L$5</f>
        <v>0.2367192</v>
      </c>
      <c r="M24" s="48">
        <f t="shared" si="3"/>
        <v>11.37830288</v>
      </c>
      <c r="N24" s="48"/>
      <c r="O24" s="48">
        <f t="shared" si="1"/>
        <v>14879.8618082912</v>
      </c>
      <c r="P24" s="32" t="s">
        <v>340</v>
      </c>
      <c r="R24" s="46">
        <f t="shared" si="4"/>
        <v>14879.8618082912</v>
      </c>
      <c r="S24" s="46">
        <f t="shared" si="5"/>
        <v>8.1273592</v>
      </c>
      <c r="T24" s="46" t="b">
        <f t="shared" si="6"/>
        <v>0</v>
      </c>
      <c r="U24" s="46" t="b">
        <f t="shared" si="7"/>
        <v>1</v>
      </c>
    </row>
    <row r="25" s="46" customFormat="1" ht="56.25" outlineLevel="1" spans="1:21">
      <c r="A25" s="32">
        <v>18</v>
      </c>
      <c r="B25" s="32" t="s">
        <v>348</v>
      </c>
      <c r="C25" s="32" t="s">
        <v>353</v>
      </c>
      <c r="D25" s="32" t="s">
        <v>94</v>
      </c>
      <c r="E25" s="32">
        <v>2364.94</v>
      </c>
      <c r="F25" s="32">
        <f>F21</f>
        <v>3</v>
      </c>
      <c r="G25" s="48">
        <f t="shared" si="0"/>
        <v>3.944</v>
      </c>
      <c r="H25" s="48">
        <f t="shared" ref="H25:J25" si="13">H24</f>
        <v>3.4</v>
      </c>
      <c r="I25" s="49">
        <f t="shared" si="13"/>
        <v>0.16</v>
      </c>
      <c r="J25" s="31">
        <f t="shared" si="13"/>
        <v>0.5</v>
      </c>
      <c r="K25" s="31">
        <f>(F25+G25+J25)*$K$5</f>
        <v>0.44664</v>
      </c>
      <c r="L25" s="31">
        <f>(F25+G25+J25+K25)*$L$5</f>
        <v>0.2367192</v>
      </c>
      <c r="M25" s="48">
        <f t="shared" si="3"/>
        <v>11.37830288</v>
      </c>
      <c r="N25" s="48"/>
      <c r="O25" s="48">
        <f t="shared" si="1"/>
        <v>26909.0036130272</v>
      </c>
      <c r="P25" s="32" t="s">
        <v>340</v>
      </c>
      <c r="R25" s="46">
        <f t="shared" si="4"/>
        <v>26909.0036130272</v>
      </c>
      <c r="S25" s="46">
        <f t="shared" si="5"/>
        <v>8.1273592</v>
      </c>
      <c r="T25" s="46" t="b">
        <f t="shared" si="6"/>
        <v>0</v>
      </c>
      <c r="U25" s="46" t="b">
        <f t="shared" si="7"/>
        <v>1</v>
      </c>
    </row>
    <row r="26" s="46" customFormat="1" ht="56.25" outlineLevel="1" spans="1:21">
      <c r="A26" s="32">
        <v>19</v>
      </c>
      <c r="B26" s="32" t="s">
        <v>354</v>
      </c>
      <c r="C26" s="32" t="s">
        <v>355</v>
      </c>
      <c r="D26" s="32" t="s">
        <v>265</v>
      </c>
      <c r="E26" s="32">
        <v>43</v>
      </c>
      <c r="F26" s="32">
        <v>20</v>
      </c>
      <c r="G26" s="48">
        <f t="shared" si="0"/>
        <v>146.45</v>
      </c>
      <c r="H26" s="48">
        <v>145</v>
      </c>
      <c r="I26" s="49">
        <v>0.01</v>
      </c>
      <c r="J26" s="31">
        <v>5</v>
      </c>
      <c r="K26" s="31">
        <f>(F26+G26+J26)*$K$5</f>
        <v>10.287</v>
      </c>
      <c r="L26" s="31">
        <f>(F26+G26+J26+K26)*$L$5</f>
        <v>5.45211</v>
      </c>
      <c r="M26" s="48">
        <f t="shared" si="3"/>
        <v>262.064754</v>
      </c>
      <c r="N26" s="48"/>
      <c r="O26" s="48">
        <f t="shared" si="1"/>
        <v>11268.784422</v>
      </c>
      <c r="P26" s="32" t="s">
        <v>356</v>
      </c>
      <c r="R26" s="46">
        <f t="shared" si="4"/>
        <v>11268.784422</v>
      </c>
      <c r="S26" s="46">
        <f t="shared" si="5"/>
        <v>187.18911</v>
      </c>
      <c r="T26" s="46" t="b">
        <f t="shared" si="6"/>
        <v>0</v>
      </c>
      <c r="U26" s="46" t="b">
        <f t="shared" si="7"/>
        <v>1</v>
      </c>
    </row>
    <row r="27" s="46" customFormat="1" ht="56.25" outlineLevel="1" spans="1:21">
      <c r="A27" s="32">
        <v>20</v>
      </c>
      <c r="B27" s="32" t="s">
        <v>354</v>
      </c>
      <c r="C27" s="32" t="s">
        <v>357</v>
      </c>
      <c r="D27" s="32" t="s">
        <v>265</v>
      </c>
      <c r="E27" s="32">
        <v>123</v>
      </c>
      <c r="F27" s="32">
        <f t="shared" ref="F27:J27" si="14">F26</f>
        <v>20</v>
      </c>
      <c r="G27" s="48">
        <f t="shared" si="0"/>
        <v>80.8</v>
      </c>
      <c r="H27" s="48">
        <v>80</v>
      </c>
      <c r="I27" s="49">
        <f t="shared" si="14"/>
        <v>0.01</v>
      </c>
      <c r="J27" s="30">
        <f t="shared" si="14"/>
        <v>5</v>
      </c>
      <c r="K27" s="31">
        <f>(F27+G27+J27)*$K$5</f>
        <v>6.348</v>
      </c>
      <c r="L27" s="31">
        <f>(F27+G27+J27+K27)*$L$5</f>
        <v>3.36444</v>
      </c>
      <c r="M27" s="48">
        <f t="shared" si="3"/>
        <v>161.717416</v>
      </c>
      <c r="N27" s="48"/>
      <c r="O27" s="48">
        <f t="shared" si="1"/>
        <v>19891.242168</v>
      </c>
      <c r="P27" s="32" t="s">
        <v>356</v>
      </c>
      <c r="R27" s="46">
        <f t="shared" si="4"/>
        <v>19891.242168</v>
      </c>
      <c r="S27" s="46">
        <f t="shared" si="5"/>
        <v>115.51244</v>
      </c>
      <c r="T27" s="46" t="b">
        <f t="shared" si="6"/>
        <v>0</v>
      </c>
      <c r="U27" s="46" t="b">
        <f t="shared" si="7"/>
        <v>1</v>
      </c>
    </row>
    <row r="28" s="46" customFormat="1" ht="56.25" outlineLevel="1" spans="1:21">
      <c r="A28" s="32">
        <v>21</v>
      </c>
      <c r="B28" s="32" t="s">
        <v>354</v>
      </c>
      <c r="C28" s="32" t="s">
        <v>358</v>
      </c>
      <c r="D28" s="32" t="s">
        <v>265</v>
      </c>
      <c r="E28" s="32">
        <v>5</v>
      </c>
      <c r="F28" s="32"/>
      <c r="G28" s="48"/>
      <c r="H28" s="48"/>
      <c r="I28" s="49"/>
      <c r="J28" s="31"/>
      <c r="K28" s="31">
        <f>(F28+G28+J28)*$K$5</f>
        <v>0</v>
      </c>
      <c r="L28" s="31">
        <f>(F28+G28+J28+K28)*$L$5</f>
        <v>0</v>
      </c>
      <c r="M28" s="48">
        <f t="shared" si="3"/>
        <v>0</v>
      </c>
      <c r="N28" s="48"/>
      <c r="O28" s="48">
        <f t="shared" si="1"/>
        <v>0</v>
      </c>
      <c r="P28" s="32" t="s">
        <v>359</v>
      </c>
      <c r="R28" s="46">
        <f t="shared" si="4"/>
        <v>0</v>
      </c>
      <c r="S28" s="46">
        <f t="shared" si="5"/>
        <v>0</v>
      </c>
      <c r="T28" s="46" t="b">
        <f t="shared" si="6"/>
        <v>1</v>
      </c>
      <c r="U28" s="46" t="b">
        <f t="shared" si="7"/>
        <v>1</v>
      </c>
    </row>
    <row r="29" s="46" customFormat="1" ht="56.25" outlineLevel="1" spans="1:21">
      <c r="A29" s="32">
        <v>22</v>
      </c>
      <c r="B29" s="32" t="s">
        <v>354</v>
      </c>
      <c r="C29" s="32" t="s">
        <v>360</v>
      </c>
      <c r="D29" s="32" t="s">
        <v>94</v>
      </c>
      <c r="E29" s="32">
        <v>151.06</v>
      </c>
      <c r="F29" s="32">
        <f>F26</f>
        <v>20</v>
      </c>
      <c r="G29" s="48">
        <f t="shared" ref="G29:G42" si="15">H29*(1+I29)</f>
        <v>26.25</v>
      </c>
      <c r="H29" s="48">
        <v>25</v>
      </c>
      <c r="I29" s="50">
        <v>0.05</v>
      </c>
      <c r="J29" s="30">
        <f>J26</f>
        <v>5</v>
      </c>
      <c r="K29" s="31">
        <f>(F29+G29+J29)*$K$5</f>
        <v>3.075</v>
      </c>
      <c r="L29" s="31">
        <f>(F29+G29+J29+K29)*$L$5</f>
        <v>1.62975</v>
      </c>
      <c r="M29" s="48">
        <f t="shared" si="3"/>
        <v>78.33665</v>
      </c>
      <c r="N29" s="48"/>
      <c r="O29" s="48">
        <f t="shared" si="1"/>
        <v>11833.534349</v>
      </c>
      <c r="P29" s="32" t="s">
        <v>356</v>
      </c>
      <c r="R29" s="46">
        <f t="shared" si="4"/>
        <v>11833.534349</v>
      </c>
      <c r="S29" s="46">
        <f t="shared" si="5"/>
        <v>55.95475</v>
      </c>
      <c r="T29" s="46" t="b">
        <f t="shared" si="6"/>
        <v>0</v>
      </c>
      <c r="U29" s="46" t="b">
        <f t="shared" si="7"/>
        <v>1</v>
      </c>
    </row>
    <row r="30" s="46" customFormat="1" ht="56.25" outlineLevel="1" spans="1:21">
      <c r="A30" s="32">
        <v>23</v>
      </c>
      <c r="B30" s="32" t="s">
        <v>354</v>
      </c>
      <c r="C30" s="32" t="s">
        <v>361</v>
      </c>
      <c r="D30" s="32" t="s">
        <v>265</v>
      </c>
      <c r="E30" s="32">
        <v>1</v>
      </c>
      <c r="F30" s="32"/>
      <c r="G30" s="48"/>
      <c r="H30" s="48"/>
      <c r="I30" s="49"/>
      <c r="J30" s="31"/>
      <c r="K30" s="31">
        <f>(F30+G30+J30)*$K$5</f>
        <v>0</v>
      </c>
      <c r="L30" s="31">
        <f>(F30+G30+J30+K30)*$L$5</f>
        <v>0</v>
      </c>
      <c r="M30" s="48">
        <f t="shared" si="3"/>
        <v>0</v>
      </c>
      <c r="N30" s="48"/>
      <c r="O30" s="48">
        <f t="shared" si="1"/>
        <v>0</v>
      </c>
      <c r="P30" s="32" t="s">
        <v>359</v>
      </c>
      <c r="R30" s="46">
        <f t="shared" si="4"/>
        <v>0</v>
      </c>
      <c r="S30" s="46">
        <f t="shared" si="5"/>
        <v>0</v>
      </c>
      <c r="T30" s="46" t="b">
        <f t="shared" si="6"/>
        <v>1</v>
      </c>
      <c r="U30" s="46" t="b">
        <f t="shared" si="7"/>
        <v>1</v>
      </c>
    </row>
    <row r="31" s="46" customFormat="1" ht="56.25" outlineLevel="1" spans="1:21">
      <c r="A31" s="32">
        <v>24</v>
      </c>
      <c r="B31" s="32" t="s">
        <v>354</v>
      </c>
      <c r="C31" s="32" t="s">
        <v>362</v>
      </c>
      <c r="D31" s="32" t="s">
        <v>265</v>
      </c>
      <c r="E31" s="32">
        <v>1</v>
      </c>
      <c r="F31" s="32"/>
      <c r="G31" s="48"/>
      <c r="H31" s="48"/>
      <c r="I31" s="49"/>
      <c r="J31" s="31"/>
      <c r="K31" s="31">
        <f>(F31+G31+J31)*$K$5</f>
        <v>0</v>
      </c>
      <c r="L31" s="31">
        <f>(F31+G31+J31+K31)*$L$5</f>
        <v>0</v>
      </c>
      <c r="M31" s="48">
        <f t="shared" si="3"/>
        <v>0</v>
      </c>
      <c r="N31" s="48"/>
      <c r="O31" s="48">
        <f t="shared" si="1"/>
        <v>0</v>
      </c>
      <c r="P31" s="32" t="s">
        <v>359</v>
      </c>
      <c r="R31" s="46">
        <f t="shared" si="4"/>
        <v>0</v>
      </c>
      <c r="S31" s="46">
        <f t="shared" si="5"/>
        <v>0</v>
      </c>
      <c r="T31" s="46" t="b">
        <f t="shared" si="6"/>
        <v>1</v>
      </c>
      <c r="U31" s="46" t="b">
        <f t="shared" si="7"/>
        <v>1</v>
      </c>
    </row>
    <row r="32" s="46" customFormat="1" ht="33.75" outlineLevel="1" spans="1:21">
      <c r="A32" s="32">
        <v>25</v>
      </c>
      <c r="B32" s="32" t="s">
        <v>363</v>
      </c>
      <c r="C32" s="32" t="s">
        <v>364</v>
      </c>
      <c r="D32" s="32" t="s">
        <v>88</v>
      </c>
      <c r="E32" s="32">
        <v>11</v>
      </c>
      <c r="F32" s="32">
        <v>15</v>
      </c>
      <c r="G32" s="48">
        <f t="shared" si="15"/>
        <v>28.28</v>
      </c>
      <c r="H32" s="48">
        <v>28</v>
      </c>
      <c r="I32" s="49">
        <v>0.01</v>
      </c>
      <c r="J32" s="31">
        <v>5</v>
      </c>
      <c r="K32" s="31">
        <f>(F32+G32+J32)*$K$5</f>
        <v>2.8968</v>
      </c>
      <c r="L32" s="31">
        <f>(F32+G32+J32+K32)*$L$5</f>
        <v>1.535304</v>
      </c>
      <c r="M32" s="48">
        <f t="shared" si="3"/>
        <v>73.7969456</v>
      </c>
      <c r="N32" s="48"/>
      <c r="O32" s="48">
        <f t="shared" si="1"/>
        <v>811.7664016</v>
      </c>
      <c r="P32" s="32" t="s">
        <v>365</v>
      </c>
      <c r="R32" s="46">
        <f t="shared" si="4"/>
        <v>811.7664016</v>
      </c>
      <c r="S32" s="46">
        <f t="shared" si="5"/>
        <v>52.712104</v>
      </c>
      <c r="T32" s="46" t="b">
        <f t="shared" si="6"/>
        <v>0</v>
      </c>
      <c r="U32" s="46" t="b">
        <f t="shared" si="7"/>
        <v>1</v>
      </c>
    </row>
    <row r="33" s="46" customFormat="1" ht="33.75" outlineLevel="1" spans="1:21">
      <c r="A33" s="32">
        <v>26</v>
      </c>
      <c r="B33" s="32" t="s">
        <v>363</v>
      </c>
      <c r="C33" s="32" t="s">
        <v>366</v>
      </c>
      <c r="D33" s="32" t="s">
        <v>88</v>
      </c>
      <c r="E33" s="32">
        <v>6</v>
      </c>
      <c r="F33" s="32">
        <f t="shared" ref="F33:J33" si="16">F32</f>
        <v>15</v>
      </c>
      <c r="G33" s="48">
        <f t="shared" si="15"/>
        <v>45.45</v>
      </c>
      <c r="H33" s="48">
        <v>45</v>
      </c>
      <c r="I33" s="49">
        <f t="shared" si="16"/>
        <v>0.01</v>
      </c>
      <c r="J33" s="31">
        <f t="shared" si="16"/>
        <v>5</v>
      </c>
      <c r="K33" s="31">
        <f>(F33+G33+J33)*$K$5</f>
        <v>3.927</v>
      </c>
      <c r="L33" s="31">
        <f>(F33+G33+J33+K33)*$L$5</f>
        <v>2.08131</v>
      </c>
      <c r="M33" s="48">
        <f t="shared" si="3"/>
        <v>100.041634</v>
      </c>
      <c r="N33" s="48"/>
      <c r="O33" s="48">
        <f t="shared" si="1"/>
        <v>600.249804</v>
      </c>
      <c r="P33" s="32" t="str">
        <f>P32</f>
        <v>罗格朗</v>
      </c>
      <c r="R33" s="46">
        <f t="shared" si="4"/>
        <v>600.249804</v>
      </c>
      <c r="S33" s="46">
        <f t="shared" si="5"/>
        <v>71.45831</v>
      </c>
      <c r="T33" s="46" t="b">
        <f t="shared" si="6"/>
        <v>0</v>
      </c>
      <c r="U33" s="46" t="b">
        <f t="shared" si="7"/>
        <v>1</v>
      </c>
    </row>
    <row r="34" s="46" customFormat="1" ht="33.75" outlineLevel="1" spans="1:21">
      <c r="A34" s="32">
        <v>27</v>
      </c>
      <c r="B34" s="32" t="s">
        <v>363</v>
      </c>
      <c r="C34" s="32" t="s">
        <v>367</v>
      </c>
      <c r="D34" s="32" t="s">
        <v>88</v>
      </c>
      <c r="E34" s="32">
        <v>1</v>
      </c>
      <c r="F34" s="32">
        <f t="shared" ref="F34:J34" si="17">F32</f>
        <v>15</v>
      </c>
      <c r="G34" s="48">
        <f t="shared" si="15"/>
        <v>61.61</v>
      </c>
      <c r="H34" s="48">
        <v>61</v>
      </c>
      <c r="I34" s="49">
        <f t="shared" si="17"/>
        <v>0.01</v>
      </c>
      <c r="J34" s="31">
        <f t="shared" si="17"/>
        <v>5</v>
      </c>
      <c r="K34" s="31">
        <f>(F34+G34+J34)*$K$5</f>
        <v>4.8966</v>
      </c>
      <c r="L34" s="31">
        <f>(F34+G34+J34+K34)*$L$5</f>
        <v>2.595198</v>
      </c>
      <c r="M34" s="48">
        <f t="shared" si="3"/>
        <v>124.7425172</v>
      </c>
      <c r="N34" s="48"/>
      <c r="O34" s="48">
        <f t="shared" si="1"/>
        <v>124.7425172</v>
      </c>
      <c r="P34" s="32" t="str">
        <f>P32</f>
        <v>罗格朗</v>
      </c>
      <c r="R34" s="46">
        <f t="shared" si="4"/>
        <v>124.7425172</v>
      </c>
      <c r="S34" s="46">
        <f t="shared" si="5"/>
        <v>89.101798</v>
      </c>
      <c r="T34" s="46" t="b">
        <f t="shared" si="6"/>
        <v>0</v>
      </c>
      <c r="U34" s="46" t="b">
        <f t="shared" si="7"/>
        <v>1</v>
      </c>
    </row>
    <row r="35" s="46" customFormat="1" ht="33.75" outlineLevel="1" spans="1:21">
      <c r="A35" s="32">
        <v>28</v>
      </c>
      <c r="B35" s="32" t="s">
        <v>363</v>
      </c>
      <c r="C35" s="32" t="s">
        <v>368</v>
      </c>
      <c r="D35" s="32" t="s">
        <v>88</v>
      </c>
      <c r="E35" s="32">
        <v>7</v>
      </c>
      <c r="F35" s="32">
        <f t="shared" ref="F35:J35" si="18">F32</f>
        <v>15</v>
      </c>
      <c r="G35" s="48">
        <f t="shared" si="15"/>
        <v>82.82</v>
      </c>
      <c r="H35" s="48">
        <v>82</v>
      </c>
      <c r="I35" s="49">
        <f t="shared" si="18"/>
        <v>0.01</v>
      </c>
      <c r="J35" s="31">
        <f t="shared" si="18"/>
        <v>5</v>
      </c>
      <c r="K35" s="31">
        <f>(F35+G35+J35)*$K$5</f>
        <v>6.1692</v>
      </c>
      <c r="L35" s="31">
        <f>(F35+G35+J35+K35)*$L$5</f>
        <v>3.269676</v>
      </c>
      <c r="M35" s="48">
        <f t="shared" si="3"/>
        <v>157.1624264</v>
      </c>
      <c r="N35" s="48"/>
      <c r="O35" s="48">
        <f t="shared" si="1"/>
        <v>1100.1369848</v>
      </c>
      <c r="P35" s="32" t="str">
        <f>P33</f>
        <v>罗格朗</v>
      </c>
      <c r="R35" s="46">
        <f t="shared" si="4"/>
        <v>1100.1369848</v>
      </c>
      <c r="S35" s="46">
        <f t="shared" si="5"/>
        <v>112.258876</v>
      </c>
      <c r="T35" s="46" t="b">
        <f t="shared" si="6"/>
        <v>0</v>
      </c>
      <c r="U35" s="46" t="b">
        <f t="shared" si="7"/>
        <v>1</v>
      </c>
    </row>
    <row r="36" s="46" customFormat="1" ht="33.75" outlineLevel="1" spans="1:21">
      <c r="A36" s="32">
        <v>29</v>
      </c>
      <c r="B36" s="32" t="s">
        <v>369</v>
      </c>
      <c r="C36" s="32" t="s">
        <v>370</v>
      </c>
      <c r="D36" s="32" t="s">
        <v>88</v>
      </c>
      <c r="E36" s="32">
        <v>23</v>
      </c>
      <c r="F36" s="32">
        <v>25</v>
      </c>
      <c r="G36" s="48">
        <f t="shared" si="15"/>
        <v>186.85</v>
      </c>
      <c r="H36" s="48">
        <v>185</v>
      </c>
      <c r="I36" s="49">
        <v>0.01</v>
      </c>
      <c r="J36" s="31">
        <v>5</v>
      </c>
      <c r="K36" s="31">
        <f>(F36+G36+J36)*$K$5</f>
        <v>13.011</v>
      </c>
      <c r="L36" s="31">
        <f>(F36+G36+J36+K36)*$L$5</f>
        <v>6.89583</v>
      </c>
      <c r="M36" s="48">
        <f t="shared" si="3"/>
        <v>331.459562</v>
      </c>
      <c r="N36" s="48"/>
      <c r="O36" s="48">
        <f t="shared" si="1"/>
        <v>7623.569926</v>
      </c>
      <c r="P36" s="32" t="str">
        <f>P33</f>
        <v>罗格朗</v>
      </c>
      <c r="R36" s="46">
        <f t="shared" si="4"/>
        <v>7623.569926</v>
      </c>
      <c r="S36" s="46">
        <f t="shared" si="5"/>
        <v>236.75683</v>
      </c>
      <c r="T36" s="46" t="b">
        <f t="shared" si="6"/>
        <v>0</v>
      </c>
      <c r="U36" s="46" t="b">
        <f t="shared" si="7"/>
        <v>1</v>
      </c>
    </row>
    <row r="37" s="46" customFormat="1" ht="45" outlineLevel="1" spans="1:21">
      <c r="A37" s="32">
        <v>30</v>
      </c>
      <c r="B37" s="32" t="s">
        <v>371</v>
      </c>
      <c r="C37" s="32" t="s">
        <v>372</v>
      </c>
      <c r="D37" s="32" t="s">
        <v>88</v>
      </c>
      <c r="E37" s="32">
        <v>32</v>
      </c>
      <c r="F37" s="32">
        <f t="shared" ref="F37:J37" si="19">F32</f>
        <v>15</v>
      </c>
      <c r="G37" s="48">
        <f t="shared" si="15"/>
        <v>28.28</v>
      </c>
      <c r="H37" s="48">
        <v>28</v>
      </c>
      <c r="I37" s="49">
        <f t="shared" si="19"/>
        <v>0.01</v>
      </c>
      <c r="J37" s="31">
        <f t="shared" si="19"/>
        <v>5</v>
      </c>
      <c r="K37" s="31">
        <f>(F37+G37+J37)*$K$5</f>
        <v>2.8968</v>
      </c>
      <c r="L37" s="31">
        <f>(F37+G37+J37+K37)*$L$5</f>
        <v>1.535304</v>
      </c>
      <c r="M37" s="48">
        <f t="shared" si="3"/>
        <v>73.7969456</v>
      </c>
      <c r="N37" s="48"/>
      <c r="O37" s="48">
        <f t="shared" si="1"/>
        <v>2361.5022592</v>
      </c>
      <c r="P37" s="32" t="str">
        <f>P33</f>
        <v>罗格朗</v>
      </c>
      <c r="R37" s="46">
        <f t="shared" si="4"/>
        <v>2361.5022592</v>
      </c>
      <c r="S37" s="46">
        <f t="shared" si="5"/>
        <v>52.712104</v>
      </c>
      <c r="T37" s="46" t="b">
        <f t="shared" si="6"/>
        <v>0</v>
      </c>
      <c r="U37" s="46" t="b">
        <f t="shared" si="7"/>
        <v>1</v>
      </c>
    </row>
    <row r="38" s="46" customFormat="1" ht="45" outlineLevel="1" spans="1:21">
      <c r="A38" s="32">
        <v>31</v>
      </c>
      <c r="B38" s="32" t="s">
        <v>371</v>
      </c>
      <c r="C38" s="32" t="s">
        <v>373</v>
      </c>
      <c r="D38" s="32" t="s">
        <v>88</v>
      </c>
      <c r="E38" s="32">
        <v>14</v>
      </c>
      <c r="F38" s="32">
        <f t="shared" ref="F38:J38" si="20">F32</f>
        <v>15</v>
      </c>
      <c r="G38" s="48">
        <f t="shared" si="15"/>
        <v>267.65</v>
      </c>
      <c r="H38" s="48">
        <v>265</v>
      </c>
      <c r="I38" s="49">
        <f t="shared" si="20"/>
        <v>0.01</v>
      </c>
      <c r="J38" s="31">
        <f t="shared" si="20"/>
        <v>5</v>
      </c>
      <c r="K38" s="31">
        <f>(F38+G38+J38)*$K$5</f>
        <v>17.259</v>
      </c>
      <c r="L38" s="31">
        <f>(F38+G38+J38+K38)*$L$5</f>
        <v>9.14727</v>
      </c>
      <c r="M38" s="48">
        <f t="shared" si="3"/>
        <v>439.678778</v>
      </c>
      <c r="N38" s="48"/>
      <c r="O38" s="48">
        <f t="shared" si="1"/>
        <v>6155.502892</v>
      </c>
      <c r="P38" s="32" t="str">
        <f>P33</f>
        <v>罗格朗</v>
      </c>
      <c r="R38" s="46">
        <f t="shared" si="4"/>
        <v>6155.502892</v>
      </c>
      <c r="S38" s="46">
        <f t="shared" si="5"/>
        <v>314.05627</v>
      </c>
      <c r="T38" s="46" t="b">
        <f t="shared" si="6"/>
        <v>0</v>
      </c>
      <c r="U38" s="46" t="b">
        <f t="shared" si="7"/>
        <v>1</v>
      </c>
    </row>
    <row r="39" s="46" customFormat="1" ht="33.75" outlineLevel="1" spans="1:21">
      <c r="A39" s="32">
        <v>32</v>
      </c>
      <c r="B39" s="32" t="s">
        <v>371</v>
      </c>
      <c r="C39" s="32" t="s">
        <v>374</v>
      </c>
      <c r="D39" s="32" t="s">
        <v>88</v>
      </c>
      <c r="E39" s="32">
        <v>9</v>
      </c>
      <c r="F39" s="32">
        <f t="shared" ref="F39:J39" si="21">F32</f>
        <v>15</v>
      </c>
      <c r="G39" s="48">
        <f t="shared" si="15"/>
        <v>45.45</v>
      </c>
      <c r="H39" s="48">
        <v>45</v>
      </c>
      <c r="I39" s="49">
        <f t="shared" si="21"/>
        <v>0.01</v>
      </c>
      <c r="J39" s="31">
        <f t="shared" si="21"/>
        <v>5</v>
      </c>
      <c r="K39" s="31">
        <f>(F39+G39+J39)*$K$5</f>
        <v>3.927</v>
      </c>
      <c r="L39" s="31">
        <f>(F39+G39+J39+K39)*$L$5</f>
        <v>2.08131</v>
      </c>
      <c r="M39" s="48">
        <f t="shared" si="3"/>
        <v>100.041634</v>
      </c>
      <c r="N39" s="48"/>
      <c r="O39" s="48">
        <f t="shared" si="1"/>
        <v>900.374706</v>
      </c>
      <c r="P39" s="32" t="str">
        <f>P33</f>
        <v>罗格朗</v>
      </c>
      <c r="R39" s="46">
        <f t="shared" si="4"/>
        <v>900.374706</v>
      </c>
      <c r="S39" s="46">
        <f t="shared" si="5"/>
        <v>71.45831</v>
      </c>
      <c r="T39" s="46" t="b">
        <f t="shared" si="6"/>
        <v>0</v>
      </c>
      <c r="U39" s="46" t="b">
        <f t="shared" si="7"/>
        <v>1</v>
      </c>
    </row>
    <row r="40" s="46" customFormat="1" ht="33.75" outlineLevel="1" spans="1:21">
      <c r="A40" s="32">
        <v>33</v>
      </c>
      <c r="B40" s="32" t="s">
        <v>375</v>
      </c>
      <c r="C40" s="32" t="s">
        <v>376</v>
      </c>
      <c r="D40" s="32" t="s">
        <v>88</v>
      </c>
      <c r="E40" s="32">
        <v>103</v>
      </c>
      <c r="F40" s="32">
        <v>5</v>
      </c>
      <c r="G40" s="48">
        <f t="shared" si="15"/>
        <v>3.3128</v>
      </c>
      <c r="H40" s="48">
        <v>3.28</v>
      </c>
      <c r="I40" s="49">
        <v>0.01</v>
      </c>
      <c r="J40" s="31">
        <v>2</v>
      </c>
      <c r="K40" s="31">
        <f>(F40+G40+J40)*$K$5</f>
        <v>0.618768</v>
      </c>
      <c r="L40" s="31">
        <f>(F40+G40+J40+K40)*$L$5</f>
        <v>0.32794704</v>
      </c>
      <c r="M40" s="48">
        <f t="shared" si="3"/>
        <v>15.763321056</v>
      </c>
      <c r="N40" s="48"/>
      <c r="O40" s="48">
        <f t="shared" si="1"/>
        <v>1623.622068768</v>
      </c>
      <c r="P40" s="32"/>
      <c r="R40" s="46">
        <f t="shared" si="4"/>
        <v>1623.622068768</v>
      </c>
      <c r="S40" s="46">
        <f t="shared" si="5"/>
        <v>11.25951504</v>
      </c>
      <c r="T40" s="46" t="b">
        <f t="shared" si="6"/>
        <v>0</v>
      </c>
      <c r="U40" s="46" t="b">
        <f t="shared" si="7"/>
        <v>1</v>
      </c>
    </row>
    <row r="41" s="46" customFormat="1" ht="33.75" outlineLevel="1" spans="1:21">
      <c r="A41" s="32">
        <v>34</v>
      </c>
      <c r="B41" s="32" t="s">
        <v>375</v>
      </c>
      <c r="C41" s="32" t="s">
        <v>377</v>
      </c>
      <c r="D41" s="32" t="s">
        <v>88</v>
      </c>
      <c r="E41" s="32">
        <v>202</v>
      </c>
      <c r="F41" s="32">
        <f t="shared" ref="F41:J41" si="22">F40</f>
        <v>5</v>
      </c>
      <c r="G41" s="48">
        <f t="shared" si="15"/>
        <v>3.3128</v>
      </c>
      <c r="H41" s="48">
        <f t="shared" si="22"/>
        <v>3.28</v>
      </c>
      <c r="I41" s="49">
        <f t="shared" si="22"/>
        <v>0.01</v>
      </c>
      <c r="J41" s="31">
        <f t="shared" si="22"/>
        <v>2</v>
      </c>
      <c r="K41" s="31">
        <f>(F41+G41+J41)*$K$5</f>
        <v>0.618768</v>
      </c>
      <c r="L41" s="31">
        <f>(F41+G41+J41+K41)*$L$5</f>
        <v>0.32794704</v>
      </c>
      <c r="M41" s="48">
        <f t="shared" si="3"/>
        <v>15.763321056</v>
      </c>
      <c r="N41" s="48"/>
      <c r="O41" s="48">
        <f t="shared" si="1"/>
        <v>3184.190853312</v>
      </c>
      <c r="P41" s="32"/>
      <c r="R41" s="46">
        <f t="shared" si="4"/>
        <v>3184.190853312</v>
      </c>
      <c r="S41" s="46">
        <f t="shared" si="5"/>
        <v>11.25951504</v>
      </c>
      <c r="T41" s="46" t="b">
        <f t="shared" si="6"/>
        <v>0</v>
      </c>
      <c r="U41" s="46" t="b">
        <f t="shared" si="7"/>
        <v>1</v>
      </c>
    </row>
    <row r="42" s="46" customFormat="1" ht="22.5" outlineLevel="1" spans="1:21">
      <c r="A42" s="32">
        <v>35</v>
      </c>
      <c r="B42" s="32" t="s">
        <v>378</v>
      </c>
      <c r="C42" s="32" t="s">
        <v>379</v>
      </c>
      <c r="D42" s="32" t="s">
        <v>380</v>
      </c>
      <c r="E42" s="32">
        <v>1</v>
      </c>
      <c r="F42" s="32">
        <v>300</v>
      </c>
      <c r="G42" s="48">
        <f t="shared" si="15"/>
        <v>0</v>
      </c>
      <c r="H42" s="48">
        <v>0</v>
      </c>
      <c r="I42" s="49">
        <v>0</v>
      </c>
      <c r="J42" s="31">
        <v>85</v>
      </c>
      <c r="K42" s="31">
        <f>(F42+G42+J42)*$K$5</f>
        <v>23.1</v>
      </c>
      <c r="L42" s="31">
        <f>(F42+G42+J42+K42)*$L$5</f>
        <v>12.243</v>
      </c>
      <c r="M42" s="48">
        <f t="shared" si="3"/>
        <v>588.4802</v>
      </c>
      <c r="N42" s="48"/>
      <c r="O42" s="48">
        <f t="shared" si="1"/>
        <v>588.4802</v>
      </c>
      <c r="P42" s="32"/>
      <c r="R42" s="46">
        <f t="shared" si="4"/>
        <v>588.4802</v>
      </c>
      <c r="S42" s="46">
        <f t="shared" si="5"/>
        <v>420.343</v>
      </c>
      <c r="T42" s="46" t="b">
        <f t="shared" si="6"/>
        <v>0</v>
      </c>
      <c r="U42" s="46" t="b">
        <f t="shared" si="7"/>
        <v>1</v>
      </c>
    </row>
    <row r="43" s="46" customFormat="1" spans="1:21">
      <c r="A43" s="32"/>
      <c r="B43" s="32" t="s">
        <v>381</v>
      </c>
      <c r="C43" s="32"/>
      <c r="D43" s="32"/>
      <c r="E43" s="32"/>
      <c r="F43" s="32"/>
      <c r="G43" s="48"/>
      <c r="H43" s="48"/>
      <c r="I43" s="49"/>
      <c r="J43" s="31"/>
      <c r="K43" s="31"/>
      <c r="L43" s="31"/>
      <c r="M43" s="48">
        <f t="shared" si="3"/>
        <v>0</v>
      </c>
      <c r="N43" s="48"/>
      <c r="O43" s="48"/>
      <c r="P43" s="32"/>
      <c r="R43" s="46">
        <f t="shared" si="4"/>
        <v>0</v>
      </c>
      <c r="S43" s="46">
        <f t="shared" si="5"/>
        <v>0</v>
      </c>
      <c r="T43" s="46" t="b">
        <f t="shared" si="6"/>
        <v>1</v>
      </c>
      <c r="U43" s="46" t="b">
        <f t="shared" si="7"/>
        <v>1</v>
      </c>
    </row>
    <row r="44" s="46" customFormat="1" ht="56.25" outlineLevel="1" spans="1:21">
      <c r="A44" s="32">
        <v>36</v>
      </c>
      <c r="B44" s="32" t="s">
        <v>330</v>
      </c>
      <c r="C44" s="32" t="s">
        <v>382</v>
      </c>
      <c r="D44" s="32" t="s">
        <v>94</v>
      </c>
      <c r="E44" s="32">
        <v>51.2</v>
      </c>
      <c r="F44" s="32">
        <f>F10</f>
        <v>25</v>
      </c>
      <c r="G44" s="48">
        <f t="shared" ref="G44:G73" si="23">H44*(1+I44)</f>
        <v>56.1</v>
      </c>
      <c r="H44" s="48">
        <v>55</v>
      </c>
      <c r="I44" s="49">
        <v>0.02</v>
      </c>
      <c r="J44" s="31">
        <v>6</v>
      </c>
      <c r="K44" s="31">
        <f>(F44+G44+J44)*$K$5</f>
        <v>5.226</v>
      </c>
      <c r="L44" s="31">
        <f>(F44+G44+J44+K44)*$L$5</f>
        <v>2.76978</v>
      </c>
      <c r="M44" s="48">
        <f t="shared" si="3"/>
        <v>133.134092</v>
      </c>
      <c r="N44" s="48"/>
      <c r="O44" s="48">
        <f t="shared" ref="O44:O73" si="24">M44*E44</f>
        <v>6816.4655104</v>
      </c>
      <c r="P44" s="32"/>
      <c r="R44" s="46">
        <f t="shared" si="4"/>
        <v>6816.4655104</v>
      </c>
      <c r="S44" s="46">
        <f t="shared" si="5"/>
        <v>95.09578</v>
      </c>
      <c r="T44" s="46" t="b">
        <f t="shared" si="6"/>
        <v>0</v>
      </c>
      <c r="U44" s="46" t="b">
        <f t="shared" si="7"/>
        <v>1</v>
      </c>
    </row>
    <row r="45" s="46" customFormat="1" ht="56.25" outlineLevel="1" spans="1:21">
      <c r="A45" s="32">
        <v>37</v>
      </c>
      <c r="B45" s="32" t="s">
        <v>330</v>
      </c>
      <c r="C45" s="32" t="s">
        <v>383</v>
      </c>
      <c r="D45" s="32" t="s">
        <v>94</v>
      </c>
      <c r="E45" s="32">
        <v>82.99</v>
      </c>
      <c r="F45" s="32">
        <f>F10</f>
        <v>25</v>
      </c>
      <c r="G45" s="48">
        <f t="shared" si="23"/>
        <v>48.96</v>
      </c>
      <c r="H45" s="48">
        <v>48</v>
      </c>
      <c r="I45" s="49">
        <v>0.02</v>
      </c>
      <c r="J45" s="31">
        <v>6</v>
      </c>
      <c r="K45" s="31">
        <f>(F45+G45+J45)*$K$5</f>
        <v>4.7976</v>
      </c>
      <c r="L45" s="31">
        <f>(F45+G45+J45+K45)*$L$5</f>
        <v>2.542728</v>
      </c>
      <c r="M45" s="48">
        <f t="shared" si="3"/>
        <v>122.2204592</v>
      </c>
      <c r="N45" s="48"/>
      <c r="O45" s="48">
        <f t="shared" si="24"/>
        <v>10143.075909008</v>
      </c>
      <c r="P45" s="32"/>
      <c r="R45" s="46">
        <f t="shared" si="4"/>
        <v>10143.075909008</v>
      </c>
      <c r="S45" s="46">
        <f t="shared" si="5"/>
        <v>87.300328</v>
      </c>
      <c r="T45" s="46" t="b">
        <f t="shared" si="6"/>
        <v>0</v>
      </c>
      <c r="U45" s="46" t="b">
        <f t="shared" si="7"/>
        <v>1</v>
      </c>
    </row>
    <row r="46" s="46" customFormat="1" ht="67.5" outlineLevel="1" spans="1:21">
      <c r="A46" s="32">
        <v>38</v>
      </c>
      <c r="B46" s="32" t="s">
        <v>335</v>
      </c>
      <c r="C46" s="32" t="s">
        <v>336</v>
      </c>
      <c r="D46" s="32" t="s">
        <v>337</v>
      </c>
      <c r="E46" s="32">
        <v>67.08</v>
      </c>
      <c r="F46" s="32">
        <f t="shared" ref="F46:J46" si="25">F14</f>
        <v>4.6</v>
      </c>
      <c r="G46" s="48">
        <f t="shared" si="23"/>
        <v>5.04</v>
      </c>
      <c r="H46" s="32">
        <f t="shared" si="25"/>
        <v>4.8</v>
      </c>
      <c r="I46" s="49">
        <f t="shared" si="25"/>
        <v>0.05</v>
      </c>
      <c r="J46" s="30">
        <f t="shared" si="25"/>
        <v>3</v>
      </c>
      <c r="K46" s="31">
        <f>(F46+G46+J46)*$K$5</f>
        <v>0.7584</v>
      </c>
      <c r="L46" s="31">
        <f>(F46+G46+J46+K46)*$L$5</f>
        <v>0.401952</v>
      </c>
      <c r="M46" s="48">
        <f t="shared" si="3"/>
        <v>19.3204928</v>
      </c>
      <c r="N46" s="48"/>
      <c r="O46" s="48">
        <f t="shared" si="24"/>
        <v>1296.018657024</v>
      </c>
      <c r="P46" s="32"/>
      <c r="R46" s="46">
        <f t="shared" si="4"/>
        <v>1296.018657024</v>
      </c>
      <c r="S46" s="46">
        <f t="shared" si="5"/>
        <v>13.800352</v>
      </c>
      <c r="T46" s="46" t="b">
        <f t="shared" si="6"/>
        <v>0</v>
      </c>
      <c r="U46" s="46" t="b">
        <f t="shared" si="7"/>
        <v>1</v>
      </c>
    </row>
    <row r="47" s="46" customFormat="1" ht="56.25" outlineLevel="1" spans="1:21">
      <c r="A47" s="32">
        <v>39</v>
      </c>
      <c r="B47" s="32" t="s">
        <v>338</v>
      </c>
      <c r="C47" s="32" t="s">
        <v>339</v>
      </c>
      <c r="D47" s="32" t="s">
        <v>94</v>
      </c>
      <c r="E47" s="32">
        <v>212.52</v>
      </c>
      <c r="F47" s="32">
        <f t="shared" ref="F47:J47" si="26">F15</f>
        <v>10</v>
      </c>
      <c r="G47" s="48">
        <f t="shared" si="23"/>
        <v>5.665</v>
      </c>
      <c r="H47" s="32">
        <f t="shared" si="26"/>
        <v>5.5</v>
      </c>
      <c r="I47" s="49">
        <f t="shared" si="26"/>
        <v>0.03</v>
      </c>
      <c r="J47" s="30">
        <f t="shared" si="26"/>
        <v>2</v>
      </c>
      <c r="K47" s="31">
        <f>(F47+G47+J47)*$K$5</f>
        <v>1.0599</v>
      </c>
      <c r="L47" s="31">
        <f>(F47+G47+J47+K47)*$L$5</f>
        <v>0.561747</v>
      </c>
      <c r="M47" s="48">
        <f t="shared" si="3"/>
        <v>27.0013058</v>
      </c>
      <c r="N47" s="48"/>
      <c r="O47" s="48">
        <f t="shared" si="24"/>
        <v>5738.317508616</v>
      </c>
      <c r="P47" s="32" t="str">
        <f>P20</f>
        <v>郑州三厂</v>
      </c>
      <c r="R47" s="46">
        <f t="shared" si="4"/>
        <v>5738.317508616</v>
      </c>
      <c r="S47" s="46">
        <f t="shared" si="5"/>
        <v>19.286647</v>
      </c>
      <c r="T47" s="46" t="b">
        <f t="shared" si="6"/>
        <v>0</v>
      </c>
      <c r="U47" s="46" t="b">
        <f t="shared" si="7"/>
        <v>1</v>
      </c>
    </row>
    <row r="48" s="46" customFormat="1" ht="56.25" outlineLevel="1" spans="1:21">
      <c r="A48" s="32">
        <v>40</v>
      </c>
      <c r="B48" s="32" t="s">
        <v>338</v>
      </c>
      <c r="C48" s="32" t="s">
        <v>341</v>
      </c>
      <c r="D48" s="32" t="s">
        <v>94</v>
      </c>
      <c r="E48" s="32">
        <v>49.04</v>
      </c>
      <c r="F48" s="32">
        <f t="shared" ref="F48:J48" si="27">F15</f>
        <v>10</v>
      </c>
      <c r="G48" s="48">
        <f t="shared" si="23"/>
        <v>5.665</v>
      </c>
      <c r="H48" s="32">
        <f t="shared" si="27"/>
        <v>5.5</v>
      </c>
      <c r="I48" s="49">
        <f t="shared" si="27"/>
        <v>0.03</v>
      </c>
      <c r="J48" s="30">
        <f t="shared" si="27"/>
        <v>2</v>
      </c>
      <c r="K48" s="31">
        <f>(F48+G48+J48)*$K$5</f>
        <v>1.0599</v>
      </c>
      <c r="L48" s="31">
        <f>(F48+G48+J48+K48)*$L$5</f>
        <v>0.561747</v>
      </c>
      <c r="M48" s="48">
        <f t="shared" si="3"/>
        <v>27.0013058</v>
      </c>
      <c r="N48" s="48"/>
      <c r="O48" s="48">
        <f t="shared" si="24"/>
        <v>1324.144036432</v>
      </c>
      <c r="P48" s="32" t="str">
        <f>P47</f>
        <v>郑州三厂</v>
      </c>
      <c r="R48" s="46">
        <f t="shared" si="4"/>
        <v>1324.144036432</v>
      </c>
      <c r="S48" s="46">
        <f t="shared" si="5"/>
        <v>19.286647</v>
      </c>
      <c r="T48" s="46" t="b">
        <f t="shared" si="6"/>
        <v>0</v>
      </c>
      <c r="U48" s="46" t="b">
        <f t="shared" si="7"/>
        <v>1</v>
      </c>
    </row>
    <row r="49" s="46" customFormat="1" ht="56.25" outlineLevel="1" spans="1:21">
      <c r="A49" s="32">
        <v>41</v>
      </c>
      <c r="B49" s="32" t="s">
        <v>338</v>
      </c>
      <c r="C49" s="32" t="s">
        <v>342</v>
      </c>
      <c r="D49" s="32" t="s">
        <v>94</v>
      </c>
      <c r="E49" s="32">
        <v>5.52</v>
      </c>
      <c r="F49" s="32">
        <f t="shared" ref="F49:J49" si="28">F17</f>
        <v>10</v>
      </c>
      <c r="G49" s="48">
        <f t="shared" si="23"/>
        <v>8.858</v>
      </c>
      <c r="H49" s="32">
        <f t="shared" si="28"/>
        <v>8.6</v>
      </c>
      <c r="I49" s="49">
        <f t="shared" si="28"/>
        <v>0.03</v>
      </c>
      <c r="J49" s="30">
        <f t="shared" si="28"/>
        <v>2</v>
      </c>
      <c r="K49" s="31">
        <f>(F49+G49+J49)*$K$5</f>
        <v>1.25148</v>
      </c>
      <c r="L49" s="31">
        <f>(F49+G49+J49+K49)*$L$5</f>
        <v>0.6632844</v>
      </c>
      <c r="M49" s="48">
        <f t="shared" si="3"/>
        <v>31.88187016</v>
      </c>
      <c r="N49" s="48"/>
      <c r="O49" s="48">
        <f t="shared" si="24"/>
        <v>175.9879232832</v>
      </c>
      <c r="P49" s="32" t="str">
        <f>P47</f>
        <v>郑州三厂</v>
      </c>
      <c r="R49" s="46">
        <f t="shared" si="4"/>
        <v>175.9879232832</v>
      </c>
      <c r="S49" s="46">
        <f t="shared" si="5"/>
        <v>22.7727644</v>
      </c>
      <c r="T49" s="46" t="b">
        <f t="shared" si="6"/>
        <v>0</v>
      </c>
      <c r="U49" s="46" t="b">
        <f t="shared" si="7"/>
        <v>1</v>
      </c>
    </row>
    <row r="50" s="46" customFormat="1" ht="56.25" outlineLevel="1" spans="1:21">
      <c r="A50" s="32">
        <v>42</v>
      </c>
      <c r="B50" s="32" t="s">
        <v>338</v>
      </c>
      <c r="C50" s="32" t="s">
        <v>343</v>
      </c>
      <c r="D50" s="32" t="s">
        <v>94</v>
      </c>
      <c r="E50" s="32">
        <v>6</v>
      </c>
      <c r="F50" s="32">
        <f t="shared" ref="F50:J50" si="29">F18</f>
        <v>10</v>
      </c>
      <c r="G50" s="48">
        <f t="shared" si="23"/>
        <v>8.858</v>
      </c>
      <c r="H50" s="32">
        <f t="shared" si="29"/>
        <v>8.6</v>
      </c>
      <c r="I50" s="49">
        <f t="shared" si="29"/>
        <v>0.03</v>
      </c>
      <c r="J50" s="30">
        <f t="shared" si="29"/>
        <v>2</v>
      </c>
      <c r="K50" s="31">
        <f>(F50+G50+J50)*$K$5</f>
        <v>1.25148</v>
      </c>
      <c r="L50" s="31">
        <f>(F50+G50+J50+K50)*$L$5</f>
        <v>0.6632844</v>
      </c>
      <c r="M50" s="48">
        <f t="shared" si="3"/>
        <v>31.88187016</v>
      </c>
      <c r="N50" s="48"/>
      <c r="O50" s="48">
        <f t="shared" si="24"/>
        <v>191.29122096</v>
      </c>
      <c r="P50" s="32" t="str">
        <f>P47</f>
        <v>郑州三厂</v>
      </c>
      <c r="R50" s="46">
        <f t="shared" si="4"/>
        <v>191.29122096</v>
      </c>
      <c r="S50" s="46">
        <f t="shared" si="5"/>
        <v>22.7727644</v>
      </c>
      <c r="T50" s="46" t="b">
        <f t="shared" si="6"/>
        <v>0</v>
      </c>
      <c r="U50" s="46" t="b">
        <f t="shared" si="7"/>
        <v>1</v>
      </c>
    </row>
    <row r="51" s="46" customFormat="1" ht="56.25" outlineLevel="1" spans="1:21">
      <c r="A51" s="32">
        <v>43</v>
      </c>
      <c r="B51" s="32" t="s">
        <v>348</v>
      </c>
      <c r="C51" s="32" t="s">
        <v>384</v>
      </c>
      <c r="D51" s="32" t="s">
        <v>94</v>
      </c>
      <c r="E51" s="32">
        <v>31.01</v>
      </c>
      <c r="F51" s="32">
        <f>F21</f>
        <v>3</v>
      </c>
      <c r="G51" s="48">
        <f t="shared" si="23"/>
        <v>3.248</v>
      </c>
      <c r="H51" s="48">
        <v>2.8</v>
      </c>
      <c r="I51" s="49">
        <f>I24</f>
        <v>0.16</v>
      </c>
      <c r="J51" s="31">
        <f>J24</f>
        <v>0.5</v>
      </c>
      <c r="K51" s="31">
        <f>(F51+G51+J51)*$K$5</f>
        <v>0.40488</v>
      </c>
      <c r="L51" s="31">
        <f>(F51+G51+J51+K51)*$L$5</f>
        <v>0.2145864</v>
      </c>
      <c r="M51" s="48">
        <f t="shared" si="3"/>
        <v>10.31445296</v>
      </c>
      <c r="N51" s="48"/>
      <c r="O51" s="48">
        <f t="shared" si="24"/>
        <v>319.8511862896</v>
      </c>
      <c r="P51" s="32" t="str">
        <f>P47</f>
        <v>郑州三厂</v>
      </c>
      <c r="R51" s="46">
        <f t="shared" si="4"/>
        <v>319.8511862896</v>
      </c>
      <c r="S51" s="46">
        <f t="shared" si="5"/>
        <v>7.3674664</v>
      </c>
      <c r="T51" s="46" t="b">
        <f t="shared" si="6"/>
        <v>0</v>
      </c>
      <c r="U51" s="46" t="b">
        <f t="shared" si="7"/>
        <v>1</v>
      </c>
    </row>
    <row r="52" s="46" customFormat="1" ht="56.25" outlineLevel="1" spans="1:21">
      <c r="A52" s="32">
        <v>44</v>
      </c>
      <c r="B52" s="32" t="s">
        <v>348</v>
      </c>
      <c r="C52" s="32" t="s">
        <v>385</v>
      </c>
      <c r="D52" s="32" t="s">
        <v>94</v>
      </c>
      <c r="E52" s="32">
        <v>89.12</v>
      </c>
      <c r="F52" s="32">
        <f>F21</f>
        <v>3</v>
      </c>
      <c r="G52" s="48">
        <f t="shared" si="23"/>
        <v>3.248</v>
      </c>
      <c r="H52" s="48">
        <f t="shared" ref="H52:J52" si="30">H51</f>
        <v>2.8</v>
      </c>
      <c r="I52" s="49">
        <f t="shared" si="30"/>
        <v>0.16</v>
      </c>
      <c r="J52" s="31">
        <f t="shared" si="30"/>
        <v>0.5</v>
      </c>
      <c r="K52" s="31">
        <f>(F52+G52+J52)*$K$5</f>
        <v>0.40488</v>
      </c>
      <c r="L52" s="31">
        <f>(F52+G52+J52+K52)*$L$5</f>
        <v>0.2145864</v>
      </c>
      <c r="M52" s="48">
        <f t="shared" si="3"/>
        <v>10.31445296</v>
      </c>
      <c r="N52" s="48"/>
      <c r="O52" s="48">
        <f t="shared" si="24"/>
        <v>919.2240477952</v>
      </c>
      <c r="P52" s="32" t="str">
        <f>P51</f>
        <v>郑州三厂</v>
      </c>
      <c r="R52" s="46">
        <f t="shared" si="4"/>
        <v>919.2240477952</v>
      </c>
      <c r="S52" s="46">
        <f t="shared" si="5"/>
        <v>7.3674664</v>
      </c>
      <c r="T52" s="46" t="b">
        <f t="shared" si="6"/>
        <v>0</v>
      </c>
      <c r="U52" s="46" t="b">
        <f t="shared" si="7"/>
        <v>1</v>
      </c>
    </row>
    <row r="53" s="46" customFormat="1" ht="56.25" outlineLevel="1" spans="1:21">
      <c r="A53" s="32">
        <v>45</v>
      </c>
      <c r="B53" s="32" t="s">
        <v>348</v>
      </c>
      <c r="C53" s="32" t="s">
        <v>386</v>
      </c>
      <c r="D53" s="32" t="s">
        <v>94</v>
      </c>
      <c r="E53" s="32">
        <v>3.42</v>
      </c>
      <c r="F53" s="32">
        <f>F21</f>
        <v>3</v>
      </c>
      <c r="G53" s="48">
        <f t="shared" si="23"/>
        <v>2.436</v>
      </c>
      <c r="H53" s="48">
        <v>2.1</v>
      </c>
      <c r="I53" s="49">
        <f t="shared" ref="I53:I59" si="31">I52</f>
        <v>0.16</v>
      </c>
      <c r="J53" s="31">
        <f t="shared" ref="J53:J59" si="32">J52</f>
        <v>0.5</v>
      </c>
      <c r="K53" s="31">
        <f>(F53+G53+J53)*$K$5</f>
        <v>0.35616</v>
      </c>
      <c r="L53" s="31">
        <f>(F53+G53+J53+K53)*$L$5</f>
        <v>0.1887648</v>
      </c>
      <c r="M53" s="48">
        <f t="shared" si="3"/>
        <v>9.07329472</v>
      </c>
      <c r="N53" s="48"/>
      <c r="O53" s="48">
        <f t="shared" si="24"/>
        <v>31.0306679424</v>
      </c>
      <c r="P53" s="32" t="str">
        <f>P51</f>
        <v>郑州三厂</v>
      </c>
      <c r="R53" s="46">
        <f t="shared" si="4"/>
        <v>31.0306679424</v>
      </c>
      <c r="S53" s="46">
        <f t="shared" si="5"/>
        <v>6.4809248</v>
      </c>
      <c r="T53" s="46" t="b">
        <f t="shared" si="6"/>
        <v>0</v>
      </c>
      <c r="U53" s="46" t="b">
        <f t="shared" si="7"/>
        <v>1</v>
      </c>
    </row>
    <row r="54" s="46" customFormat="1" ht="56.25" outlineLevel="1" spans="1:21">
      <c r="A54" s="32">
        <v>46</v>
      </c>
      <c r="B54" s="32" t="s">
        <v>348</v>
      </c>
      <c r="C54" s="32" t="s">
        <v>387</v>
      </c>
      <c r="D54" s="32" t="s">
        <v>94</v>
      </c>
      <c r="E54" s="32">
        <v>109.58</v>
      </c>
      <c r="F54" s="32">
        <f>F21</f>
        <v>3</v>
      </c>
      <c r="G54" s="48">
        <f t="shared" si="23"/>
        <v>4.06</v>
      </c>
      <c r="H54" s="48">
        <v>3.5</v>
      </c>
      <c r="I54" s="49">
        <f t="shared" si="31"/>
        <v>0.16</v>
      </c>
      <c r="J54" s="31">
        <f t="shared" si="32"/>
        <v>0.5</v>
      </c>
      <c r="K54" s="31">
        <f>(F54+G54+J54)*$K$5</f>
        <v>0.4536</v>
      </c>
      <c r="L54" s="31">
        <f>(F54+G54+J54+K54)*$L$5</f>
        <v>0.240408</v>
      </c>
      <c r="M54" s="48">
        <f t="shared" si="3"/>
        <v>11.5556112</v>
      </c>
      <c r="N54" s="48"/>
      <c r="O54" s="48">
        <f t="shared" si="24"/>
        <v>1266.263875296</v>
      </c>
      <c r="P54" s="32" t="str">
        <f>P51</f>
        <v>郑州三厂</v>
      </c>
      <c r="R54" s="46">
        <f t="shared" si="4"/>
        <v>1266.263875296</v>
      </c>
      <c r="S54" s="46">
        <f t="shared" si="5"/>
        <v>8.254008</v>
      </c>
      <c r="T54" s="46" t="b">
        <f t="shared" si="6"/>
        <v>0</v>
      </c>
      <c r="U54" s="46" t="b">
        <f t="shared" si="7"/>
        <v>1</v>
      </c>
    </row>
    <row r="55" s="46" customFormat="1" ht="56.25" outlineLevel="1" spans="1:21">
      <c r="A55" s="32">
        <v>47</v>
      </c>
      <c r="B55" s="32" t="s">
        <v>348</v>
      </c>
      <c r="C55" s="32" t="s">
        <v>388</v>
      </c>
      <c r="D55" s="32" t="s">
        <v>94</v>
      </c>
      <c r="E55" s="32">
        <v>49.9</v>
      </c>
      <c r="F55" s="32">
        <f>F21</f>
        <v>3</v>
      </c>
      <c r="G55" s="48">
        <f t="shared" si="23"/>
        <v>5.22</v>
      </c>
      <c r="H55" s="48">
        <v>4.5</v>
      </c>
      <c r="I55" s="49">
        <f>I53</f>
        <v>0.16</v>
      </c>
      <c r="J55" s="31">
        <f>J53</f>
        <v>0.5</v>
      </c>
      <c r="K55" s="31">
        <f>(F55+G55+J55)*$K$5</f>
        <v>0.5232</v>
      </c>
      <c r="L55" s="31">
        <f>(F55+G55+J55+K55)*$L$5</f>
        <v>0.277296</v>
      </c>
      <c r="M55" s="48">
        <f t="shared" si="3"/>
        <v>13.3286944</v>
      </c>
      <c r="N55" s="48"/>
      <c r="O55" s="48">
        <f t="shared" si="24"/>
        <v>665.10185056</v>
      </c>
      <c r="P55" s="32" t="str">
        <f>P53</f>
        <v>郑州三厂</v>
      </c>
      <c r="R55" s="46">
        <f t="shared" si="4"/>
        <v>665.10185056</v>
      </c>
      <c r="S55" s="46">
        <f t="shared" si="5"/>
        <v>9.520496</v>
      </c>
      <c r="T55" s="46" t="b">
        <f t="shared" si="6"/>
        <v>0</v>
      </c>
      <c r="U55" s="46" t="b">
        <f t="shared" si="7"/>
        <v>1</v>
      </c>
    </row>
    <row r="56" s="46" customFormat="1" ht="56.25" outlineLevel="1" spans="1:21">
      <c r="A56" s="32">
        <v>48</v>
      </c>
      <c r="B56" s="32" t="s">
        <v>348</v>
      </c>
      <c r="C56" s="32" t="s">
        <v>389</v>
      </c>
      <c r="D56" s="32" t="s">
        <v>94</v>
      </c>
      <c r="E56" s="32">
        <v>2.15</v>
      </c>
      <c r="F56" s="32">
        <f>F21</f>
        <v>3</v>
      </c>
      <c r="G56" s="48">
        <f t="shared" si="23"/>
        <v>3.712</v>
      </c>
      <c r="H56" s="48">
        <v>3.2</v>
      </c>
      <c r="I56" s="49">
        <f>I53</f>
        <v>0.16</v>
      </c>
      <c r="J56" s="31">
        <f>J53</f>
        <v>0.5</v>
      </c>
      <c r="K56" s="31">
        <f>(F56+G56+J56)*$K$5</f>
        <v>0.43272</v>
      </c>
      <c r="L56" s="31">
        <f>(F56+G56+J56+K56)*$L$5</f>
        <v>0.2293416</v>
      </c>
      <c r="M56" s="48">
        <f t="shared" si="3"/>
        <v>11.02368624</v>
      </c>
      <c r="N56" s="48"/>
      <c r="O56" s="48">
        <f t="shared" si="24"/>
        <v>23.700925416</v>
      </c>
      <c r="P56" s="32" t="str">
        <f>P55</f>
        <v>郑州三厂</v>
      </c>
      <c r="R56" s="46">
        <f t="shared" si="4"/>
        <v>23.700925416</v>
      </c>
      <c r="S56" s="46">
        <f t="shared" si="5"/>
        <v>7.8740616</v>
      </c>
      <c r="T56" s="46" t="b">
        <f t="shared" si="6"/>
        <v>0</v>
      </c>
      <c r="U56" s="46" t="b">
        <f t="shared" si="7"/>
        <v>1</v>
      </c>
    </row>
    <row r="57" s="46" customFormat="1" ht="56.25" outlineLevel="1" spans="1:21">
      <c r="A57" s="32">
        <v>49</v>
      </c>
      <c r="B57" s="32" t="s">
        <v>348</v>
      </c>
      <c r="C57" s="32" t="s">
        <v>390</v>
      </c>
      <c r="D57" s="32" t="s">
        <v>94</v>
      </c>
      <c r="E57" s="32">
        <v>3.43</v>
      </c>
      <c r="F57" s="32">
        <f>F21</f>
        <v>3</v>
      </c>
      <c r="G57" s="48">
        <f t="shared" si="23"/>
        <v>3.248</v>
      </c>
      <c r="H57" s="48">
        <v>2.8</v>
      </c>
      <c r="I57" s="49">
        <f>I53</f>
        <v>0.16</v>
      </c>
      <c r="J57" s="31">
        <f>J53</f>
        <v>0.5</v>
      </c>
      <c r="K57" s="31">
        <f>(F57+G57+J57)*$K$5</f>
        <v>0.40488</v>
      </c>
      <c r="L57" s="31">
        <f>(F57+G57+J57+K57)*$L$5</f>
        <v>0.2145864</v>
      </c>
      <c r="M57" s="48">
        <f t="shared" si="3"/>
        <v>10.31445296</v>
      </c>
      <c r="N57" s="48"/>
      <c r="O57" s="48">
        <f t="shared" si="24"/>
        <v>35.3785736528</v>
      </c>
      <c r="P57" s="32" t="str">
        <f>P55</f>
        <v>郑州三厂</v>
      </c>
      <c r="R57" s="46">
        <f t="shared" si="4"/>
        <v>35.3785736528</v>
      </c>
      <c r="S57" s="46">
        <f t="shared" si="5"/>
        <v>7.3674664</v>
      </c>
      <c r="T57" s="46" t="b">
        <f t="shared" si="6"/>
        <v>0</v>
      </c>
      <c r="U57" s="46" t="b">
        <f t="shared" si="7"/>
        <v>1</v>
      </c>
    </row>
    <row r="58" s="46" customFormat="1" ht="56.25" outlineLevel="1" spans="1:21">
      <c r="A58" s="32">
        <v>50</v>
      </c>
      <c r="B58" s="32" t="s">
        <v>391</v>
      </c>
      <c r="C58" s="32" t="s">
        <v>392</v>
      </c>
      <c r="D58" s="32" t="s">
        <v>94</v>
      </c>
      <c r="E58" s="32">
        <v>188.97</v>
      </c>
      <c r="F58" s="32">
        <f>F57</f>
        <v>3</v>
      </c>
      <c r="G58" s="48">
        <f t="shared" si="23"/>
        <v>4.06</v>
      </c>
      <c r="H58" s="48">
        <v>3.5</v>
      </c>
      <c r="I58" s="49">
        <f t="shared" si="31"/>
        <v>0.16</v>
      </c>
      <c r="J58" s="31">
        <f t="shared" si="32"/>
        <v>0.5</v>
      </c>
      <c r="K58" s="31">
        <f>(F58+G58+J58)*$K$5</f>
        <v>0.4536</v>
      </c>
      <c r="L58" s="31">
        <f>(F58+G58+J58+K58)*$L$5</f>
        <v>0.240408</v>
      </c>
      <c r="M58" s="48">
        <f t="shared" si="3"/>
        <v>11.5556112</v>
      </c>
      <c r="N58" s="48"/>
      <c r="O58" s="48">
        <f t="shared" si="24"/>
        <v>2183.663848464</v>
      </c>
      <c r="P58" s="32" t="str">
        <f>P55</f>
        <v>郑州三厂</v>
      </c>
      <c r="R58" s="46">
        <f t="shared" si="4"/>
        <v>2183.663848464</v>
      </c>
      <c r="S58" s="46">
        <f t="shared" si="5"/>
        <v>8.254008</v>
      </c>
      <c r="T58" s="46" t="b">
        <f t="shared" si="6"/>
        <v>0</v>
      </c>
      <c r="U58" s="46" t="b">
        <f t="shared" si="7"/>
        <v>1</v>
      </c>
    </row>
    <row r="59" s="46" customFormat="1" ht="56.25" outlineLevel="1" spans="1:21">
      <c r="A59" s="32">
        <v>51</v>
      </c>
      <c r="B59" s="32" t="s">
        <v>391</v>
      </c>
      <c r="C59" s="32" t="s">
        <v>393</v>
      </c>
      <c r="D59" s="32" t="s">
        <v>94</v>
      </c>
      <c r="E59" s="32">
        <v>1227.09</v>
      </c>
      <c r="F59" s="32">
        <f>F58</f>
        <v>3</v>
      </c>
      <c r="G59" s="48">
        <f t="shared" si="23"/>
        <v>4.06</v>
      </c>
      <c r="H59" s="48">
        <v>3.5</v>
      </c>
      <c r="I59" s="49">
        <f t="shared" si="31"/>
        <v>0.16</v>
      </c>
      <c r="J59" s="31">
        <f t="shared" si="32"/>
        <v>0.5</v>
      </c>
      <c r="K59" s="31">
        <f>(F59+G59+J59)*$K$5</f>
        <v>0.4536</v>
      </c>
      <c r="L59" s="31">
        <f>(F59+G59+J59+K59)*$L$5</f>
        <v>0.240408</v>
      </c>
      <c r="M59" s="48">
        <f t="shared" si="3"/>
        <v>11.5556112</v>
      </c>
      <c r="N59" s="48"/>
      <c r="O59" s="48">
        <f t="shared" si="24"/>
        <v>14179.774947408</v>
      </c>
      <c r="P59" s="32" t="str">
        <f>P56</f>
        <v>郑州三厂</v>
      </c>
      <c r="R59" s="46">
        <f t="shared" si="4"/>
        <v>14179.774947408</v>
      </c>
      <c r="S59" s="46">
        <f t="shared" si="5"/>
        <v>8.254008</v>
      </c>
      <c r="T59" s="46" t="b">
        <f t="shared" si="6"/>
        <v>0</v>
      </c>
      <c r="U59" s="46" t="b">
        <f t="shared" si="7"/>
        <v>1</v>
      </c>
    </row>
    <row r="60" s="46" customFormat="1" ht="45" outlineLevel="1" spans="1:21">
      <c r="A60" s="32">
        <v>52</v>
      </c>
      <c r="B60" s="32" t="s">
        <v>394</v>
      </c>
      <c r="C60" s="32" t="s">
        <v>395</v>
      </c>
      <c r="D60" s="32" t="s">
        <v>328</v>
      </c>
      <c r="E60" s="32">
        <v>1</v>
      </c>
      <c r="F60" s="32">
        <v>500</v>
      </c>
      <c r="G60" s="48">
        <f t="shared" si="23"/>
        <v>5555</v>
      </c>
      <c r="H60" s="48">
        <v>5500</v>
      </c>
      <c r="I60" s="49">
        <v>0.01</v>
      </c>
      <c r="J60" s="31">
        <v>50</v>
      </c>
      <c r="K60" s="31">
        <f>(F60+G60+J60)*$K$5</f>
        <v>366.3</v>
      </c>
      <c r="L60" s="31">
        <f>(F60+G60+J60+K60)*$L$5</f>
        <v>194.139</v>
      </c>
      <c r="M60" s="48">
        <f t="shared" si="3"/>
        <v>9331.6146</v>
      </c>
      <c r="N60" s="48"/>
      <c r="O60" s="48">
        <f t="shared" si="24"/>
        <v>9331.6146</v>
      </c>
      <c r="P60" s="32"/>
      <c r="R60" s="46">
        <f t="shared" si="4"/>
        <v>9331.6146</v>
      </c>
      <c r="S60" s="46">
        <f t="shared" si="5"/>
        <v>6665.439</v>
      </c>
      <c r="T60" s="46" t="b">
        <f t="shared" si="6"/>
        <v>0</v>
      </c>
      <c r="U60" s="46" t="b">
        <f t="shared" si="7"/>
        <v>1</v>
      </c>
    </row>
    <row r="61" s="46" customFormat="1" ht="45" outlineLevel="1" spans="1:21">
      <c r="A61" s="32">
        <v>53</v>
      </c>
      <c r="B61" s="32" t="s">
        <v>396</v>
      </c>
      <c r="C61" s="32" t="s">
        <v>397</v>
      </c>
      <c r="D61" s="32" t="s">
        <v>328</v>
      </c>
      <c r="E61" s="32">
        <v>1</v>
      </c>
      <c r="F61" s="32">
        <v>2000</v>
      </c>
      <c r="G61" s="48">
        <f t="shared" si="23"/>
        <v>15150</v>
      </c>
      <c r="H61" s="48">
        <v>15000</v>
      </c>
      <c r="I61" s="49">
        <v>0.01</v>
      </c>
      <c r="J61" s="31">
        <v>85</v>
      </c>
      <c r="K61" s="31">
        <f>(F61+G61+J61)*$K$5</f>
        <v>1034.1</v>
      </c>
      <c r="L61" s="31">
        <f>(F61+G61+J61+K61)*$L$5</f>
        <v>548.073</v>
      </c>
      <c r="M61" s="48">
        <f t="shared" si="3"/>
        <v>26344.0422</v>
      </c>
      <c r="N61" s="48"/>
      <c r="O61" s="48">
        <f t="shared" si="24"/>
        <v>26344.0422</v>
      </c>
      <c r="P61" s="32"/>
      <c r="R61" s="46">
        <f t="shared" si="4"/>
        <v>26344.0422</v>
      </c>
      <c r="S61" s="46">
        <f t="shared" si="5"/>
        <v>18817.173</v>
      </c>
      <c r="T61" s="46" t="b">
        <f t="shared" si="6"/>
        <v>0</v>
      </c>
      <c r="U61" s="46" t="b">
        <f t="shared" si="7"/>
        <v>1</v>
      </c>
    </row>
    <row r="62" s="46" customFormat="1" ht="56.25" outlineLevel="1" spans="1:21">
      <c r="A62" s="32">
        <v>54</v>
      </c>
      <c r="B62" s="32" t="s">
        <v>398</v>
      </c>
      <c r="C62" s="32" t="s">
        <v>399</v>
      </c>
      <c r="D62" s="32" t="s">
        <v>328</v>
      </c>
      <c r="E62" s="32">
        <v>9</v>
      </c>
      <c r="F62" s="32">
        <v>35</v>
      </c>
      <c r="G62" s="48">
        <f t="shared" si="23"/>
        <v>166.65</v>
      </c>
      <c r="H62" s="48">
        <v>165</v>
      </c>
      <c r="I62" s="49">
        <v>0.01</v>
      </c>
      <c r="J62" s="31">
        <v>5</v>
      </c>
      <c r="K62" s="31">
        <f>(F62+G62+J62)*$K$5</f>
        <v>12.399</v>
      </c>
      <c r="L62" s="31">
        <f>(F62+G62+J62+K62)*$L$5</f>
        <v>6.57147</v>
      </c>
      <c r="M62" s="48">
        <f t="shared" si="3"/>
        <v>315.868658</v>
      </c>
      <c r="N62" s="48"/>
      <c r="O62" s="48">
        <f t="shared" si="24"/>
        <v>2842.817922</v>
      </c>
      <c r="P62" s="32"/>
      <c r="R62" s="46">
        <f t="shared" si="4"/>
        <v>2842.817922</v>
      </c>
      <c r="S62" s="46">
        <f t="shared" si="5"/>
        <v>225.62047</v>
      </c>
      <c r="T62" s="46" t="b">
        <f t="shared" si="6"/>
        <v>0</v>
      </c>
      <c r="U62" s="46" t="b">
        <f t="shared" si="7"/>
        <v>1</v>
      </c>
    </row>
    <row r="63" s="46" customFormat="1" ht="45" outlineLevel="1" spans="1:21">
      <c r="A63" s="32">
        <v>55</v>
      </c>
      <c r="B63" s="32" t="s">
        <v>398</v>
      </c>
      <c r="C63" s="32" t="s">
        <v>400</v>
      </c>
      <c r="D63" s="32" t="s">
        <v>328</v>
      </c>
      <c r="E63" s="32">
        <v>1</v>
      </c>
      <c r="F63" s="32">
        <v>50</v>
      </c>
      <c r="G63" s="48">
        <f t="shared" si="23"/>
        <v>505</v>
      </c>
      <c r="H63" s="48">
        <v>500</v>
      </c>
      <c r="I63" s="49">
        <v>0.01</v>
      </c>
      <c r="J63" s="31">
        <v>5</v>
      </c>
      <c r="K63" s="31">
        <f>(F63+G63+J63)*$K$5</f>
        <v>33.6</v>
      </c>
      <c r="L63" s="31">
        <f>(F63+G63+J63+K63)*$L$5</f>
        <v>17.808</v>
      </c>
      <c r="M63" s="48">
        <f t="shared" si="3"/>
        <v>855.9712</v>
      </c>
      <c r="N63" s="48"/>
      <c r="O63" s="48">
        <f t="shared" si="24"/>
        <v>855.9712</v>
      </c>
      <c r="P63" s="32"/>
      <c r="R63" s="46">
        <f t="shared" si="4"/>
        <v>855.9712</v>
      </c>
      <c r="S63" s="46">
        <f t="shared" si="5"/>
        <v>611.408</v>
      </c>
      <c r="T63" s="46" t="b">
        <f t="shared" si="6"/>
        <v>0</v>
      </c>
      <c r="U63" s="46" t="b">
        <f t="shared" si="7"/>
        <v>1</v>
      </c>
    </row>
    <row r="64" s="46" customFormat="1" ht="45" outlineLevel="1" spans="1:21">
      <c r="A64" s="32">
        <v>56</v>
      </c>
      <c r="B64" s="32" t="s">
        <v>401</v>
      </c>
      <c r="C64" s="32" t="s">
        <v>402</v>
      </c>
      <c r="D64" s="32" t="s">
        <v>88</v>
      </c>
      <c r="E64" s="32">
        <v>1</v>
      </c>
      <c r="F64" s="32">
        <f t="shared" ref="F64:J64" si="33">F37</f>
        <v>15</v>
      </c>
      <c r="G64" s="48">
        <f t="shared" si="23"/>
        <v>45.45</v>
      </c>
      <c r="H64" s="48">
        <v>45</v>
      </c>
      <c r="I64" s="49">
        <f t="shared" si="33"/>
        <v>0.01</v>
      </c>
      <c r="J64" s="31">
        <f t="shared" si="33"/>
        <v>5</v>
      </c>
      <c r="K64" s="31">
        <f>(F64+G64+J64)*$K$5</f>
        <v>3.927</v>
      </c>
      <c r="L64" s="31">
        <f>(F64+G64+J64+K64)*$L$5</f>
        <v>2.08131</v>
      </c>
      <c r="M64" s="48">
        <f t="shared" si="3"/>
        <v>100.041634</v>
      </c>
      <c r="N64" s="48"/>
      <c r="O64" s="48">
        <f t="shared" si="24"/>
        <v>100.041634</v>
      </c>
      <c r="P64" s="32"/>
      <c r="R64" s="46">
        <f t="shared" si="4"/>
        <v>100.041634</v>
      </c>
      <c r="S64" s="46">
        <f t="shared" si="5"/>
        <v>71.45831</v>
      </c>
      <c r="T64" s="46" t="b">
        <f t="shared" si="6"/>
        <v>0</v>
      </c>
      <c r="U64" s="46" t="b">
        <f t="shared" si="7"/>
        <v>1</v>
      </c>
    </row>
    <row r="65" s="46" customFormat="1" ht="56.25" outlineLevel="1" spans="1:21">
      <c r="A65" s="32">
        <v>57</v>
      </c>
      <c r="B65" s="32" t="s">
        <v>401</v>
      </c>
      <c r="C65" s="32" t="s">
        <v>403</v>
      </c>
      <c r="D65" s="32" t="s">
        <v>88</v>
      </c>
      <c r="E65" s="32">
        <v>3</v>
      </c>
      <c r="F65" s="32">
        <f t="shared" ref="F65:J65" si="34">F37</f>
        <v>15</v>
      </c>
      <c r="G65" s="48">
        <f t="shared" si="23"/>
        <v>161.6</v>
      </c>
      <c r="H65" s="48">
        <v>160</v>
      </c>
      <c r="I65" s="49">
        <f t="shared" si="34"/>
        <v>0.01</v>
      </c>
      <c r="J65" s="31">
        <f t="shared" si="34"/>
        <v>5</v>
      </c>
      <c r="K65" s="31">
        <f>(F65+G65+J65)*$K$5</f>
        <v>10.896</v>
      </c>
      <c r="L65" s="31">
        <f>(F65+G65+J65+K65)*$L$5</f>
        <v>5.77488</v>
      </c>
      <c r="M65" s="48">
        <f t="shared" si="3"/>
        <v>277.579232</v>
      </c>
      <c r="N65" s="48"/>
      <c r="O65" s="48">
        <f t="shared" si="24"/>
        <v>832.737696</v>
      </c>
      <c r="P65" s="32"/>
      <c r="R65" s="46">
        <f t="shared" si="4"/>
        <v>832.737696</v>
      </c>
      <c r="S65" s="46">
        <f t="shared" si="5"/>
        <v>198.27088</v>
      </c>
      <c r="T65" s="46" t="b">
        <f t="shared" si="6"/>
        <v>0</v>
      </c>
      <c r="U65" s="46" t="b">
        <f t="shared" si="7"/>
        <v>1</v>
      </c>
    </row>
    <row r="66" s="46" customFormat="1" ht="45" outlineLevel="1" spans="1:21">
      <c r="A66" s="32">
        <v>58</v>
      </c>
      <c r="B66" s="32" t="s">
        <v>404</v>
      </c>
      <c r="C66" s="32" t="s">
        <v>405</v>
      </c>
      <c r="D66" s="32" t="s">
        <v>88</v>
      </c>
      <c r="E66" s="32">
        <v>11</v>
      </c>
      <c r="F66" s="32">
        <f t="shared" ref="F66:J66" si="35">F37</f>
        <v>15</v>
      </c>
      <c r="G66" s="48">
        <f t="shared" si="23"/>
        <v>75.75</v>
      </c>
      <c r="H66" s="48">
        <v>75</v>
      </c>
      <c r="I66" s="49">
        <f t="shared" si="35"/>
        <v>0.01</v>
      </c>
      <c r="J66" s="31">
        <f t="shared" si="35"/>
        <v>5</v>
      </c>
      <c r="K66" s="31">
        <f>(F66+G66+J66)*$K$5</f>
        <v>5.745</v>
      </c>
      <c r="L66" s="31">
        <f>(F66+G66+J66+K66)*$L$5</f>
        <v>3.04485</v>
      </c>
      <c r="M66" s="48">
        <f t="shared" si="3"/>
        <v>146.35579</v>
      </c>
      <c r="N66" s="48"/>
      <c r="O66" s="48">
        <f t="shared" si="24"/>
        <v>1609.91369</v>
      </c>
      <c r="P66" s="32"/>
      <c r="R66" s="46">
        <f t="shared" si="4"/>
        <v>1609.91369</v>
      </c>
      <c r="S66" s="46">
        <f t="shared" si="5"/>
        <v>104.53985</v>
      </c>
      <c r="T66" s="46" t="b">
        <f t="shared" si="6"/>
        <v>0</v>
      </c>
      <c r="U66" s="46" t="b">
        <f t="shared" si="7"/>
        <v>1</v>
      </c>
    </row>
    <row r="67" s="46" customFormat="1" ht="45" outlineLevel="1" spans="1:21">
      <c r="A67" s="32">
        <v>59</v>
      </c>
      <c r="B67" s="32" t="s">
        <v>406</v>
      </c>
      <c r="C67" s="32" t="s">
        <v>407</v>
      </c>
      <c r="D67" s="32" t="s">
        <v>328</v>
      </c>
      <c r="E67" s="32">
        <v>10</v>
      </c>
      <c r="F67" s="32">
        <v>65</v>
      </c>
      <c r="G67" s="48">
        <f t="shared" si="23"/>
        <v>484.8</v>
      </c>
      <c r="H67" s="48">
        <v>480</v>
      </c>
      <c r="I67" s="49">
        <v>0.01</v>
      </c>
      <c r="J67" s="31">
        <v>15</v>
      </c>
      <c r="K67" s="31">
        <f>(F67+G67+J67)*$K$5</f>
        <v>33.888</v>
      </c>
      <c r="L67" s="31">
        <f>(F67+G67+J67+K67)*$L$5</f>
        <v>17.96064</v>
      </c>
      <c r="M67" s="48">
        <f t="shared" si="3"/>
        <v>863.308096</v>
      </c>
      <c r="N67" s="48"/>
      <c r="O67" s="48">
        <f t="shared" si="24"/>
        <v>8633.08096</v>
      </c>
      <c r="P67" s="32"/>
      <c r="R67" s="46">
        <f t="shared" si="4"/>
        <v>8633.08096</v>
      </c>
      <c r="S67" s="46">
        <f t="shared" si="5"/>
        <v>616.64864</v>
      </c>
      <c r="T67" s="46" t="b">
        <f t="shared" si="6"/>
        <v>0</v>
      </c>
      <c r="U67" s="46" t="b">
        <f t="shared" si="7"/>
        <v>1</v>
      </c>
    </row>
    <row r="68" s="46" customFormat="1" ht="45" outlineLevel="1" spans="1:21">
      <c r="A68" s="32">
        <v>60</v>
      </c>
      <c r="B68" s="32" t="s">
        <v>408</v>
      </c>
      <c r="C68" s="32" t="s">
        <v>409</v>
      </c>
      <c r="D68" s="32" t="s">
        <v>328</v>
      </c>
      <c r="E68" s="32">
        <v>7</v>
      </c>
      <c r="F68" s="32">
        <v>30</v>
      </c>
      <c r="G68" s="48">
        <f t="shared" si="23"/>
        <v>186.85</v>
      </c>
      <c r="H68" s="48">
        <v>185</v>
      </c>
      <c r="I68" s="49">
        <v>0.01</v>
      </c>
      <c r="J68" s="31">
        <v>5</v>
      </c>
      <c r="K68" s="31">
        <f>(F68+G68+J68)*$K$5</f>
        <v>13.311</v>
      </c>
      <c r="L68" s="31">
        <f>(F68+G68+J68+K68)*$L$5</f>
        <v>7.05483</v>
      </c>
      <c r="M68" s="48">
        <f t="shared" si="3"/>
        <v>339.102162</v>
      </c>
      <c r="N68" s="48"/>
      <c r="O68" s="48">
        <f t="shared" si="24"/>
        <v>2373.715134</v>
      </c>
      <c r="P68" s="32"/>
      <c r="R68" s="46">
        <f t="shared" si="4"/>
        <v>2373.715134</v>
      </c>
      <c r="S68" s="46">
        <f t="shared" si="5"/>
        <v>242.21583</v>
      </c>
      <c r="T68" s="46" t="b">
        <f t="shared" si="6"/>
        <v>0</v>
      </c>
      <c r="U68" s="46" t="b">
        <f t="shared" si="7"/>
        <v>1</v>
      </c>
    </row>
    <row r="69" s="46" customFormat="1" ht="33.75" outlineLevel="1" spans="1:21">
      <c r="A69" s="32">
        <v>61</v>
      </c>
      <c r="B69" s="32" t="s">
        <v>410</v>
      </c>
      <c r="C69" s="32" t="s">
        <v>411</v>
      </c>
      <c r="D69" s="32" t="s">
        <v>328</v>
      </c>
      <c r="E69" s="32">
        <v>1</v>
      </c>
      <c r="F69" s="32">
        <v>65</v>
      </c>
      <c r="G69" s="48">
        <f t="shared" si="23"/>
        <v>656.5</v>
      </c>
      <c r="H69" s="48">
        <v>650</v>
      </c>
      <c r="I69" s="49">
        <v>0.01</v>
      </c>
      <c r="J69" s="31">
        <v>15</v>
      </c>
      <c r="K69" s="31">
        <f>(F69+G69+J69)*$K$5</f>
        <v>44.19</v>
      </c>
      <c r="L69" s="31">
        <f>(F69+G69+J69+K69)*$L$5</f>
        <v>23.4207</v>
      </c>
      <c r="M69" s="48">
        <f t="shared" si="3"/>
        <v>1125.75498</v>
      </c>
      <c r="N69" s="48"/>
      <c r="O69" s="48">
        <f t="shared" si="24"/>
        <v>1125.75498</v>
      </c>
      <c r="P69" s="32"/>
      <c r="R69" s="46">
        <f t="shared" si="4"/>
        <v>1125.75498</v>
      </c>
      <c r="S69" s="46">
        <f t="shared" si="5"/>
        <v>804.1107</v>
      </c>
      <c r="T69" s="46" t="b">
        <f t="shared" si="6"/>
        <v>0</v>
      </c>
      <c r="U69" s="46" t="b">
        <f t="shared" si="7"/>
        <v>1</v>
      </c>
    </row>
    <row r="70" s="46" customFormat="1" ht="33.75" outlineLevel="1" spans="1:21">
      <c r="A70" s="32">
        <v>62</v>
      </c>
      <c r="B70" s="32" t="s">
        <v>410</v>
      </c>
      <c r="C70" s="32" t="s">
        <v>412</v>
      </c>
      <c r="D70" s="32" t="s">
        <v>328</v>
      </c>
      <c r="E70" s="32">
        <v>1</v>
      </c>
      <c r="F70" s="32">
        <v>10</v>
      </c>
      <c r="G70" s="48">
        <f t="shared" si="23"/>
        <v>166.65</v>
      </c>
      <c r="H70" s="48">
        <v>165</v>
      </c>
      <c r="I70" s="49">
        <v>0.01</v>
      </c>
      <c r="J70" s="31">
        <v>5</v>
      </c>
      <c r="K70" s="31">
        <f>(F70+G70+J70)*$K$5</f>
        <v>10.899</v>
      </c>
      <c r="L70" s="31">
        <f>(F70+G70+J70+K70)*$L$5</f>
        <v>5.77647</v>
      </c>
      <c r="M70" s="48">
        <f t="shared" si="3"/>
        <v>277.655658</v>
      </c>
      <c r="N70" s="48"/>
      <c r="O70" s="48">
        <f t="shared" si="24"/>
        <v>277.655658</v>
      </c>
      <c r="P70" s="32"/>
      <c r="R70" s="46">
        <f t="shared" si="4"/>
        <v>277.655658</v>
      </c>
      <c r="S70" s="46">
        <f t="shared" si="5"/>
        <v>198.32547</v>
      </c>
      <c r="T70" s="46" t="b">
        <f t="shared" si="6"/>
        <v>0</v>
      </c>
      <c r="U70" s="46" t="b">
        <f t="shared" si="7"/>
        <v>1</v>
      </c>
    </row>
    <row r="71" s="46" customFormat="1" ht="22.5" outlineLevel="1" spans="1:21">
      <c r="A71" s="32">
        <v>63</v>
      </c>
      <c r="B71" s="32" t="s">
        <v>413</v>
      </c>
      <c r="C71" s="32" t="s">
        <v>414</v>
      </c>
      <c r="D71" s="32" t="s">
        <v>328</v>
      </c>
      <c r="E71" s="32">
        <v>1</v>
      </c>
      <c r="F71" s="32">
        <v>200</v>
      </c>
      <c r="G71" s="48">
        <f t="shared" si="23"/>
        <v>2020</v>
      </c>
      <c r="H71" s="48">
        <v>2000</v>
      </c>
      <c r="I71" s="49">
        <v>0.01</v>
      </c>
      <c r="J71" s="31">
        <v>15</v>
      </c>
      <c r="K71" s="31">
        <f>(F71+G71+J71)*$K$5</f>
        <v>134.1</v>
      </c>
      <c r="L71" s="31">
        <f>(F71+G71+J71+K71)*$L$5</f>
        <v>71.073</v>
      </c>
      <c r="M71" s="48">
        <f t="shared" si="3"/>
        <v>3416.2422</v>
      </c>
      <c r="N71" s="48"/>
      <c r="O71" s="48">
        <f t="shared" si="24"/>
        <v>3416.2422</v>
      </c>
      <c r="P71" s="32"/>
      <c r="R71" s="46">
        <f t="shared" si="4"/>
        <v>3416.2422</v>
      </c>
      <c r="S71" s="46">
        <f t="shared" si="5"/>
        <v>2440.173</v>
      </c>
      <c r="T71" s="46" t="b">
        <f t="shared" si="6"/>
        <v>0</v>
      </c>
      <c r="U71" s="46" t="b">
        <f t="shared" si="7"/>
        <v>1</v>
      </c>
    </row>
    <row r="72" s="46" customFormat="1" ht="33.75" outlineLevel="1" spans="1:21">
      <c r="A72" s="32">
        <v>64</v>
      </c>
      <c r="B72" s="32" t="s">
        <v>415</v>
      </c>
      <c r="C72" s="32" t="s">
        <v>416</v>
      </c>
      <c r="D72" s="32" t="s">
        <v>328</v>
      </c>
      <c r="E72" s="32">
        <v>1</v>
      </c>
      <c r="F72" s="32">
        <v>100</v>
      </c>
      <c r="G72" s="48">
        <f t="shared" si="23"/>
        <v>1515</v>
      </c>
      <c r="H72" s="48">
        <v>1500</v>
      </c>
      <c r="I72" s="49">
        <v>0.01</v>
      </c>
      <c r="J72" s="31">
        <v>15</v>
      </c>
      <c r="K72" s="31">
        <f>(F72+G72+J72)*$K$5</f>
        <v>97.8</v>
      </c>
      <c r="L72" s="31">
        <f>(F72+G72+J72+K72)*$L$5</f>
        <v>51.834</v>
      </c>
      <c r="M72" s="48">
        <f t="shared" si="3"/>
        <v>2491.4876</v>
      </c>
      <c r="N72" s="48"/>
      <c r="O72" s="48">
        <f t="shared" si="24"/>
        <v>2491.4876</v>
      </c>
      <c r="P72" s="32"/>
      <c r="R72" s="46">
        <f t="shared" si="4"/>
        <v>2491.4876</v>
      </c>
      <c r="S72" s="46">
        <f t="shared" si="5"/>
        <v>1779.634</v>
      </c>
      <c r="T72" s="46" t="b">
        <f t="shared" si="6"/>
        <v>0</v>
      </c>
      <c r="U72" s="46" t="b">
        <f t="shared" si="7"/>
        <v>1</v>
      </c>
    </row>
    <row r="73" s="46" customFormat="1" ht="33.75" outlineLevel="1" spans="1:21">
      <c r="A73" s="32">
        <v>65</v>
      </c>
      <c r="B73" s="32" t="s">
        <v>375</v>
      </c>
      <c r="C73" s="32" t="s">
        <v>377</v>
      </c>
      <c r="D73" s="32" t="s">
        <v>88</v>
      </c>
      <c r="E73" s="32">
        <v>45</v>
      </c>
      <c r="F73" s="32">
        <f t="shared" ref="F73:J73" si="36">F40</f>
        <v>5</v>
      </c>
      <c r="G73" s="48">
        <f t="shared" si="23"/>
        <v>3.3128</v>
      </c>
      <c r="H73" s="48">
        <f t="shared" si="36"/>
        <v>3.28</v>
      </c>
      <c r="I73" s="49">
        <f t="shared" si="36"/>
        <v>0.01</v>
      </c>
      <c r="J73" s="31">
        <f t="shared" si="36"/>
        <v>2</v>
      </c>
      <c r="K73" s="31">
        <f>(F73+G73+J73)*$K$5</f>
        <v>0.618768</v>
      </c>
      <c r="L73" s="31">
        <f>(F73+G73+J73+K73)*$L$5</f>
        <v>0.32794704</v>
      </c>
      <c r="M73" s="48">
        <f t="shared" ref="M73:M136" si="37">(F73+G73+J73+K73+L73)*1.4</f>
        <v>15.763321056</v>
      </c>
      <c r="N73" s="48"/>
      <c r="O73" s="48">
        <f t="shared" si="24"/>
        <v>709.34944752</v>
      </c>
      <c r="P73" s="32"/>
      <c r="R73" s="46">
        <f t="shared" ref="R73:R136" si="38">E73*M73</f>
        <v>709.34944752</v>
      </c>
      <c r="S73" s="46">
        <f t="shared" ref="S73:S136" si="39">F73+G73+J73+K73+L73</f>
        <v>11.25951504</v>
      </c>
      <c r="T73" s="46" t="b">
        <f t="shared" ref="T73:T136" si="40">M73=S73</f>
        <v>0</v>
      </c>
      <c r="U73" s="46" t="b">
        <f t="shared" ref="U73:U136" si="41">R73=O73</f>
        <v>1</v>
      </c>
    </row>
    <row r="74" s="46" customFormat="1" spans="1:21">
      <c r="A74" s="32"/>
      <c r="B74" s="32" t="s">
        <v>417</v>
      </c>
      <c r="C74" s="32"/>
      <c r="D74" s="32"/>
      <c r="E74" s="32"/>
      <c r="F74" s="32"/>
      <c r="G74" s="48"/>
      <c r="H74" s="48"/>
      <c r="I74" s="49"/>
      <c r="J74" s="31"/>
      <c r="K74" s="31"/>
      <c r="L74" s="31"/>
      <c r="M74" s="48">
        <f t="shared" si="37"/>
        <v>0</v>
      </c>
      <c r="N74" s="48"/>
      <c r="O74" s="48"/>
      <c r="P74" s="32"/>
      <c r="R74" s="46">
        <f t="shared" si="38"/>
        <v>0</v>
      </c>
      <c r="S74" s="46">
        <f t="shared" si="39"/>
        <v>0</v>
      </c>
      <c r="T74" s="46" t="b">
        <f t="shared" si="40"/>
        <v>1</v>
      </c>
      <c r="U74" s="46" t="b">
        <f t="shared" si="41"/>
        <v>1</v>
      </c>
    </row>
    <row r="75" s="46" customFormat="1" ht="78.75" outlineLevel="1" spans="1:21">
      <c r="A75" s="32">
        <v>66</v>
      </c>
      <c r="B75" s="32" t="s">
        <v>418</v>
      </c>
      <c r="C75" s="32" t="s">
        <v>419</v>
      </c>
      <c r="D75" s="32" t="s">
        <v>420</v>
      </c>
      <c r="E75" s="32">
        <v>4</v>
      </c>
      <c r="F75" s="32">
        <v>80</v>
      </c>
      <c r="G75" s="48">
        <f t="shared" ref="G75:G81" si="42">H75*(1+I75)</f>
        <v>1515</v>
      </c>
      <c r="H75" s="48">
        <v>1500</v>
      </c>
      <c r="I75" s="49">
        <v>0.01</v>
      </c>
      <c r="J75" s="31">
        <v>45</v>
      </c>
      <c r="K75" s="31">
        <f>(F75+G75+J75)*$K$5</f>
        <v>98.4</v>
      </c>
      <c r="L75" s="31">
        <f>(F75+G75+J75+K75)*$L$5</f>
        <v>52.152</v>
      </c>
      <c r="M75" s="48">
        <f t="shared" si="37"/>
        <v>2506.7728</v>
      </c>
      <c r="N75" s="48"/>
      <c r="O75" s="48">
        <f t="shared" ref="O75:O81" si="43">M75*E75</f>
        <v>10027.0912</v>
      </c>
      <c r="P75" s="32" t="s">
        <v>421</v>
      </c>
      <c r="R75" s="46">
        <f t="shared" si="38"/>
        <v>10027.0912</v>
      </c>
      <c r="S75" s="46">
        <f t="shared" si="39"/>
        <v>1790.552</v>
      </c>
      <c r="T75" s="46" t="b">
        <f t="shared" si="40"/>
        <v>0</v>
      </c>
      <c r="U75" s="46" t="b">
        <f t="shared" si="41"/>
        <v>1</v>
      </c>
    </row>
    <row r="76" s="46" customFormat="1" ht="78.75" outlineLevel="1" spans="1:21">
      <c r="A76" s="32">
        <v>67</v>
      </c>
      <c r="B76" s="32" t="s">
        <v>422</v>
      </c>
      <c r="C76" s="32" t="s">
        <v>423</v>
      </c>
      <c r="D76" s="32" t="s">
        <v>420</v>
      </c>
      <c r="E76" s="32">
        <v>6</v>
      </c>
      <c r="F76" s="32">
        <v>80</v>
      </c>
      <c r="G76" s="48">
        <f t="shared" si="42"/>
        <v>858.5</v>
      </c>
      <c r="H76" s="48">
        <v>850</v>
      </c>
      <c r="I76" s="49">
        <v>0.01</v>
      </c>
      <c r="J76" s="31">
        <v>55</v>
      </c>
      <c r="K76" s="31">
        <f>(F76+G76+J76)*$K$5</f>
        <v>59.61</v>
      </c>
      <c r="L76" s="31">
        <f>(F76+G76+J76+K76)*$L$5</f>
        <v>31.5933</v>
      </c>
      <c r="M76" s="48">
        <f t="shared" si="37"/>
        <v>1518.58462</v>
      </c>
      <c r="N76" s="48"/>
      <c r="O76" s="48">
        <f t="shared" si="43"/>
        <v>9111.50772</v>
      </c>
      <c r="P76" s="32" t="s">
        <v>421</v>
      </c>
      <c r="R76" s="46">
        <f t="shared" si="38"/>
        <v>9111.50772</v>
      </c>
      <c r="S76" s="46">
        <f t="shared" si="39"/>
        <v>1084.7033</v>
      </c>
      <c r="T76" s="46" t="b">
        <f t="shared" si="40"/>
        <v>0</v>
      </c>
      <c r="U76" s="46" t="b">
        <f t="shared" si="41"/>
        <v>1</v>
      </c>
    </row>
    <row r="77" s="46" customFormat="1" ht="78.75" outlineLevel="1" spans="1:21">
      <c r="A77" s="32">
        <v>68</v>
      </c>
      <c r="B77" s="32" t="s">
        <v>424</v>
      </c>
      <c r="C77" s="32" t="s">
        <v>425</v>
      </c>
      <c r="D77" s="32" t="s">
        <v>420</v>
      </c>
      <c r="E77" s="32">
        <v>2</v>
      </c>
      <c r="F77" s="32">
        <f t="shared" ref="F77:J77" si="44">F76</f>
        <v>80</v>
      </c>
      <c r="G77" s="48">
        <f t="shared" si="42"/>
        <v>838.3</v>
      </c>
      <c r="H77" s="48">
        <v>830</v>
      </c>
      <c r="I77" s="49">
        <f t="shared" si="44"/>
        <v>0.01</v>
      </c>
      <c r="J77" s="30">
        <f t="shared" si="44"/>
        <v>55</v>
      </c>
      <c r="K77" s="31">
        <f>(F77+G77+J77)*$K$5</f>
        <v>58.398</v>
      </c>
      <c r="L77" s="31">
        <f>(F77+G77+J77+K77)*$L$5</f>
        <v>30.95094</v>
      </c>
      <c r="M77" s="48">
        <f t="shared" si="37"/>
        <v>1487.708516</v>
      </c>
      <c r="N77" s="48"/>
      <c r="O77" s="48">
        <f t="shared" si="43"/>
        <v>2975.417032</v>
      </c>
      <c r="P77" s="32" t="s">
        <v>421</v>
      </c>
      <c r="R77" s="46">
        <f t="shared" si="38"/>
        <v>2975.417032</v>
      </c>
      <c r="S77" s="46">
        <f t="shared" si="39"/>
        <v>1062.64894</v>
      </c>
      <c r="T77" s="46" t="b">
        <f t="shared" si="40"/>
        <v>0</v>
      </c>
      <c r="U77" s="46" t="b">
        <f t="shared" si="41"/>
        <v>1</v>
      </c>
    </row>
    <row r="78" s="46" customFormat="1" ht="78.75" outlineLevel="1" spans="1:21">
      <c r="A78" s="32">
        <v>69</v>
      </c>
      <c r="B78" s="32" t="s">
        <v>426</v>
      </c>
      <c r="C78" s="32" t="s">
        <v>427</v>
      </c>
      <c r="D78" s="32" t="s">
        <v>420</v>
      </c>
      <c r="E78" s="32">
        <v>1</v>
      </c>
      <c r="F78" s="32">
        <v>50</v>
      </c>
      <c r="G78" s="48">
        <f t="shared" si="42"/>
        <v>656.5</v>
      </c>
      <c r="H78" s="48">
        <v>650</v>
      </c>
      <c r="I78" s="49">
        <v>0.01</v>
      </c>
      <c r="J78" s="31">
        <v>35</v>
      </c>
      <c r="K78" s="31">
        <f>(F78+G78+J78)*$K$5</f>
        <v>44.49</v>
      </c>
      <c r="L78" s="31">
        <f>(F78+G78+J78+K78)*$L$5</f>
        <v>23.5797</v>
      </c>
      <c r="M78" s="48">
        <f t="shared" si="37"/>
        <v>1133.39758</v>
      </c>
      <c r="N78" s="48"/>
      <c r="O78" s="48">
        <f t="shared" si="43"/>
        <v>1133.39758</v>
      </c>
      <c r="P78" s="32"/>
      <c r="R78" s="46">
        <f t="shared" si="38"/>
        <v>1133.39758</v>
      </c>
      <c r="S78" s="46">
        <f t="shared" si="39"/>
        <v>809.5697</v>
      </c>
      <c r="T78" s="46" t="b">
        <f t="shared" si="40"/>
        <v>0</v>
      </c>
      <c r="U78" s="46" t="b">
        <f t="shared" si="41"/>
        <v>1</v>
      </c>
    </row>
    <row r="79" s="46" customFormat="1" ht="22.5" outlineLevel="1" spans="1:21">
      <c r="A79" s="32">
        <v>70</v>
      </c>
      <c r="B79" s="32" t="s">
        <v>428</v>
      </c>
      <c r="C79" s="32" t="s">
        <v>429</v>
      </c>
      <c r="D79" s="32" t="s">
        <v>88</v>
      </c>
      <c r="E79" s="32">
        <v>4</v>
      </c>
      <c r="F79" s="32">
        <v>25</v>
      </c>
      <c r="G79" s="48">
        <f t="shared" si="42"/>
        <v>65.65</v>
      </c>
      <c r="H79" s="48">
        <v>65</v>
      </c>
      <c r="I79" s="49">
        <v>0.01</v>
      </c>
      <c r="J79" s="31">
        <v>5</v>
      </c>
      <c r="K79" s="31">
        <f>(F79+G79+J79)*$K$5</f>
        <v>5.739</v>
      </c>
      <c r="L79" s="31">
        <f>(F79+G79+J79+K79)*$L$5</f>
        <v>3.04167</v>
      </c>
      <c r="M79" s="48">
        <f t="shared" si="37"/>
        <v>146.202938</v>
      </c>
      <c r="N79" s="48"/>
      <c r="O79" s="48">
        <f t="shared" si="43"/>
        <v>584.811752</v>
      </c>
      <c r="P79" s="32"/>
      <c r="R79" s="46">
        <f t="shared" si="38"/>
        <v>584.811752</v>
      </c>
      <c r="S79" s="46">
        <f t="shared" si="39"/>
        <v>104.43067</v>
      </c>
      <c r="T79" s="46" t="b">
        <f t="shared" si="40"/>
        <v>0</v>
      </c>
      <c r="U79" s="46" t="b">
        <f t="shared" si="41"/>
        <v>1</v>
      </c>
    </row>
    <row r="80" s="46" customFormat="1" ht="22.5" outlineLevel="1" spans="1:21">
      <c r="A80" s="32">
        <v>71</v>
      </c>
      <c r="B80" s="32" t="s">
        <v>428</v>
      </c>
      <c r="C80" s="32" t="s">
        <v>430</v>
      </c>
      <c r="D80" s="32" t="s">
        <v>88</v>
      </c>
      <c r="E80" s="32">
        <v>1</v>
      </c>
      <c r="F80" s="32">
        <v>25</v>
      </c>
      <c r="G80" s="48">
        <f t="shared" si="42"/>
        <v>35.35</v>
      </c>
      <c r="H80" s="48">
        <v>35</v>
      </c>
      <c r="I80" s="49">
        <v>0.01</v>
      </c>
      <c r="J80" s="31">
        <v>5</v>
      </c>
      <c r="K80" s="31">
        <f>(F80+G80+J80)*$K$5</f>
        <v>3.921</v>
      </c>
      <c r="L80" s="31">
        <f>(F80+G80+J80+K80)*$L$5</f>
        <v>2.07813</v>
      </c>
      <c r="M80" s="48">
        <f t="shared" si="37"/>
        <v>99.888782</v>
      </c>
      <c r="N80" s="48"/>
      <c r="O80" s="48">
        <f t="shared" si="43"/>
        <v>99.888782</v>
      </c>
      <c r="P80" s="32"/>
      <c r="R80" s="46">
        <f t="shared" si="38"/>
        <v>99.888782</v>
      </c>
      <c r="S80" s="46">
        <f t="shared" si="39"/>
        <v>71.34913</v>
      </c>
      <c r="T80" s="46" t="b">
        <f t="shared" si="40"/>
        <v>0</v>
      </c>
      <c r="U80" s="46" t="b">
        <f t="shared" si="41"/>
        <v>1</v>
      </c>
    </row>
    <row r="81" s="46" customFormat="1" outlineLevel="1" spans="1:21">
      <c r="A81" s="32">
        <v>72</v>
      </c>
      <c r="B81" s="32" t="s">
        <v>431</v>
      </c>
      <c r="C81" s="32" t="s">
        <v>432</v>
      </c>
      <c r="D81" s="32" t="s">
        <v>94</v>
      </c>
      <c r="E81" s="32">
        <v>13.11</v>
      </c>
      <c r="F81" s="32">
        <v>18</v>
      </c>
      <c r="G81" s="32">
        <f t="shared" si="42"/>
        <v>32.96</v>
      </c>
      <c r="H81" s="32">
        <v>32</v>
      </c>
      <c r="I81" s="49">
        <v>0.03</v>
      </c>
      <c r="J81" s="30">
        <v>13</v>
      </c>
      <c r="K81" s="30">
        <f>(F81+G81+J81)*$K$5</f>
        <v>3.8376</v>
      </c>
      <c r="L81" s="30">
        <f>(F81+G81+J81+K81)*$L$5</f>
        <v>2.033928</v>
      </c>
      <c r="M81" s="53">
        <f t="shared" si="37"/>
        <v>97.7641392</v>
      </c>
      <c r="N81" s="54"/>
      <c r="O81" s="32">
        <f t="shared" si="43"/>
        <v>1281.687864912</v>
      </c>
      <c r="P81" s="32"/>
      <c r="R81" s="46">
        <f t="shared" si="38"/>
        <v>1281.687864912</v>
      </c>
      <c r="S81" s="46">
        <f t="shared" si="39"/>
        <v>69.831528</v>
      </c>
      <c r="T81" s="46" t="b">
        <f t="shared" si="40"/>
        <v>0</v>
      </c>
      <c r="U81" s="46" t="b">
        <f t="shared" si="41"/>
        <v>1</v>
      </c>
    </row>
    <row r="82" s="46" customFormat="1" outlineLevel="1" spans="1:21">
      <c r="A82" s="32"/>
      <c r="B82" s="32"/>
      <c r="C82" s="32"/>
      <c r="D82" s="32"/>
      <c r="E82" s="32"/>
      <c r="F82" s="32"/>
      <c r="G82" s="32"/>
      <c r="H82" s="32"/>
      <c r="I82" s="49"/>
      <c r="J82" s="30"/>
      <c r="K82" s="30"/>
      <c r="L82" s="30"/>
      <c r="M82" s="55"/>
      <c r="N82" s="56"/>
      <c r="O82" s="32"/>
      <c r="P82" s="32"/>
      <c r="R82" s="46">
        <f t="shared" si="38"/>
        <v>0</v>
      </c>
      <c r="S82" s="46">
        <f t="shared" si="39"/>
        <v>0</v>
      </c>
      <c r="T82" s="46" t="b">
        <f t="shared" si="40"/>
        <v>1</v>
      </c>
      <c r="U82" s="46" t="b">
        <f t="shared" si="41"/>
        <v>1</v>
      </c>
    </row>
    <row r="83" s="46" customFormat="1" outlineLevel="1" spans="1:21">
      <c r="A83" s="32">
        <v>73</v>
      </c>
      <c r="B83" s="32" t="s">
        <v>431</v>
      </c>
      <c r="C83" s="32" t="s">
        <v>433</v>
      </c>
      <c r="D83" s="32" t="s">
        <v>94</v>
      </c>
      <c r="E83" s="32">
        <v>8.53</v>
      </c>
      <c r="F83" s="32">
        <v>25</v>
      </c>
      <c r="G83" s="32">
        <f t="shared" ref="G83:G87" si="45">H83*(1+I83)</f>
        <v>46.35</v>
      </c>
      <c r="H83" s="32">
        <v>45</v>
      </c>
      <c r="I83" s="49">
        <v>0.03</v>
      </c>
      <c r="J83" s="30">
        <v>18</v>
      </c>
      <c r="K83" s="30">
        <f>(F83+G83+J83)*$K$5</f>
        <v>5.361</v>
      </c>
      <c r="L83" s="30">
        <f>(F83+G83+J83+K83)*$L$5</f>
        <v>2.84133</v>
      </c>
      <c r="M83" s="53">
        <f t="shared" si="37"/>
        <v>136.573262</v>
      </c>
      <c r="N83" s="54"/>
      <c r="O83" s="32">
        <f t="shared" ref="O83:O87" si="46">M83*E83</f>
        <v>1164.96992486</v>
      </c>
      <c r="P83" s="32"/>
      <c r="R83" s="46">
        <f t="shared" si="38"/>
        <v>1164.96992486</v>
      </c>
      <c r="S83" s="46">
        <f t="shared" si="39"/>
        <v>97.55233</v>
      </c>
      <c r="T83" s="46" t="b">
        <f t="shared" si="40"/>
        <v>0</v>
      </c>
      <c r="U83" s="46" t="b">
        <f t="shared" si="41"/>
        <v>1</v>
      </c>
    </row>
    <row r="84" s="46" customFormat="1" outlineLevel="1" spans="1:21">
      <c r="A84" s="32"/>
      <c r="B84" s="32"/>
      <c r="C84" s="32"/>
      <c r="D84" s="32"/>
      <c r="E84" s="32"/>
      <c r="F84" s="32"/>
      <c r="G84" s="32"/>
      <c r="H84" s="32"/>
      <c r="I84" s="49"/>
      <c r="J84" s="30"/>
      <c r="K84" s="30"/>
      <c r="L84" s="30"/>
      <c r="M84" s="55"/>
      <c r="N84" s="56"/>
      <c r="O84" s="32"/>
      <c r="P84" s="32"/>
      <c r="R84" s="46">
        <f t="shared" si="38"/>
        <v>0</v>
      </c>
      <c r="S84" s="46">
        <f t="shared" si="39"/>
        <v>0</v>
      </c>
      <c r="T84" s="46" t="b">
        <f t="shared" si="40"/>
        <v>1</v>
      </c>
      <c r="U84" s="46" t="b">
        <f t="shared" si="41"/>
        <v>1</v>
      </c>
    </row>
    <row r="85" s="46" customFormat="1" outlineLevel="1" spans="1:21">
      <c r="A85" s="51">
        <v>74</v>
      </c>
      <c r="B85" s="51" t="s">
        <v>431</v>
      </c>
      <c r="C85" s="51" t="s">
        <v>434</v>
      </c>
      <c r="D85" s="51" t="s">
        <v>94</v>
      </c>
      <c r="E85" s="51">
        <v>14.12</v>
      </c>
      <c r="F85" s="51">
        <v>30</v>
      </c>
      <c r="G85" s="51">
        <f t="shared" si="45"/>
        <v>56.65</v>
      </c>
      <c r="H85" s="51">
        <v>55</v>
      </c>
      <c r="I85" s="57">
        <v>0.03</v>
      </c>
      <c r="J85" s="58">
        <v>22</v>
      </c>
      <c r="K85" s="58">
        <f>(F85+G85+J85)*$K$5</f>
        <v>6.519</v>
      </c>
      <c r="L85" s="58">
        <f>(F85+G85+J85+K85)*$L$5</f>
        <v>3.45507</v>
      </c>
      <c r="M85" s="53">
        <f t="shared" si="37"/>
        <v>166.073698</v>
      </c>
      <c r="N85" s="54"/>
      <c r="O85" s="51">
        <f t="shared" si="46"/>
        <v>2344.96061576</v>
      </c>
      <c r="P85" s="51"/>
      <c r="R85" s="46">
        <f t="shared" si="38"/>
        <v>2344.96061576</v>
      </c>
      <c r="S85" s="46">
        <f t="shared" si="39"/>
        <v>118.62407</v>
      </c>
      <c r="T85" s="46" t="b">
        <f t="shared" si="40"/>
        <v>0</v>
      </c>
      <c r="U85" s="46" t="b">
        <f t="shared" si="41"/>
        <v>1</v>
      </c>
    </row>
    <row r="86" s="46" customFormat="1" outlineLevel="1" spans="1:21">
      <c r="A86" s="52"/>
      <c r="B86" s="52"/>
      <c r="C86" s="52"/>
      <c r="D86" s="52"/>
      <c r="E86" s="52"/>
      <c r="F86" s="52"/>
      <c r="G86" s="52"/>
      <c r="H86" s="52"/>
      <c r="I86" s="59"/>
      <c r="J86" s="60"/>
      <c r="K86" s="60"/>
      <c r="L86" s="60"/>
      <c r="M86" s="55"/>
      <c r="N86" s="56"/>
      <c r="O86" s="52"/>
      <c r="P86" s="52"/>
      <c r="R86" s="46">
        <f t="shared" si="38"/>
        <v>0</v>
      </c>
      <c r="S86" s="46">
        <f t="shared" si="39"/>
        <v>0</v>
      </c>
      <c r="T86" s="46" t="b">
        <f t="shared" si="40"/>
        <v>1</v>
      </c>
      <c r="U86" s="46" t="b">
        <f t="shared" si="41"/>
        <v>1</v>
      </c>
    </row>
    <row r="87" s="46" customFormat="1" outlineLevel="1" spans="1:21">
      <c r="A87" s="32">
        <v>75</v>
      </c>
      <c r="B87" s="32" t="s">
        <v>431</v>
      </c>
      <c r="C87" s="32" t="s">
        <v>435</v>
      </c>
      <c r="D87" s="32" t="s">
        <v>94</v>
      </c>
      <c r="E87" s="32">
        <v>16.41</v>
      </c>
      <c r="F87" s="32">
        <v>15</v>
      </c>
      <c r="G87" s="32">
        <f t="shared" si="45"/>
        <v>8.4</v>
      </c>
      <c r="H87" s="32">
        <v>8</v>
      </c>
      <c r="I87" s="49">
        <v>0.05</v>
      </c>
      <c r="J87" s="30">
        <v>3</v>
      </c>
      <c r="K87" s="30">
        <f>(F87+G87+J87)*$K$5</f>
        <v>1.584</v>
      </c>
      <c r="L87" s="30">
        <f>(F87+G87+J87+K87)*$L$5</f>
        <v>0.83952</v>
      </c>
      <c r="M87" s="53">
        <f t="shared" si="37"/>
        <v>40.352928</v>
      </c>
      <c r="N87" s="54"/>
      <c r="O87" s="32">
        <f t="shared" si="46"/>
        <v>662.19154848</v>
      </c>
      <c r="P87" s="32"/>
      <c r="R87" s="46">
        <f t="shared" si="38"/>
        <v>662.19154848</v>
      </c>
      <c r="S87" s="46">
        <f t="shared" si="39"/>
        <v>28.82352</v>
      </c>
      <c r="T87" s="46" t="b">
        <f t="shared" si="40"/>
        <v>0</v>
      </c>
      <c r="U87" s="46" t="b">
        <f t="shared" si="41"/>
        <v>1</v>
      </c>
    </row>
    <row r="88" s="46" customFormat="1" outlineLevel="1" spans="1:21">
      <c r="A88" s="32"/>
      <c r="B88" s="32"/>
      <c r="C88" s="32"/>
      <c r="D88" s="32"/>
      <c r="E88" s="32"/>
      <c r="F88" s="32"/>
      <c r="G88" s="32"/>
      <c r="H88" s="32"/>
      <c r="I88" s="49"/>
      <c r="J88" s="30"/>
      <c r="K88" s="30"/>
      <c r="L88" s="30"/>
      <c r="M88" s="55"/>
      <c r="N88" s="56"/>
      <c r="O88" s="32"/>
      <c r="P88" s="32"/>
      <c r="R88" s="46">
        <f t="shared" si="38"/>
        <v>0</v>
      </c>
      <c r="S88" s="46">
        <f t="shared" si="39"/>
        <v>0</v>
      </c>
      <c r="T88" s="46" t="b">
        <f t="shared" si="40"/>
        <v>1</v>
      </c>
      <c r="U88" s="46" t="b">
        <f t="shared" si="41"/>
        <v>1</v>
      </c>
    </row>
    <row r="89" s="46" customFormat="1" outlineLevel="1" spans="1:21">
      <c r="A89" s="51">
        <v>76</v>
      </c>
      <c r="B89" s="51" t="s">
        <v>431</v>
      </c>
      <c r="C89" s="51" t="s">
        <v>436</v>
      </c>
      <c r="D89" s="51" t="s">
        <v>94</v>
      </c>
      <c r="E89" s="51">
        <v>12.5</v>
      </c>
      <c r="F89" s="51">
        <f t="shared" ref="F89:J89" si="47">F87</f>
        <v>15</v>
      </c>
      <c r="G89" s="51">
        <f t="shared" ref="G89:G93" si="48">H89*(1+I89)</f>
        <v>10.5</v>
      </c>
      <c r="H89" s="51">
        <v>10</v>
      </c>
      <c r="I89" s="57">
        <f t="shared" si="47"/>
        <v>0.05</v>
      </c>
      <c r="J89" s="58">
        <f t="shared" si="47"/>
        <v>3</v>
      </c>
      <c r="K89" s="58">
        <f>(F89+G89+J89)*$K$5</f>
        <v>1.71</v>
      </c>
      <c r="L89" s="58">
        <f>(F89+G89+J89+K89)*$L$5</f>
        <v>0.9063</v>
      </c>
      <c r="M89" s="53">
        <f t="shared" si="37"/>
        <v>43.56282</v>
      </c>
      <c r="N89" s="54"/>
      <c r="O89" s="51">
        <f t="shared" ref="O89:O93" si="49">M89*E89</f>
        <v>544.53525</v>
      </c>
      <c r="P89" s="51"/>
      <c r="R89" s="46">
        <f t="shared" si="38"/>
        <v>544.53525</v>
      </c>
      <c r="S89" s="46">
        <f t="shared" si="39"/>
        <v>31.1163</v>
      </c>
      <c r="T89" s="46" t="b">
        <f t="shared" si="40"/>
        <v>0</v>
      </c>
      <c r="U89" s="46" t="b">
        <f t="shared" si="41"/>
        <v>1</v>
      </c>
    </row>
    <row r="90" s="46" customFormat="1" outlineLevel="1" spans="1:21">
      <c r="A90" s="52"/>
      <c r="B90" s="52"/>
      <c r="C90" s="52"/>
      <c r="D90" s="52"/>
      <c r="E90" s="52"/>
      <c r="F90" s="52"/>
      <c r="G90" s="52"/>
      <c r="H90" s="52"/>
      <c r="I90" s="59"/>
      <c r="J90" s="60"/>
      <c r="K90" s="60"/>
      <c r="L90" s="60"/>
      <c r="M90" s="55"/>
      <c r="N90" s="56"/>
      <c r="O90" s="52"/>
      <c r="P90" s="52"/>
      <c r="R90" s="46">
        <f t="shared" si="38"/>
        <v>0</v>
      </c>
      <c r="S90" s="46">
        <f t="shared" si="39"/>
        <v>0</v>
      </c>
      <c r="T90" s="46" t="b">
        <f t="shared" si="40"/>
        <v>1</v>
      </c>
      <c r="U90" s="46" t="b">
        <f t="shared" si="41"/>
        <v>1</v>
      </c>
    </row>
    <row r="91" s="46" customFormat="1" outlineLevel="1" spans="1:21">
      <c r="A91" s="32">
        <v>77</v>
      </c>
      <c r="B91" s="32" t="s">
        <v>431</v>
      </c>
      <c r="C91" s="32" t="s">
        <v>437</v>
      </c>
      <c r="D91" s="32" t="s">
        <v>94</v>
      </c>
      <c r="E91" s="32">
        <v>10.71</v>
      </c>
      <c r="F91" s="32">
        <f t="shared" ref="F91:J91" si="50">F87</f>
        <v>15</v>
      </c>
      <c r="G91" s="32">
        <f t="shared" si="48"/>
        <v>12.6</v>
      </c>
      <c r="H91" s="32">
        <v>12</v>
      </c>
      <c r="I91" s="49">
        <f t="shared" si="50"/>
        <v>0.05</v>
      </c>
      <c r="J91" s="30">
        <f t="shared" si="50"/>
        <v>3</v>
      </c>
      <c r="K91" s="30">
        <f>(F91+G91+J91)*$K$5</f>
        <v>1.836</v>
      </c>
      <c r="L91" s="30">
        <f>(F91+G91+J91+K91)*$L$5</f>
        <v>0.97308</v>
      </c>
      <c r="M91" s="53">
        <f t="shared" si="37"/>
        <v>46.772712</v>
      </c>
      <c r="N91" s="54"/>
      <c r="O91" s="32">
        <f t="shared" si="49"/>
        <v>500.93574552</v>
      </c>
      <c r="P91" s="32"/>
      <c r="R91" s="46">
        <f t="shared" si="38"/>
        <v>500.93574552</v>
      </c>
      <c r="S91" s="46">
        <f t="shared" si="39"/>
        <v>33.40908</v>
      </c>
      <c r="T91" s="46" t="b">
        <f t="shared" si="40"/>
        <v>0</v>
      </c>
      <c r="U91" s="46" t="b">
        <f t="shared" si="41"/>
        <v>1</v>
      </c>
    </row>
    <row r="92" s="46" customFormat="1" outlineLevel="1" spans="1:21">
      <c r="A92" s="32"/>
      <c r="B92" s="32"/>
      <c r="C92" s="32"/>
      <c r="D92" s="32"/>
      <c r="E92" s="32"/>
      <c r="F92" s="32"/>
      <c r="G92" s="32"/>
      <c r="H92" s="32"/>
      <c r="I92" s="49"/>
      <c r="J92" s="30"/>
      <c r="K92" s="30"/>
      <c r="L92" s="30"/>
      <c r="M92" s="55"/>
      <c r="N92" s="56"/>
      <c r="O92" s="32"/>
      <c r="P92" s="32"/>
      <c r="R92" s="46">
        <f t="shared" si="38"/>
        <v>0</v>
      </c>
      <c r="S92" s="46">
        <f t="shared" si="39"/>
        <v>0</v>
      </c>
      <c r="T92" s="46" t="b">
        <f t="shared" si="40"/>
        <v>1</v>
      </c>
      <c r="U92" s="46" t="b">
        <f t="shared" si="41"/>
        <v>1</v>
      </c>
    </row>
    <row r="93" s="46" customFormat="1" outlineLevel="1" spans="1:21">
      <c r="A93" s="51">
        <v>78</v>
      </c>
      <c r="B93" s="51" t="s">
        <v>431</v>
      </c>
      <c r="C93" s="51" t="s">
        <v>438</v>
      </c>
      <c r="D93" s="51" t="s">
        <v>94</v>
      </c>
      <c r="E93" s="51">
        <v>6.28</v>
      </c>
      <c r="F93" s="51">
        <f>F87</f>
        <v>15</v>
      </c>
      <c r="G93" s="51">
        <f t="shared" si="48"/>
        <v>24.15</v>
      </c>
      <c r="H93" s="51">
        <v>23</v>
      </c>
      <c r="I93" s="57">
        <v>0.05</v>
      </c>
      <c r="J93" s="58">
        <v>10</v>
      </c>
      <c r="K93" s="58">
        <f>(F93+G93+J93)*$K$5</f>
        <v>2.949</v>
      </c>
      <c r="L93" s="58">
        <f>(F93+G93+J93+K93)*$L$5</f>
        <v>1.56297</v>
      </c>
      <c r="M93" s="53">
        <f t="shared" si="37"/>
        <v>75.126758</v>
      </c>
      <c r="N93" s="54"/>
      <c r="O93" s="51">
        <f t="shared" si="49"/>
        <v>471.79604024</v>
      </c>
      <c r="P93" s="51"/>
      <c r="R93" s="46">
        <f t="shared" si="38"/>
        <v>471.79604024</v>
      </c>
      <c r="S93" s="46">
        <f t="shared" si="39"/>
        <v>53.66197</v>
      </c>
      <c r="T93" s="46" t="b">
        <f t="shared" si="40"/>
        <v>0</v>
      </c>
      <c r="U93" s="46" t="b">
        <f t="shared" si="41"/>
        <v>1</v>
      </c>
    </row>
    <row r="94" s="46" customFormat="1" outlineLevel="1" spans="1:21">
      <c r="A94" s="52"/>
      <c r="B94" s="52"/>
      <c r="C94" s="52"/>
      <c r="D94" s="52"/>
      <c r="E94" s="52"/>
      <c r="F94" s="52"/>
      <c r="G94" s="52"/>
      <c r="H94" s="52"/>
      <c r="I94" s="59"/>
      <c r="J94" s="60"/>
      <c r="K94" s="60"/>
      <c r="L94" s="60"/>
      <c r="M94" s="55"/>
      <c r="N94" s="56"/>
      <c r="O94" s="52"/>
      <c r="P94" s="52"/>
      <c r="R94" s="46">
        <f t="shared" si="38"/>
        <v>0</v>
      </c>
      <c r="S94" s="46">
        <f t="shared" si="39"/>
        <v>0</v>
      </c>
      <c r="T94" s="46" t="b">
        <f t="shared" si="40"/>
        <v>1</v>
      </c>
      <c r="U94" s="46" t="b">
        <f t="shared" si="41"/>
        <v>1</v>
      </c>
    </row>
    <row r="95" s="46" customFormat="1" ht="33.75" outlineLevel="1" spans="1:21">
      <c r="A95" s="32">
        <v>79</v>
      </c>
      <c r="B95" s="32" t="s">
        <v>439</v>
      </c>
      <c r="C95" s="32" t="s">
        <v>440</v>
      </c>
      <c r="D95" s="32" t="s">
        <v>88</v>
      </c>
      <c r="E95" s="32">
        <v>1</v>
      </c>
      <c r="F95" s="32">
        <v>20</v>
      </c>
      <c r="G95" s="48">
        <f t="shared" ref="G95:G111" si="51">H95*(1+I95)</f>
        <v>65.65</v>
      </c>
      <c r="H95" s="48">
        <v>65</v>
      </c>
      <c r="I95" s="49">
        <v>0.01</v>
      </c>
      <c r="J95" s="31">
        <v>3</v>
      </c>
      <c r="K95" s="31">
        <f>(F95+G95+J95)*$K$5</f>
        <v>5.319</v>
      </c>
      <c r="L95" s="31">
        <f>(F95+G95+J95+K95)*$L$5</f>
        <v>2.81907</v>
      </c>
      <c r="M95" s="48">
        <f t="shared" si="37"/>
        <v>135.503298</v>
      </c>
      <c r="N95" s="48"/>
      <c r="O95" s="48">
        <f t="shared" ref="O95:O111" si="52">M95*E95</f>
        <v>135.503298</v>
      </c>
      <c r="P95" s="32"/>
      <c r="R95" s="46">
        <f t="shared" si="38"/>
        <v>135.503298</v>
      </c>
      <c r="S95" s="46">
        <f t="shared" si="39"/>
        <v>96.78807</v>
      </c>
      <c r="T95" s="46" t="b">
        <f t="shared" si="40"/>
        <v>0</v>
      </c>
      <c r="U95" s="46" t="b">
        <f t="shared" si="41"/>
        <v>1</v>
      </c>
    </row>
    <row r="96" s="46" customFormat="1" ht="33.75" outlineLevel="1" spans="1:21">
      <c r="A96" s="32">
        <v>80</v>
      </c>
      <c r="B96" s="32" t="s">
        <v>439</v>
      </c>
      <c r="C96" s="32" t="s">
        <v>441</v>
      </c>
      <c r="D96" s="32" t="s">
        <v>88</v>
      </c>
      <c r="E96" s="32">
        <v>1</v>
      </c>
      <c r="F96" s="32">
        <f t="shared" ref="F96:J96" si="53">F95</f>
        <v>20</v>
      </c>
      <c r="G96" s="48">
        <f t="shared" si="51"/>
        <v>85.85</v>
      </c>
      <c r="H96" s="48">
        <v>85</v>
      </c>
      <c r="I96" s="49">
        <f t="shared" si="53"/>
        <v>0.01</v>
      </c>
      <c r="J96" s="31">
        <f t="shared" si="53"/>
        <v>3</v>
      </c>
      <c r="K96" s="31">
        <f>(F96+G96+J96)*$K$5</f>
        <v>6.531</v>
      </c>
      <c r="L96" s="31">
        <f>(F96+G96+J96+K96)*$L$5</f>
        <v>3.46143</v>
      </c>
      <c r="M96" s="48">
        <f t="shared" si="37"/>
        <v>166.379402</v>
      </c>
      <c r="N96" s="48"/>
      <c r="O96" s="48">
        <f t="shared" si="52"/>
        <v>166.379402</v>
      </c>
      <c r="P96" s="32"/>
      <c r="R96" s="46">
        <f t="shared" si="38"/>
        <v>166.379402</v>
      </c>
      <c r="S96" s="46">
        <f t="shared" si="39"/>
        <v>118.84243</v>
      </c>
      <c r="T96" s="46" t="b">
        <f t="shared" si="40"/>
        <v>0</v>
      </c>
      <c r="U96" s="46" t="b">
        <f t="shared" si="41"/>
        <v>1</v>
      </c>
    </row>
    <row r="97" s="46" customFormat="1" spans="1:21">
      <c r="A97" s="32"/>
      <c r="B97" s="32" t="s">
        <v>442</v>
      </c>
      <c r="C97" s="32"/>
      <c r="D97" s="32"/>
      <c r="E97" s="32"/>
      <c r="F97" s="32"/>
      <c r="G97" s="48"/>
      <c r="H97" s="48"/>
      <c r="I97" s="49"/>
      <c r="J97" s="31"/>
      <c r="K97" s="31"/>
      <c r="L97" s="31"/>
      <c r="M97" s="48">
        <f t="shared" si="37"/>
        <v>0</v>
      </c>
      <c r="N97" s="48"/>
      <c r="O97" s="48"/>
      <c r="P97" s="32"/>
      <c r="R97" s="46">
        <f t="shared" si="38"/>
        <v>0</v>
      </c>
      <c r="S97" s="46">
        <f t="shared" si="39"/>
        <v>0</v>
      </c>
      <c r="T97" s="46" t="b">
        <f t="shared" si="40"/>
        <v>1</v>
      </c>
      <c r="U97" s="46" t="b">
        <f t="shared" si="41"/>
        <v>1</v>
      </c>
    </row>
    <row r="98" s="46" customFormat="1" ht="90" outlineLevel="1" spans="1:21">
      <c r="A98" s="32">
        <v>81</v>
      </c>
      <c r="B98" s="32" t="s">
        <v>443</v>
      </c>
      <c r="C98" s="32" t="s">
        <v>444</v>
      </c>
      <c r="D98" s="32" t="s">
        <v>328</v>
      </c>
      <c r="E98" s="32">
        <v>2</v>
      </c>
      <c r="F98" s="32">
        <v>100</v>
      </c>
      <c r="G98" s="48">
        <f t="shared" si="51"/>
        <v>555.5</v>
      </c>
      <c r="H98" s="48">
        <v>550</v>
      </c>
      <c r="I98" s="49">
        <v>0.01</v>
      </c>
      <c r="J98" s="31">
        <v>50</v>
      </c>
      <c r="K98" s="31">
        <f>(F98+G98+J98)*$K$5</f>
        <v>42.33</v>
      </c>
      <c r="L98" s="31">
        <f>(F98+G98+J98+K98)*$L$5</f>
        <v>22.4349</v>
      </c>
      <c r="M98" s="48">
        <f t="shared" si="37"/>
        <v>1078.37086</v>
      </c>
      <c r="N98" s="48"/>
      <c r="O98" s="48">
        <f t="shared" si="52"/>
        <v>2156.74172</v>
      </c>
      <c r="P98" s="32"/>
      <c r="R98" s="46">
        <f t="shared" si="38"/>
        <v>2156.74172</v>
      </c>
      <c r="S98" s="46">
        <f t="shared" si="39"/>
        <v>770.2649</v>
      </c>
      <c r="T98" s="46" t="b">
        <f t="shared" si="40"/>
        <v>0</v>
      </c>
      <c r="U98" s="46" t="b">
        <f t="shared" si="41"/>
        <v>1</v>
      </c>
    </row>
    <row r="99" s="46" customFormat="1" ht="45" outlineLevel="1" spans="1:21">
      <c r="A99" s="32">
        <v>82</v>
      </c>
      <c r="B99" s="32" t="s">
        <v>445</v>
      </c>
      <c r="C99" s="32" t="s">
        <v>446</v>
      </c>
      <c r="D99" s="32" t="s">
        <v>59</v>
      </c>
      <c r="E99" s="32">
        <v>32.58</v>
      </c>
      <c r="F99" s="32">
        <v>150</v>
      </c>
      <c r="G99" s="48">
        <f t="shared" si="51"/>
        <v>606</v>
      </c>
      <c r="H99" s="48">
        <v>600</v>
      </c>
      <c r="I99" s="49">
        <v>0.01</v>
      </c>
      <c r="J99" s="31">
        <v>35</v>
      </c>
      <c r="K99" s="31">
        <f>(F99+G99+J99)*$K$5</f>
        <v>47.46</v>
      </c>
      <c r="L99" s="31">
        <f>(F99+G99+J99+K99)*$L$5</f>
        <v>25.1538</v>
      </c>
      <c r="M99" s="48">
        <f t="shared" si="37"/>
        <v>1209.05932</v>
      </c>
      <c r="N99" s="48"/>
      <c r="O99" s="48">
        <f t="shared" si="52"/>
        <v>39391.1526456</v>
      </c>
      <c r="P99" s="32"/>
      <c r="R99" s="46">
        <f t="shared" si="38"/>
        <v>39391.1526456</v>
      </c>
      <c r="S99" s="46">
        <f t="shared" si="39"/>
        <v>863.6138</v>
      </c>
      <c r="T99" s="46" t="b">
        <f t="shared" si="40"/>
        <v>0</v>
      </c>
      <c r="U99" s="46" t="b">
        <f t="shared" si="41"/>
        <v>1</v>
      </c>
    </row>
    <row r="100" s="46" customFormat="1" ht="112.5" outlineLevel="1" spans="1:21">
      <c r="A100" s="32">
        <v>83</v>
      </c>
      <c r="B100" s="32" t="s">
        <v>447</v>
      </c>
      <c r="C100" s="32" t="s">
        <v>448</v>
      </c>
      <c r="D100" s="32" t="s">
        <v>328</v>
      </c>
      <c r="E100" s="32">
        <v>1</v>
      </c>
      <c r="F100" s="32">
        <v>550</v>
      </c>
      <c r="G100" s="48">
        <f t="shared" si="51"/>
        <v>3131</v>
      </c>
      <c r="H100" s="48">
        <v>3100</v>
      </c>
      <c r="I100" s="49">
        <v>0.01</v>
      </c>
      <c r="J100" s="31">
        <v>150</v>
      </c>
      <c r="K100" s="31">
        <f>(F100+G100+J100)*$K$5</f>
        <v>229.86</v>
      </c>
      <c r="L100" s="31">
        <f>(F100+G100+J100+K100)*$L$5</f>
        <v>121.8258</v>
      </c>
      <c r="M100" s="48">
        <f t="shared" si="37"/>
        <v>5855.76012</v>
      </c>
      <c r="N100" s="48"/>
      <c r="O100" s="48">
        <f t="shared" si="52"/>
        <v>5855.76012</v>
      </c>
      <c r="P100" s="32" t="s">
        <v>449</v>
      </c>
      <c r="R100" s="46">
        <f t="shared" si="38"/>
        <v>5855.76012</v>
      </c>
      <c r="S100" s="46">
        <f t="shared" si="39"/>
        <v>4182.6858</v>
      </c>
      <c r="T100" s="46" t="b">
        <f t="shared" si="40"/>
        <v>0</v>
      </c>
      <c r="U100" s="46" t="b">
        <f t="shared" si="41"/>
        <v>1</v>
      </c>
    </row>
    <row r="101" s="46" customFormat="1" ht="112.5" outlineLevel="1" spans="1:21">
      <c r="A101" s="32">
        <v>84</v>
      </c>
      <c r="B101" s="32" t="s">
        <v>447</v>
      </c>
      <c r="C101" s="32" t="s">
        <v>450</v>
      </c>
      <c r="D101" s="32" t="s">
        <v>328</v>
      </c>
      <c r="E101" s="32">
        <v>1</v>
      </c>
      <c r="F101" s="32">
        <f t="shared" ref="F101:J101" si="54">F100</f>
        <v>550</v>
      </c>
      <c r="G101" s="48">
        <f t="shared" si="51"/>
        <v>2828</v>
      </c>
      <c r="H101" s="48">
        <v>2800</v>
      </c>
      <c r="I101" s="49">
        <f t="shared" si="54"/>
        <v>0.01</v>
      </c>
      <c r="J101" s="30">
        <f t="shared" si="54"/>
        <v>150</v>
      </c>
      <c r="K101" s="31">
        <f>(F101+G101+J101)*$K$5</f>
        <v>211.68</v>
      </c>
      <c r="L101" s="31">
        <f>(F101+G101+J101+K101)*$L$5</f>
        <v>112.1904</v>
      </c>
      <c r="M101" s="48">
        <f t="shared" si="37"/>
        <v>5392.61856</v>
      </c>
      <c r="N101" s="48"/>
      <c r="O101" s="48">
        <f t="shared" si="52"/>
        <v>5392.61856</v>
      </c>
      <c r="P101" s="32" t="str">
        <f>P100</f>
        <v>海信</v>
      </c>
      <c r="R101" s="46">
        <f t="shared" si="38"/>
        <v>5392.61856</v>
      </c>
      <c r="S101" s="46">
        <f t="shared" si="39"/>
        <v>3851.8704</v>
      </c>
      <c r="T101" s="46" t="b">
        <f t="shared" si="40"/>
        <v>0</v>
      </c>
      <c r="U101" s="46" t="b">
        <f t="shared" si="41"/>
        <v>1</v>
      </c>
    </row>
    <row r="102" s="46" customFormat="1" ht="101.25" outlineLevel="1" spans="1:21">
      <c r="A102" s="32">
        <v>85</v>
      </c>
      <c r="B102" s="32" t="s">
        <v>447</v>
      </c>
      <c r="C102" s="32" t="s">
        <v>451</v>
      </c>
      <c r="D102" s="32" t="s">
        <v>328</v>
      </c>
      <c r="E102" s="32">
        <v>1</v>
      </c>
      <c r="F102" s="32">
        <f t="shared" ref="F102:J102" si="55">F100</f>
        <v>550</v>
      </c>
      <c r="G102" s="48">
        <f t="shared" si="51"/>
        <v>2727</v>
      </c>
      <c r="H102" s="48">
        <v>2700</v>
      </c>
      <c r="I102" s="49">
        <f t="shared" si="55"/>
        <v>0.01</v>
      </c>
      <c r="J102" s="30">
        <f t="shared" si="55"/>
        <v>150</v>
      </c>
      <c r="K102" s="31">
        <f>(F102+G102+J102)*$K$5</f>
        <v>205.62</v>
      </c>
      <c r="L102" s="31">
        <f>(F102+G102+J102+K102)*$L$5</f>
        <v>108.9786</v>
      </c>
      <c r="M102" s="48">
        <f t="shared" si="37"/>
        <v>5238.23804</v>
      </c>
      <c r="N102" s="48"/>
      <c r="O102" s="48">
        <f t="shared" si="52"/>
        <v>5238.23804</v>
      </c>
      <c r="P102" s="32" t="str">
        <f>P100</f>
        <v>海信</v>
      </c>
      <c r="R102" s="46">
        <f t="shared" si="38"/>
        <v>5238.23804</v>
      </c>
      <c r="S102" s="46">
        <f t="shared" si="39"/>
        <v>3741.5986</v>
      </c>
      <c r="T102" s="46" t="b">
        <f t="shared" si="40"/>
        <v>0</v>
      </c>
      <c r="U102" s="46" t="b">
        <f t="shared" si="41"/>
        <v>1</v>
      </c>
    </row>
    <row r="103" s="46" customFormat="1" ht="101.25" outlineLevel="1" spans="1:21">
      <c r="A103" s="32">
        <v>86</v>
      </c>
      <c r="B103" s="32" t="s">
        <v>447</v>
      </c>
      <c r="C103" s="32" t="s">
        <v>452</v>
      </c>
      <c r="D103" s="32" t="s">
        <v>328</v>
      </c>
      <c r="E103" s="32">
        <v>2</v>
      </c>
      <c r="F103" s="32">
        <f t="shared" ref="F103:J103" si="56">F100</f>
        <v>550</v>
      </c>
      <c r="G103" s="48">
        <f t="shared" si="51"/>
        <v>2676.5</v>
      </c>
      <c r="H103" s="48">
        <v>2650</v>
      </c>
      <c r="I103" s="49">
        <f t="shared" si="56"/>
        <v>0.01</v>
      </c>
      <c r="J103" s="30">
        <f t="shared" si="56"/>
        <v>150</v>
      </c>
      <c r="K103" s="31">
        <f>(F103+G103+J103)*$K$5</f>
        <v>202.59</v>
      </c>
      <c r="L103" s="31">
        <f>(F103+G103+J103+K103)*$L$5</f>
        <v>107.3727</v>
      </c>
      <c r="M103" s="48">
        <f t="shared" si="37"/>
        <v>5161.04778</v>
      </c>
      <c r="N103" s="48"/>
      <c r="O103" s="48">
        <f t="shared" si="52"/>
        <v>10322.09556</v>
      </c>
      <c r="P103" s="32" t="str">
        <f>P101</f>
        <v>海信</v>
      </c>
      <c r="R103" s="46">
        <f t="shared" si="38"/>
        <v>10322.09556</v>
      </c>
      <c r="S103" s="46">
        <f t="shared" si="39"/>
        <v>3686.4627</v>
      </c>
      <c r="T103" s="46" t="b">
        <f t="shared" si="40"/>
        <v>0</v>
      </c>
      <c r="U103" s="46" t="b">
        <f t="shared" si="41"/>
        <v>1</v>
      </c>
    </row>
    <row r="104" s="46" customFormat="1" ht="101.25" outlineLevel="1" spans="1:21">
      <c r="A104" s="32">
        <v>87</v>
      </c>
      <c r="B104" s="32" t="s">
        <v>447</v>
      </c>
      <c r="C104" s="32" t="s">
        <v>453</v>
      </c>
      <c r="D104" s="32" t="s">
        <v>328</v>
      </c>
      <c r="E104" s="32">
        <v>1</v>
      </c>
      <c r="F104" s="32">
        <f t="shared" ref="F104:J104" si="57">F100</f>
        <v>550</v>
      </c>
      <c r="G104" s="48">
        <f t="shared" si="51"/>
        <v>2626</v>
      </c>
      <c r="H104" s="48">
        <v>2600</v>
      </c>
      <c r="I104" s="49">
        <f t="shared" si="57"/>
        <v>0.01</v>
      </c>
      <c r="J104" s="30">
        <f t="shared" si="57"/>
        <v>150</v>
      </c>
      <c r="K104" s="31">
        <f>(F104+G104+J104)*$K$5</f>
        <v>199.56</v>
      </c>
      <c r="L104" s="31">
        <f>(F104+G104+J104+K104)*$L$5</f>
        <v>105.7668</v>
      </c>
      <c r="M104" s="48">
        <f t="shared" si="37"/>
        <v>5083.85752</v>
      </c>
      <c r="N104" s="48"/>
      <c r="O104" s="48">
        <f t="shared" si="52"/>
        <v>5083.85752</v>
      </c>
      <c r="P104" s="32" t="str">
        <f t="shared" ref="P104:P110" si="58">P103</f>
        <v>海信</v>
      </c>
      <c r="R104" s="46">
        <f t="shared" si="38"/>
        <v>5083.85752</v>
      </c>
      <c r="S104" s="46">
        <f t="shared" si="39"/>
        <v>3631.3268</v>
      </c>
      <c r="T104" s="46" t="b">
        <f t="shared" si="40"/>
        <v>0</v>
      </c>
      <c r="U104" s="46" t="b">
        <f t="shared" si="41"/>
        <v>1</v>
      </c>
    </row>
    <row r="105" s="46" customFormat="1" ht="101.25" outlineLevel="1" spans="1:21">
      <c r="A105" s="32">
        <v>88</v>
      </c>
      <c r="B105" s="32" t="s">
        <v>447</v>
      </c>
      <c r="C105" s="32" t="s">
        <v>454</v>
      </c>
      <c r="D105" s="32" t="s">
        <v>328</v>
      </c>
      <c r="E105" s="32">
        <v>1</v>
      </c>
      <c r="F105" s="32">
        <f t="shared" ref="F105:J105" si="59">F100</f>
        <v>550</v>
      </c>
      <c r="G105" s="48">
        <f t="shared" si="51"/>
        <v>2575.5</v>
      </c>
      <c r="H105" s="48">
        <v>2550</v>
      </c>
      <c r="I105" s="49">
        <f t="shared" si="59"/>
        <v>0.01</v>
      </c>
      <c r="J105" s="30">
        <f t="shared" si="59"/>
        <v>150</v>
      </c>
      <c r="K105" s="31">
        <f>(F105+G105+J105)*$K$5</f>
        <v>196.53</v>
      </c>
      <c r="L105" s="31">
        <f>(F105+G105+J105+K105)*$L$5</f>
        <v>104.1609</v>
      </c>
      <c r="M105" s="48">
        <f t="shared" si="37"/>
        <v>5006.66726</v>
      </c>
      <c r="N105" s="48"/>
      <c r="O105" s="48">
        <f t="shared" si="52"/>
        <v>5006.66726</v>
      </c>
      <c r="P105" s="32" t="str">
        <f t="shared" si="58"/>
        <v>海信</v>
      </c>
      <c r="R105" s="46">
        <f t="shared" si="38"/>
        <v>5006.66726</v>
      </c>
      <c r="S105" s="46">
        <f t="shared" si="39"/>
        <v>3576.1909</v>
      </c>
      <c r="T105" s="46" t="b">
        <f t="shared" si="40"/>
        <v>0</v>
      </c>
      <c r="U105" s="46" t="b">
        <f t="shared" si="41"/>
        <v>1</v>
      </c>
    </row>
    <row r="106" s="46" customFormat="1" ht="101.25" outlineLevel="1" spans="1:21">
      <c r="A106" s="32">
        <v>89</v>
      </c>
      <c r="B106" s="32" t="s">
        <v>447</v>
      </c>
      <c r="C106" s="32" t="s">
        <v>455</v>
      </c>
      <c r="D106" s="32" t="s">
        <v>328</v>
      </c>
      <c r="E106" s="32">
        <v>1</v>
      </c>
      <c r="F106" s="32">
        <f t="shared" ref="F106:J106" si="60">F100</f>
        <v>550</v>
      </c>
      <c r="G106" s="48">
        <f t="shared" si="51"/>
        <v>2575.5</v>
      </c>
      <c r="H106" s="48">
        <f>H105</f>
        <v>2550</v>
      </c>
      <c r="I106" s="49">
        <f t="shared" si="60"/>
        <v>0.01</v>
      </c>
      <c r="J106" s="30">
        <f t="shared" si="60"/>
        <v>150</v>
      </c>
      <c r="K106" s="31">
        <f>(F106+G106+J106)*$K$5</f>
        <v>196.53</v>
      </c>
      <c r="L106" s="31">
        <f>(F106+G106+J106+K106)*$L$5</f>
        <v>104.1609</v>
      </c>
      <c r="M106" s="48">
        <f t="shared" si="37"/>
        <v>5006.66726</v>
      </c>
      <c r="N106" s="48"/>
      <c r="O106" s="48">
        <f t="shared" si="52"/>
        <v>5006.66726</v>
      </c>
      <c r="P106" s="32" t="str">
        <f t="shared" si="58"/>
        <v>海信</v>
      </c>
      <c r="R106" s="46">
        <f t="shared" si="38"/>
        <v>5006.66726</v>
      </c>
      <c r="S106" s="46">
        <f t="shared" si="39"/>
        <v>3576.1909</v>
      </c>
      <c r="T106" s="46" t="b">
        <f t="shared" si="40"/>
        <v>0</v>
      </c>
      <c r="U106" s="46" t="b">
        <f t="shared" si="41"/>
        <v>1</v>
      </c>
    </row>
    <row r="107" s="46" customFormat="1" ht="101.25" outlineLevel="1" spans="1:21">
      <c r="A107" s="32">
        <v>90</v>
      </c>
      <c r="B107" s="32" t="s">
        <v>447</v>
      </c>
      <c r="C107" s="32" t="s">
        <v>456</v>
      </c>
      <c r="D107" s="32" t="s">
        <v>328</v>
      </c>
      <c r="E107" s="32">
        <v>1</v>
      </c>
      <c r="F107" s="32">
        <f t="shared" ref="F107:J107" si="61">F100</f>
        <v>550</v>
      </c>
      <c r="G107" s="48">
        <f t="shared" si="51"/>
        <v>2575.5</v>
      </c>
      <c r="H107" s="48">
        <f>H105</f>
        <v>2550</v>
      </c>
      <c r="I107" s="49">
        <f t="shared" si="61"/>
        <v>0.01</v>
      </c>
      <c r="J107" s="30">
        <f t="shared" si="61"/>
        <v>150</v>
      </c>
      <c r="K107" s="31">
        <f>(F107+G107+J107)*$K$5</f>
        <v>196.53</v>
      </c>
      <c r="L107" s="31">
        <f>(F107+G107+J107+K107)*$L$5</f>
        <v>104.1609</v>
      </c>
      <c r="M107" s="48">
        <f t="shared" si="37"/>
        <v>5006.66726</v>
      </c>
      <c r="N107" s="48"/>
      <c r="O107" s="48">
        <f t="shared" si="52"/>
        <v>5006.66726</v>
      </c>
      <c r="P107" s="32" t="str">
        <f t="shared" si="58"/>
        <v>海信</v>
      </c>
      <c r="R107" s="46">
        <f t="shared" si="38"/>
        <v>5006.66726</v>
      </c>
      <c r="S107" s="46">
        <f t="shared" si="39"/>
        <v>3576.1909</v>
      </c>
      <c r="T107" s="46" t="b">
        <f t="shared" si="40"/>
        <v>0</v>
      </c>
      <c r="U107" s="46" t="b">
        <f t="shared" si="41"/>
        <v>1</v>
      </c>
    </row>
    <row r="108" s="46" customFormat="1" ht="101.25" outlineLevel="1" spans="1:21">
      <c r="A108" s="32">
        <v>91</v>
      </c>
      <c r="B108" s="32" t="s">
        <v>447</v>
      </c>
      <c r="C108" s="32" t="s">
        <v>457</v>
      </c>
      <c r="D108" s="32" t="s">
        <v>328</v>
      </c>
      <c r="E108" s="32">
        <v>1</v>
      </c>
      <c r="F108" s="32">
        <f t="shared" ref="F108:J108" si="62">F100</f>
        <v>550</v>
      </c>
      <c r="G108" s="48">
        <f t="shared" si="51"/>
        <v>2575.5</v>
      </c>
      <c r="H108" s="48">
        <f>H105</f>
        <v>2550</v>
      </c>
      <c r="I108" s="49">
        <f t="shared" si="62"/>
        <v>0.01</v>
      </c>
      <c r="J108" s="30">
        <f t="shared" si="62"/>
        <v>150</v>
      </c>
      <c r="K108" s="31">
        <f>(F108+G108+J108)*$K$5</f>
        <v>196.53</v>
      </c>
      <c r="L108" s="31">
        <f>(F108+G108+J108+K108)*$L$5</f>
        <v>104.1609</v>
      </c>
      <c r="M108" s="48">
        <f t="shared" si="37"/>
        <v>5006.66726</v>
      </c>
      <c r="N108" s="48"/>
      <c r="O108" s="48">
        <f t="shared" si="52"/>
        <v>5006.66726</v>
      </c>
      <c r="P108" s="32" t="str">
        <f t="shared" si="58"/>
        <v>海信</v>
      </c>
      <c r="R108" s="46">
        <f t="shared" si="38"/>
        <v>5006.66726</v>
      </c>
      <c r="S108" s="46">
        <f t="shared" si="39"/>
        <v>3576.1909</v>
      </c>
      <c r="T108" s="46" t="b">
        <f t="shared" si="40"/>
        <v>0</v>
      </c>
      <c r="U108" s="46" t="b">
        <f t="shared" si="41"/>
        <v>1</v>
      </c>
    </row>
    <row r="109" s="46" customFormat="1" ht="101.25" outlineLevel="1" spans="1:21">
      <c r="A109" s="32">
        <v>92</v>
      </c>
      <c r="B109" s="32" t="s">
        <v>447</v>
      </c>
      <c r="C109" s="32" t="s">
        <v>458</v>
      </c>
      <c r="D109" s="32" t="s">
        <v>328</v>
      </c>
      <c r="E109" s="32">
        <v>1</v>
      </c>
      <c r="F109" s="32">
        <f t="shared" ref="F109:J109" si="63">F100</f>
        <v>550</v>
      </c>
      <c r="G109" s="48">
        <f t="shared" si="51"/>
        <v>2575.5</v>
      </c>
      <c r="H109" s="48">
        <f>H108</f>
        <v>2550</v>
      </c>
      <c r="I109" s="49">
        <f t="shared" si="63"/>
        <v>0.01</v>
      </c>
      <c r="J109" s="30">
        <f t="shared" si="63"/>
        <v>150</v>
      </c>
      <c r="K109" s="31">
        <f>(F109+G109+J109)*$K$5</f>
        <v>196.53</v>
      </c>
      <c r="L109" s="31">
        <f>(F109+G109+J109+K109)*$L$5</f>
        <v>104.1609</v>
      </c>
      <c r="M109" s="48">
        <f t="shared" si="37"/>
        <v>5006.66726</v>
      </c>
      <c r="N109" s="48"/>
      <c r="O109" s="48">
        <f t="shared" si="52"/>
        <v>5006.66726</v>
      </c>
      <c r="P109" s="32" t="str">
        <f t="shared" si="58"/>
        <v>海信</v>
      </c>
      <c r="R109" s="46">
        <f t="shared" si="38"/>
        <v>5006.66726</v>
      </c>
      <c r="S109" s="46">
        <f t="shared" si="39"/>
        <v>3576.1909</v>
      </c>
      <c r="T109" s="46" t="b">
        <f t="shared" si="40"/>
        <v>0</v>
      </c>
      <c r="U109" s="46" t="b">
        <f t="shared" si="41"/>
        <v>1</v>
      </c>
    </row>
    <row r="110" s="46" customFormat="1" ht="112.5" outlineLevel="1" spans="1:21">
      <c r="A110" s="32">
        <v>93</v>
      </c>
      <c r="B110" s="32" t="s">
        <v>447</v>
      </c>
      <c r="C110" s="32" t="s">
        <v>459</v>
      </c>
      <c r="D110" s="32" t="s">
        <v>328</v>
      </c>
      <c r="E110" s="32">
        <v>12</v>
      </c>
      <c r="F110" s="32">
        <f t="shared" ref="F110:J110" si="64">F100</f>
        <v>550</v>
      </c>
      <c r="G110" s="48">
        <f t="shared" si="51"/>
        <v>4545</v>
      </c>
      <c r="H110" s="48">
        <v>4500</v>
      </c>
      <c r="I110" s="49">
        <f t="shared" si="64"/>
        <v>0.01</v>
      </c>
      <c r="J110" s="30">
        <f t="shared" si="64"/>
        <v>150</v>
      </c>
      <c r="K110" s="31">
        <f>(F110+G110+J110)*$K$5</f>
        <v>314.7</v>
      </c>
      <c r="L110" s="31">
        <f>(F110+G110+J110+K110)*$L$5</f>
        <v>166.791</v>
      </c>
      <c r="M110" s="48">
        <f t="shared" si="37"/>
        <v>8017.0874</v>
      </c>
      <c r="N110" s="48"/>
      <c r="O110" s="48">
        <f t="shared" si="52"/>
        <v>96205.0488</v>
      </c>
      <c r="P110" s="32" t="str">
        <f t="shared" si="58"/>
        <v>海信</v>
      </c>
      <c r="R110" s="46">
        <f t="shared" si="38"/>
        <v>96205.0488</v>
      </c>
      <c r="S110" s="46">
        <f t="shared" si="39"/>
        <v>5726.491</v>
      </c>
      <c r="T110" s="46" t="b">
        <f t="shared" si="40"/>
        <v>0</v>
      </c>
      <c r="U110" s="46" t="b">
        <f t="shared" si="41"/>
        <v>1</v>
      </c>
    </row>
    <row r="111" s="46" customFormat="1" outlineLevel="1" spans="1:21">
      <c r="A111" s="32">
        <v>94</v>
      </c>
      <c r="B111" s="32" t="s">
        <v>460</v>
      </c>
      <c r="C111" s="32" t="s">
        <v>461</v>
      </c>
      <c r="D111" s="32" t="s">
        <v>59</v>
      </c>
      <c r="E111" s="32">
        <v>71.17</v>
      </c>
      <c r="F111" s="32">
        <v>35</v>
      </c>
      <c r="G111" s="32">
        <f t="shared" si="51"/>
        <v>68.25</v>
      </c>
      <c r="H111" s="32">
        <v>65</v>
      </c>
      <c r="I111" s="49">
        <v>0.05</v>
      </c>
      <c r="J111" s="30">
        <v>15</v>
      </c>
      <c r="K111" s="30">
        <f>(F111+G111+J111)*$K$5</f>
        <v>7.095</v>
      </c>
      <c r="L111" s="30">
        <f>(F111+G111+J111+K111)*$L$5</f>
        <v>3.76035</v>
      </c>
      <c r="M111" s="53">
        <f t="shared" si="37"/>
        <v>180.74749</v>
      </c>
      <c r="N111" s="54"/>
      <c r="O111" s="32">
        <f t="shared" si="52"/>
        <v>12863.7988633</v>
      </c>
      <c r="P111" s="32"/>
      <c r="R111" s="46">
        <f t="shared" si="38"/>
        <v>12863.7988633</v>
      </c>
      <c r="S111" s="46">
        <f t="shared" si="39"/>
        <v>129.10535</v>
      </c>
      <c r="T111" s="46" t="b">
        <f t="shared" si="40"/>
        <v>0</v>
      </c>
      <c r="U111" s="46" t="b">
        <f t="shared" si="41"/>
        <v>1</v>
      </c>
    </row>
    <row r="112" s="46" customFormat="1" outlineLevel="1" spans="1:21">
      <c r="A112" s="32"/>
      <c r="B112" s="32"/>
      <c r="C112" s="32"/>
      <c r="D112" s="32"/>
      <c r="E112" s="32"/>
      <c r="F112" s="32"/>
      <c r="G112" s="32"/>
      <c r="H112" s="32"/>
      <c r="I112" s="49"/>
      <c r="J112" s="30"/>
      <c r="K112" s="30"/>
      <c r="L112" s="30"/>
      <c r="M112" s="55"/>
      <c r="N112" s="56"/>
      <c r="O112" s="32"/>
      <c r="P112" s="32"/>
      <c r="R112" s="46">
        <f t="shared" si="38"/>
        <v>0</v>
      </c>
      <c r="S112" s="46">
        <f t="shared" si="39"/>
        <v>0</v>
      </c>
      <c r="T112" s="46" t="b">
        <f t="shared" si="40"/>
        <v>1</v>
      </c>
      <c r="U112" s="46" t="b">
        <f t="shared" si="41"/>
        <v>1</v>
      </c>
    </row>
    <row r="113" s="46" customFormat="1" outlineLevel="1" spans="1:21">
      <c r="A113" s="51">
        <v>95</v>
      </c>
      <c r="B113" s="51" t="s">
        <v>460</v>
      </c>
      <c r="C113" s="51" t="s">
        <v>462</v>
      </c>
      <c r="D113" s="51" t="s">
        <v>59</v>
      </c>
      <c r="E113" s="51">
        <v>54.25</v>
      </c>
      <c r="F113" s="51">
        <f t="shared" ref="F113:J113" si="65">F111</f>
        <v>35</v>
      </c>
      <c r="G113" s="51">
        <f t="shared" ref="G113:G128" si="66">H113*(1+I113)</f>
        <v>68.25</v>
      </c>
      <c r="H113" s="51">
        <f t="shared" si="65"/>
        <v>65</v>
      </c>
      <c r="I113" s="57">
        <f t="shared" si="65"/>
        <v>0.05</v>
      </c>
      <c r="J113" s="58">
        <f t="shared" si="65"/>
        <v>15</v>
      </c>
      <c r="K113" s="58">
        <f>(F113+G113+J113)*$K$5</f>
        <v>7.095</v>
      </c>
      <c r="L113" s="58">
        <f>(F113+G113+J113+K113)*$L$5</f>
        <v>3.76035</v>
      </c>
      <c r="M113" s="53">
        <f t="shared" si="37"/>
        <v>180.74749</v>
      </c>
      <c r="N113" s="54"/>
      <c r="O113" s="51">
        <f t="shared" ref="O113:O128" si="67">M113*E113</f>
        <v>9805.5513325</v>
      </c>
      <c r="P113" s="58"/>
      <c r="R113" s="46">
        <f t="shared" si="38"/>
        <v>9805.5513325</v>
      </c>
      <c r="S113" s="46">
        <f t="shared" si="39"/>
        <v>129.10535</v>
      </c>
      <c r="T113" s="46" t="b">
        <f t="shared" si="40"/>
        <v>0</v>
      </c>
      <c r="U113" s="46" t="b">
        <f t="shared" si="41"/>
        <v>1</v>
      </c>
    </row>
    <row r="114" s="46" customFormat="1" outlineLevel="1" spans="1:21">
      <c r="A114" s="52"/>
      <c r="B114" s="52"/>
      <c r="C114" s="52"/>
      <c r="D114" s="52"/>
      <c r="E114" s="52"/>
      <c r="F114" s="52"/>
      <c r="G114" s="52"/>
      <c r="H114" s="52"/>
      <c r="I114" s="59"/>
      <c r="J114" s="60"/>
      <c r="K114" s="60"/>
      <c r="L114" s="60"/>
      <c r="M114" s="55"/>
      <c r="N114" s="56"/>
      <c r="O114" s="52"/>
      <c r="P114" s="60"/>
      <c r="R114" s="46">
        <f t="shared" si="38"/>
        <v>0</v>
      </c>
      <c r="S114" s="46">
        <f t="shared" si="39"/>
        <v>0</v>
      </c>
      <c r="T114" s="46" t="b">
        <f t="shared" si="40"/>
        <v>1</v>
      </c>
      <c r="U114" s="46" t="b">
        <f t="shared" si="41"/>
        <v>1</v>
      </c>
    </row>
    <row r="115" s="46" customFormat="1" outlineLevel="1" spans="1:21">
      <c r="A115" s="51">
        <v>96</v>
      </c>
      <c r="B115" s="51" t="s">
        <v>460</v>
      </c>
      <c r="C115" s="51" t="s">
        <v>463</v>
      </c>
      <c r="D115" s="51" t="s">
        <v>59</v>
      </c>
      <c r="E115" s="51">
        <v>10.73</v>
      </c>
      <c r="F115" s="51">
        <f t="shared" ref="F115:J115" si="68">F111</f>
        <v>35</v>
      </c>
      <c r="G115" s="51">
        <f t="shared" si="66"/>
        <v>68.25</v>
      </c>
      <c r="H115" s="51">
        <f t="shared" si="68"/>
        <v>65</v>
      </c>
      <c r="I115" s="57">
        <f t="shared" si="68"/>
        <v>0.05</v>
      </c>
      <c r="J115" s="58">
        <f t="shared" si="68"/>
        <v>15</v>
      </c>
      <c r="K115" s="58">
        <f>(F115+G115+J115)*$K$5</f>
        <v>7.095</v>
      </c>
      <c r="L115" s="58">
        <f>(F115+G115+J115+K115)*$L$5</f>
        <v>3.76035</v>
      </c>
      <c r="M115" s="53">
        <f t="shared" si="37"/>
        <v>180.74749</v>
      </c>
      <c r="N115" s="54"/>
      <c r="O115" s="51">
        <f t="shared" si="67"/>
        <v>1939.4205677</v>
      </c>
      <c r="P115" s="58"/>
      <c r="R115" s="46">
        <f t="shared" si="38"/>
        <v>1939.4205677</v>
      </c>
      <c r="S115" s="46">
        <f t="shared" si="39"/>
        <v>129.10535</v>
      </c>
      <c r="T115" s="46" t="b">
        <f t="shared" si="40"/>
        <v>0</v>
      </c>
      <c r="U115" s="46" t="b">
        <f t="shared" si="41"/>
        <v>1</v>
      </c>
    </row>
    <row r="116" s="46" customFormat="1" outlineLevel="1" spans="1:21">
      <c r="A116" s="52"/>
      <c r="B116" s="52"/>
      <c r="C116" s="52"/>
      <c r="D116" s="52"/>
      <c r="E116" s="52"/>
      <c r="F116" s="52"/>
      <c r="G116" s="52"/>
      <c r="H116" s="52"/>
      <c r="I116" s="59"/>
      <c r="J116" s="60"/>
      <c r="K116" s="60"/>
      <c r="L116" s="60"/>
      <c r="M116" s="55"/>
      <c r="N116" s="56"/>
      <c r="O116" s="52"/>
      <c r="P116" s="60"/>
      <c r="R116" s="46">
        <f t="shared" si="38"/>
        <v>0</v>
      </c>
      <c r="S116" s="46">
        <f t="shared" si="39"/>
        <v>0</v>
      </c>
      <c r="T116" s="46" t="b">
        <f t="shared" si="40"/>
        <v>1</v>
      </c>
      <c r="U116" s="46" t="b">
        <f t="shared" si="41"/>
        <v>1</v>
      </c>
    </row>
    <row r="117" s="46" customFormat="1" ht="33.75" outlineLevel="1" spans="1:21">
      <c r="A117" s="32">
        <v>97</v>
      </c>
      <c r="B117" s="32" t="s">
        <v>464</v>
      </c>
      <c r="C117" s="32" t="s">
        <v>465</v>
      </c>
      <c r="D117" s="32" t="s">
        <v>59</v>
      </c>
      <c r="E117" s="32">
        <v>18.82</v>
      </c>
      <c r="F117" s="32">
        <v>185</v>
      </c>
      <c r="G117" s="48">
        <f t="shared" si="66"/>
        <v>231</v>
      </c>
      <c r="H117" s="48">
        <v>220</v>
      </c>
      <c r="I117" s="49">
        <v>0.05</v>
      </c>
      <c r="J117" s="31">
        <v>15</v>
      </c>
      <c r="K117" s="31">
        <f>(F117+G117+J117)*$K$5</f>
        <v>25.86</v>
      </c>
      <c r="L117" s="31">
        <f>(F117+G117+J117+K117)*$L$5</f>
        <v>13.7058</v>
      </c>
      <c r="M117" s="48">
        <f t="shared" si="37"/>
        <v>658.79212</v>
      </c>
      <c r="N117" s="48"/>
      <c r="O117" s="48">
        <f t="shared" si="67"/>
        <v>12398.4676984</v>
      </c>
      <c r="P117" s="32"/>
      <c r="R117" s="46">
        <f t="shared" si="38"/>
        <v>12398.4676984</v>
      </c>
      <c r="S117" s="46">
        <f t="shared" si="39"/>
        <v>470.5658</v>
      </c>
      <c r="T117" s="46" t="b">
        <f t="shared" si="40"/>
        <v>0</v>
      </c>
      <c r="U117" s="46" t="b">
        <f t="shared" si="41"/>
        <v>1</v>
      </c>
    </row>
    <row r="118" s="46" customFormat="1" ht="78.75" outlineLevel="1" spans="1:21">
      <c r="A118" s="32">
        <v>98</v>
      </c>
      <c r="B118" s="32" t="s">
        <v>466</v>
      </c>
      <c r="C118" s="32" t="s">
        <v>467</v>
      </c>
      <c r="D118" s="32" t="s">
        <v>94</v>
      </c>
      <c r="E118" s="32">
        <v>51.62</v>
      </c>
      <c r="F118" s="32">
        <v>15</v>
      </c>
      <c r="G118" s="48">
        <f t="shared" si="66"/>
        <v>78.75</v>
      </c>
      <c r="H118" s="48">
        <v>75</v>
      </c>
      <c r="I118" s="49">
        <v>0.05</v>
      </c>
      <c r="J118" s="31">
        <v>1</v>
      </c>
      <c r="K118" s="31">
        <f>(F118+G118+J118)*$K$5</f>
        <v>5.685</v>
      </c>
      <c r="L118" s="31">
        <f>(F118+G118+J118+K118)*$L$5</f>
        <v>3.01305</v>
      </c>
      <c r="M118" s="48">
        <f t="shared" si="37"/>
        <v>144.82727</v>
      </c>
      <c r="N118" s="48"/>
      <c r="O118" s="48">
        <f t="shared" si="67"/>
        <v>7475.9836774</v>
      </c>
      <c r="P118" s="61" t="s">
        <v>468</v>
      </c>
      <c r="R118" s="46">
        <f t="shared" si="38"/>
        <v>7475.9836774</v>
      </c>
      <c r="S118" s="46">
        <f t="shared" si="39"/>
        <v>103.44805</v>
      </c>
      <c r="T118" s="46" t="b">
        <f t="shared" si="40"/>
        <v>0</v>
      </c>
      <c r="U118" s="46" t="b">
        <f t="shared" si="41"/>
        <v>1</v>
      </c>
    </row>
    <row r="119" s="46" customFormat="1" ht="78.75" outlineLevel="1" spans="1:21">
      <c r="A119" s="32">
        <v>99</v>
      </c>
      <c r="B119" s="32" t="s">
        <v>466</v>
      </c>
      <c r="C119" s="32" t="s">
        <v>469</v>
      </c>
      <c r="D119" s="32" t="s">
        <v>94</v>
      </c>
      <c r="E119" s="32">
        <v>7.39</v>
      </c>
      <c r="F119" s="32">
        <f t="shared" ref="F119:J119" si="69">F118</f>
        <v>15</v>
      </c>
      <c r="G119" s="48">
        <f t="shared" si="66"/>
        <v>71.4</v>
      </c>
      <c r="H119" s="48">
        <v>68</v>
      </c>
      <c r="I119" s="49">
        <f t="shared" si="69"/>
        <v>0.05</v>
      </c>
      <c r="J119" s="31">
        <f t="shared" si="69"/>
        <v>1</v>
      </c>
      <c r="K119" s="31">
        <f>(F119+G119+J119)*$K$5</f>
        <v>5.244</v>
      </c>
      <c r="L119" s="31">
        <f>(F119+G119+J119+K119)*$L$5</f>
        <v>2.77932</v>
      </c>
      <c r="M119" s="48">
        <f t="shared" si="37"/>
        <v>133.592648</v>
      </c>
      <c r="N119" s="48"/>
      <c r="O119" s="48">
        <f t="shared" si="67"/>
        <v>987.24966872</v>
      </c>
      <c r="P119" s="61" t="s">
        <v>468</v>
      </c>
      <c r="R119" s="46">
        <f t="shared" si="38"/>
        <v>987.24966872</v>
      </c>
      <c r="S119" s="46">
        <f t="shared" si="39"/>
        <v>95.42332</v>
      </c>
      <c r="T119" s="46" t="b">
        <f t="shared" si="40"/>
        <v>0</v>
      </c>
      <c r="U119" s="46" t="b">
        <f t="shared" si="41"/>
        <v>1</v>
      </c>
    </row>
    <row r="120" s="46" customFormat="1" ht="90" outlineLevel="1" spans="1:21">
      <c r="A120" s="32">
        <v>100</v>
      </c>
      <c r="B120" s="32" t="s">
        <v>466</v>
      </c>
      <c r="C120" s="32" t="s">
        <v>470</v>
      </c>
      <c r="D120" s="32" t="s">
        <v>94</v>
      </c>
      <c r="E120" s="32">
        <v>40.63</v>
      </c>
      <c r="F120" s="32">
        <f t="shared" ref="F120:J120" si="70">F118</f>
        <v>15</v>
      </c>
      <c r="G120" s="48">
        <f t="shared" si="66"/>
        <v>65.1</v>
      </c>
      <c r="H120" s="48">
        <v>62</v>
      </c>
      <c r="I120" s="49">
        <f t="shared" si="70"/>
        <v>0.05</v>
      </c>
      <c r="J120" s="31">
        <f t="shared" si="70"/>
        <v>1</v>
      </c>
      <c r="K120" s="31">
        <f>(F120+G120+J120)*$K$5</f>
        <v>4.866</v>
      </c>
      <c r="L120" s="31">
        <f>(F120+G120+J120+K120)*$L$5</f>
        <v>2.57898</v>
      </c>
      <c r="M120" s="48">
        <f t="shared" si="37"/>
        <v>123.962972</v>
      </c>
      <c r="N120" s="48"/>
      <c r="O120" s="48">
        <f t="shared" si="67"/>
        <v>5036.61555236</v>
      </c>
      <c r="P120" s="61" t="s">
        <v>468</v>
      </c>
      <c r="R120" s="46">
        <f t="shared" si="38"/>
        <v>5036.61555236</v>
      </c>
      <c r="S120" s="46">
        <f t="shared" si="39"/>
        <v>88.54498</v>
      </c>
      <c r="T120" s="46" t="b">
        <f t="shared" si="40"/>
        <v>0</v>
      </c>
      <c r="U120" s="46" t="b">
        <f t="shared" si="41"/>
        <v>1</v>
      </c>
    </row>
    <row r="121" s="46" customFormat="1" ht="78.75" outlineLevel="1" spans="1:21">
      <c r="A121" s="32">
        <v>101</v>
      </c>
      <c r="B121" s="32" t="s">
        <v>466</v>
      </c>
      <c r="C121" s="32" t="s">
        <v>471</v>
      </c>
      <c r="D121" s="32" t="s">
        <v>94</v>
      </c>
      <c r="E121" s="32">
        <v>39.36</v>
      </c>
      <c r="F121" s="32">
        <f t="shared" ref="F121:J121" si="71">F118</f>
        <v>15</v>
      </c>
      <c r="G121" s="48">
        <f t="shared" si="66"/>
        <v>57.75</v>
      </c>
      <c r="H121" s="48">
        <v>55</v>
      </c>
      <c r="I121" s="49">
        <f t="shared" si="71"/>
        <v>0.05</v>
      </c>
      <c r="J121" s="31">
        <f t="shared" si="71"/>
        <v>1</v>
      </c>
      <c r="K121" s="31">
        <f>(F121+G121+J121)*$K$5</f>
        <v>4.425</v>
      </c>
      <c r="L121" s="31">
        <f>(F121+G121+J121+K121)*$L$5</f>
        <v>2.34525</v>
      </c>
      <c r="M121" s="48">
        <f t="shared" si="37"/>
        <v>112.72835</v>
      </c>
      <c r="N121" s="48"/>
      <c r="O121" s="48">
        <f t="shared" si="67"/>
        <v>4436.987856</v>
      </c>
      <c r="P121" s="61" t="s">
        <v>468</v>
      </c>
      <c r="R121" s="46">
        <f t="shared" si="38"/>
        <v>4436.987856</v>
      </c>
      <c r="S121" s="46">
        <f t="shared" si="39"/>
        <v>80.52025</v>
      </c>
      <c r="T121" s="46" t="b">
        <f t="shared" si="40"/>
        <v>0</v>
      </c>
      <c r="U121" s="46" t="b">
        <f t="shared" si="41"/>
        <v>1</v>
      </c>
    </row>
    <row r="122" s="46" customFormat="1" ht="78.75" outlineLevel="1" spans="1:21">
      <c r="A122" s="32">
        <v>102</v>
      </c>
      <c r="B122" s="32" t="s">
        <v>466</v>
      </c>
      <c r="C122" s="32" t="s">
        <v>472</v>
      </c>
      <c r="D122" s="32" t="s">
        <v>94</v>
      </c>
      <c r="E122" s="32">
        <v>12.89</v>
      </c>
      <c r="F122" s="32">
        <v>10</v>
      </c>
      <c r="G122" s="48">
        <f t="shared" si="66"/>
        <v>47.25</v>
      </c>
      <c r="H122" s="48">
        <v>45</v>
      </c>
      <c r="I122" s="49">
        <f>I118</f>
        <v>0.05</v>
      </c>
      <c r="J122" s="31">
        <f>J118</f>
        <v>1</v>
      </c>
      <c r="K122" s="31">
        <f>(F122+G122+J122)*$K$5</f>
        <v>3.495</v>
      </c>
      <c r="L122" s="31">
        <f>(F122+G122+J122+K122)*$L$5</f>
        <v>1.85235</v>
      </c>
      <c r="M122" s="48">
        <f t="shared" si="37"/>
        <v>89.03629</v>
      </c>
      <c r="N122" s="48"/>
      <c r="O122" s="48">
        <f t="shared" si="67"/>
        <v>1147.6777781</v>
      </c>
      <c r="P122" s="61" t="s">
        <v>468</v>
      </c>
      <c r="R122" s="46">
        <f t="shared" si="38"/>
        <v>1147.6777781</v>
      </c>
      <c r="S122" s="46">
        <f t="shared" si="39"/>
        <v>63.59735</v>
      </c>
      <c r="T122" s="46" t="b">
        <f t="shared" si="40"/>
        <v>0</v>
      </c>
      <c r="U122" s="46" t="b">
        <f t="shared" si="41"/>
        <v>1</v>
      </c>
    </row>
    <row r="123" s="46" customFormat="1" ht="78.75" outlineLevel="1" spans="1:21">
      <c r="A123" s="32">
        <v>103</v>
      </c>
      <c r="B123" s="32" t="s">
        <v>466</v>
      </c>
      <c r="C123" s="32" t="s">
        <v>473</v>
      </c>
      <c r="D123" s="32" t="s">
        <v>94</v>
      </c>
      <c r="E123" s="32">
        <v>59.01</v>
      </c>
      <c r="F123" s="32">
        <f>F122</f>
        <v>10</v>
      </c>
      <c r="G123" s="48">
        <f t="shared" si="66"/>
        <v>44.1</v>
      </c>
      <c r="H123" s="48">
        <v>42</v>
      </c>
      <c r="I123" s="49">
        <f>I118</f>
        <v>0.05</v>
      </c>
      <c r="J123" s="31">
        <f>J118</f>
        <v>1</v>
      </c>
      <c r="K123" s="31">
        <f>(F123+G123+J123)*$K$5</f>
        <v>3.306</v>
      </c>
      <c r="L123" s="31">
        <f>(F123+G123+J123+K123)*$L$5</f>
        <v>1.75218</v>
      </c>
      <c r="M123" s="48">
        <f t="shared" si="37"/>
        <v>84.221452</v>
      </c>
      <c r="N123" s="48"/>
      <c r="O123" s="48">
        <f t="shared" si="67"/>
        <v>4969.90788252</v>
      </c>
      <c r="P123" s="61" t="s">
        <v>468</v>
      </c>
      <c r="R123" s="46">
        <f t="shared" si="38"/>
        <v>4969.90788252</v>
      </c>
      <c r="S123" s="46">
        <f t="shared" si="39"/>
        <v>60.15818</v>
      </c>
      <c r="T123" s="46" t="b">
        <f t="shared" si="40"/>
        <v>0</v>
      </c>
      <c r="U123" s="46" t="b">
        <f t="shared" si="41"/>
        <v>1</v>
      </c>
    </row>
    <row r="124" s="46" customFormat="1" ht="90" outlineLevel="1" spans="1:21">
      <c r="A124" s="32">
        <v>104</v>
      </c>
      <c r="B124" s="32" t="s">
        <v>466</v>
      </c>
      <c r="C124" s="32" t="s">
        <v>474</v>
      </c>
      <c r="D124" s="32" t="s">
        <v>94</v>
      </c>
      <c r="E124" s="32">
        <v>53.18</v>
      </c>
      <c r="F124" s="32">
        <f>F122</f>
        <v>10</v>
      </c>
      <c r="G124" s="48">
        <f t="shared" si="66"/>
        <v>36.75</v>
      </c>
      <c r="H124" s="48">
        <v>35</v>
      </c>
      <c r="I124" s="49">
        <f>I118</f>
        <v>0.05</v>
      </c>
      <c r="J124" s="31">
        <f>J118</f>
        <v>1</v>
      </c>
      <c r="K124" s="31">
        <f>(F124+G124+J124)*$K$5</f>
        <v>2.865</v>
      </c>
      <c r="L124" s="31">
        <f>(F124+G124+J124+K124)*$L$5</f>
        <v>1.51845</v>
      </c>
      <c r="M124" s="48">
        <f t="shared" si="37"/>
        <v>72.98683</v>
      </c>
      <c r="N124" s="48"/>
      <c r="O124" s="48">
        <f t="shared" si="67"/>
        <v>3881.4396194</v>
      </c>
      <c r="P124" s="61" t="s">
        <v>468</v>
      </c>
      <c r="R124" s="46">
        <f t="shared" si="38"/>
        <v>3881.4396194</v>
      </c>
      <c r="S124" s="46">
        <f t="shared" si="39"/>
        <v>52.13345</v>
      </c>
      <c r="T124" s="46" t="b">
        <f t="shared" si="40"/>
        <v>0</v>
      </c>
      <c r="U124" s="46" t="b">
        <f t="shared" si="41"/>
        <v>1</v>
      </c>
    </row>
    <row r="125" s="46" customFormat="1" ht="90" outlineLevel="1" spans="1:21">
      <c r="A125" s="32">
        <v>105</v>
      </c>
      <c r="B125" s="32" t="s">
        <v>466</v>
      </c>
      <c r="C125" s="32" t="s">
        <v>475</v>
      </c>
      <c r="D125" s="32" t="s">
        <v>94</v>
      </c>
      <c r="E125" s="32">
        <v>143.52</v>
      </c>
      <c r="F125" s="32">
        <f>F122</f>
        <v>10</v>
      </c>
      <c r="G125" s="48">
        <f t="shared" si="66"/>
        <v>33.6</v>
      </c>
      <c r="H125" s="48">
        <v>32</v>
      </c>
      <c r="I125" s="49">
        <f>I118</f>
        <v>0.05</v>
      </c>
      <c r="J125" s="31">
        <f>J118</f>
        <v>1</v>
      </c>
      <c r="K125" s="31">
        <f>(F125+G125+J125)*$K$5</f>
        <v>2.676</v>
      </c>
      <c r="L125" s="31">
        <f>(F125+G125+J125+K125)*$L$5</f>
        <v>1.41828</v>
      </c>
      <c r="M125" s="48">
        <f t="shared" si="37"/>
        <v>68.171992</v>
      </c>
      <c r="N125" s="48"/>
      <c r="O125" s="48">
        <f t="shared" si="67"/>
        <v>9784.04429184</v>
      </c>
      <c r="P125" s="61" t="s">
        <v>468</v>
      </c>
      <c r="R125" s="46">
        <f t="shared" si="38"/>
        <v>9784.04429184</v>
      </c>
      <c r="S125" s="46">
        <f t="shared" si="39"/>
        <v>48.69428</v>
      </c>
      <c r="T125" s="46" t="b">
        <f t="shared" si="40"/>
        <v>0</v>
      </c>
      <c r="U125" s="46" t="b">
        <f t="shared" si="41"/>
        <v>1</v>
      </c>
    </row>
    <row r="126" s="46" customFormat="1" ht="78.75" outlineLevel="1" spans="1:21">
      <c r="A126" s="32">
        <v>106</v>
      </c>
      <c r="B126" s="32" t="s">
        <v>466</v>
      </c>
      <c r="C126" s="32" t="s">
        <v>476</v>
      </c>
      <c r="D126" s="32" t="s">
        <v>94</v>
      </c>
      <c r="E126" s="32">
        <v>29.16</v>
      </c>
      <c r="F126" s="32">
        <f>F122</f>
        <v>10</v>
      </c>
      <c r="G126" s="48">
        <f t="shared" si="66"/>
        <v>26.25</v>
      </c>
      <c r="H126" s="48">
        <v>25</v>
      </c>
      <c r="I126" s="49">
        <f>I118</f>
        <v>0.05</v>
      </c>
      <c r="J126" s="31">
        <f>J118</f>
        <v>1</v>
      </c>
      <c r="K126" s="31">
        <f>(F126+G126+J126)*$K$5</f>
        <v>2.235</v>
      </c>
      <c r="L126" s="31">
        <f>(F126+G126+J126+K126)*$L$5</f>
        <v>1.18455</v>
      </c>
      <c r="M126" s="48">
        <f t="shared" si="37"/>
        <v>56.93737</v>
      </c>
      <c r="N126" s="48"/>
      <c r="O126" s="48">
        <f t="shared" si="67"/>
        <v>1660.2937092</v>
      </c>
      <c r="P126" s="61" t="s">
        <v>468</v>
      </c>
      <c r="R126" s="46">
        <f t="shared" si="38"/>
        <v>1660.2937092</v>
      </c>
      <c r="S126" s="46">
        <f t="shared" si="39"/>
        <v>40.66955</v>
      </c>
      <c r="T126" s="46" t="b">
        <f t="shared" si="40"/>
        <v>0</v>
      </c>
      <c r="U126" s="46" t="b">
        <f t="shared" si="41"/>
        <v>1</v>
      </c>
    </row>
    <row r="127" s="46" customFormat="1" ht="78.75" outlineLevel="1" spans="1:21">
      <c r="A127" s="32">
        <v>107</v>
      </c>
      <c r="B127" s="32" t="s">
        <v>466</v>
      </c>
      <c r="C127" s="32" t="s">
        <v>477</v>
      </c>
      <c r="D127" s="32" t="s">
        <v>94</v>
      </c>
      <c r="E127" s="32">
        <v>107.87</v>
      </c>
      <c r="F127" s="32">
        <f>F124</f>
        <v>10</v>
      </c>
      <c r="G127" s="48">
        <f t="shared" si="66"/>
        <v>21</v>
      </c>
      <c r="H127" s="48">
        <v>20</v>
      </c>
      <c r="I127" s="49">
        <f>I118</f>
        <v>0.05</v>
      </c>
      <c r="J127" s="31">
        <f>J118</f>
        <v>1</v>
      </c>
      <c r="K127" s="31">
        <f>(F127+G127+J127)*$K$5</f>
        <v>1.92</v>
      </c>
      <c r="L127" s="31">
        <f>(F127+G127+J127+K127)*$L$5</f>
        <v>1.0176</v>
      </c>
      <c r="M127" s="48">
        <f t="shared" si="37"/>
        <v>48.91264</v>
      </c>
      <c r="N127" s="48"/>
      <c r="O127" s="48">
        <f t="shared" si="67"/>
        <v>5276.2064768</v>
      </c>
      <c r="P127" s="61" t="s">
        <v>468</v>
      </c>
      <c r="R127" s="46">
        <f t="shared" si="38"/>
        <v>5276.2064768</v>
      </c>
      <c r="S127" s="46">
        <f t="shared" si="39"/>
        <v>34.9376</v>
      </c>
      <c r="T127" s="46" t="b">
        <f t="shared" si="40"/>
        <v>0</v>
      </c>
      <c r="U127" s="46" t="b">
        <f t="shared" si="41"/>
        <v>1</v>
      </c>
    </row>
    <row r="128" s="46" customFormat="1" outlineLevel="1" spans="1:21">
      <c r="A128" s="51">
        <v>108</v>
      </c>
      <c r="B128" s="51" t="s">
        <v>431</v>
      </c>
      <c r="C128" s="51" t="s">
        <v>478</v>
      </c>
      <c r="D128" s="51" t="s">
        <v>94</v>
      </c>
      <c r="E128" s="51">
        <v>102.51</v>
      </c>
      <c r="F128" s="51">
        <f>F93</f>
        <v>15</v>
      </c>
      <c r="G128" s="51">
        <f t="shared" si="66"/>
        <v>33.6</v>
      </c>
      <c r="H128" s="51">
        <f>H81</f>
        <v>32</v>
      </c>
      <c r="I128" s="57">
        <f>I93</f>
        <v>0.05</v>
      </c>
      <c r="J128" s="58">
        <v>12</v>
      </c>
      <c r="K128" s="58">
        <f>(F128+G128+J128)*$K$5</f>
        <v>3.636</v>
      </c>
      <c r="L128" s="58">
        <f>(F128+G128+J128+K128)*$L$5</f>
        <v>1.92708</v>
      </c>
      <c r="M128" s="53">
        <f t="shared" si="37"/>
        <v>92.628312</v>
      </c>
      <c r="N128" s="54"/>
      <c r="O128" s="51">
        <f t="shared" si="67"/>
        <v>9495.32826312</v>
      </c>
      <c r="P128" s="51"/>
      <c r="R128" s="46">
        <f t="shared" si="38"/>
        <v>9495.32826312</v>
      </c>
      <c r="S128" s="46">
        <f t="shared" si="39"/>
        <v>66.16308</v>
      </c>
      <c r="T128" s="46" t="b">
        <f t="shared" si="40"/>
        <v>0</v>
      </c>
      <c r="U128" s="46" t="b">
        <f t="shared" si="41"/>
        <v>1</v>
      </c>
    </row>
    <row r="129" s="46" customFormat="1" outlineLevel="1" spans="1:21">
      <c r="A129" s="62"/>
      <c r="B129" s="62"/>
      <c r="C129" s="62"/>
      <c r="D129" s="62"/>
      <c r="E129" s="62"/>
      <c r="F129" s="62"/>
      <c r="G129" s="62"/>
      <c r="H129" s="62"/>
      <c r="I129" s="63"/>
      <c r="J129" s="64"/>
      <c r="K129" s="64"/>
      <c r="L129" s="64"/>
      <c r="M129" s="65"/>
      <c r="N129" s="66"/>
      <c r="O129" s="62"/>
      <c r="P129" s="62"/>
      <c r="R129" s="46">
        <f t="shared" si="38"/>
        <v>0</v>
      </c>
      <c r="S129" s="46">
        <f t="shared" si="39"/>
        <v>0</v>
      </c>
      <c r="T129" s="46" t="b">
        <f t="shared" si="40"/>
        <v>1</v>
      </c>
      <c r="U129" s="46" t="b">
        <f t="shared" si="41"/>
        <v>1</v>
      </c>
    </row>
    <row r="130" s="46" customFormat="1" outlineLevel="1" spans="1:21">
      <c r="A130" s="52"/>
      <c r="B130" s="52"/>
      <c r="C130" s="52"/>
      <c r="D130" s="52"/>
      <c r="E130" s="52"/>
      <c r="F130" s="52"/>
      <c r="G130" s="52"/>
      <c r="H130" s="52"/>
      <c r="I130" s="59"/>
      <c r="J130" s="60"/>
      <c r="K130" s="60"/>
      <c r="L130" s="60"/>
      <c r="M130" s="55"/>
      <c r="N130" s="56"/>
      <c r="O130" s="52"/>
      <c r="P130" s="52"/>
      <c r="R130" s="46">
        <f t="shared" si="38"/>
        <v>0</v>
      </c>
      <c r="S130" s="46">
        <f t="shared" si="39"/>
        <v>0</v>
      </c>
      <c r="T130" s="46" t="b">
        <f t="shared" si="40"/>
        <v>1</v>
      </c>
      <c r="U130" s="46" t="b">
        <f t="shared" si="41"/>
        <v>1</v>
      </c>
    </row>
    <row r="131" s="46" customFormat="1" outlineLevel="1" spans="1:21">
      <c r="A131" s="51">
        <v>109</v>
      </c>
      <c r="B131" s="51" t="s">
        <v>431</v>
      </c>
      <c r="C131" s="51" t="s">
        <v>479</v>
      </c>
      <c r="D131" s="51" t="s">
        <v>94</v>
      </c>
      <c r="E131" s="51">
        <v>101.05</v>
      </c>
      <c r="F131" s="51">
        <f>F128</f>
        <v>15</v>
      </c>
      <c r="G131" s="51">
        <f t="shared" ref="G131:G158" si="72">H131*(1+I131)</f>
        <v>18.9</v>
      </c>
      <c r="H131" s="51">
        <v>18</v>
      </c>
      <c r="I131" s="57">
        <f>I128</f>
        <v>0.05</v>
      </c>
      <c r="J131" s="58">
        <v>8</v>
      </c>
      <c r="K131" s="58">
        <f>(F131+G131+J131)*$K$5</f>
        <v>2.514</v>
      </c>
      <c r="L131" s="58">
        <f>(F131+G131+J131+K131)*$L$5</f>
        <v>1.33242</v>
      </c>
      <c r="M131" s="53">
        <f t="shared" si="37"/>
        <v>64.044988</v>
      </c>
      <c r="N131" s="54"/>
      <c r="O131" s="51">
        <f t="shared" ref="O131:O158" si="73">M131*E131</f>
        <v>6471.7460374</v>
      </c>
      <c r="P131" s="51"/>
      <c r="R131" s="46">
        <f t="shared" si="38"/>
        <v>6471.7460374</v>
      </c>
      <c r="S131" s="46">
        <f t="shared" si="39"/>
        <v>45.74642</v>
      </c>
      <c r="T131" s="46" t="b">
        <f t="shared" si="40"/>
        <v>0</v>
      </c>
      <c r="U131" s="46" t="b">
        <f t="shared" si="41"/>
        <v>1</v>
      </c>
    </row>
    <row r="132" s="46" customFormat="1" outlineLevel="1" spans="1:21">
      <c r="A132" s="62"/>
      <c r="B132" s="62"/>
      <c r="C132" s="62"/>
      <c r="D132" s="62"/>
      <c r="E132" s="62"/>
      <c r="F132" s="62"/>
      <c r="G132" s="62"/>
      <c r="H132" s="62"/>
      <c r="I132" s="63"/>
      <c r="J132" s="64"/>
      <c r="K132" s="64"/>
      <c r="L132" s="64"/>
      <c r="M132" s="65"/>
      <c r="N132" s="66"/>
      <c r="O132" s="62"/>
      <c r="P132" s="62"/>
      <c r="R132" s="46">
        <f t="shared" si="38"/>
        <v>0</v>
      </c>
      <c r="S132" s="46">
        <f t="shared" si="39"/>
        <v>0</v>
      </c>
      <c r="T132" s="46" t="b">
        <f t="shared" si="40"/>
        <v>1</v>
      </c>
      <c r="U132" s="46" t="b">
        <f t="shared" si="41"/>
        <v>1</v>
      </c>
    </row>
    <row r="133" s="46" customFormat="1" outlineLevel="1" spans="1:21">
      <c r="A133" s="52"/>
      <c r="B133" s="52"/>
      <c r="C133" s="52"/>
      <c r="D133" s="52"/>
      <c r="E133" s="52"/>
      <c r="F133" s="52"/>
      <c r="G133" s="52"/>
      <c r="H133" s="52"/>
      <c r="I133" s="59"/>
      <c r="J133" s="60"/>
      <c r="K133" s="60"/>
      <c r="L133" s="60"/>
      <c r="M133" s="55"/>
      <c r="N133" s="56"/>
      <c r="O133" s="52"/>
      <c r="P133" s="52"/>
      <c r="R133" s="46">
        <f t="shared" si="38"/>
        <v>0</v>
      </c>
      <c r="S133" s="46">
        <f t="shared" si="39"/>
        <v>0</v>
      </c>
      <c r="T133" s="46" t="b">
        <f t="shared" si="40"/>
        <v>1</v>
      </c>
      <c r="U133" s="46" t="b">
        <f t="shared" si="41"/>
        <v>1</v>
      </c>
    </row>
    <row r="134" s="46" customFormat="1" ht="56.25" outlineLevel="1" spans="1:21">
      <c r="A134" s="32">
        <v>110</v>
      </c>
      <c r="B134" s="32" t="s">
        <v>480</v>
      </c>
      <c r="C134" s="32" t="s">
        <v>481</v>
      </c>
      <c r="D134" s="32" t="s">
        <v>88</v>
      </c>
      <c r="E134" s="32">
        <v>2</v>
      </c>
      <c r="F134" s="32">
        <v>35</v>
      </c>
      <c r="G134" s="48">
        <f t="shared" si="72"/>
        <v>237.35</v>
      </c>
      <c r="H134" s="48">
        <v>235</v>
      </c>
      <c r="I134" s="49">
        <v>0.01</v>
      </c>
      <c r="J134" s="31">
        <v>10</v>
      </c>
      <c r="K134" s="31">
        <f>(F134+G134+J134)*$K$5</f>
        <v>16.941</v>
      </c>
      <c r="L134" s="31">
        <f>(F134+G134+J134+K134)*$L$5</f>
        <v>8.97873</v>
      </c>
      <c r="M134" s="48">
        <f t="shared" si="37"/>
        <v>431.577622</v>
      </c>
      <c r="N134" s="48"/>
      <c r="O134" s="48">
        <f t="shared" si="73"/>
        <v>863.155244</v>
      </c>
      <c r="P134" s="32"/>
      <c r="R134" s="46">
        <f t="shared" si="38"/>
        <v>863.155244</v>
      </c>
      <c r="S134" s="46">
        <f t="shared" si="39"/>
        <v>308.26973</v>
      </c>
      <c r="T134" s="46" t="b">
        <f t="shared" si="40"/>
        <v>0</v>
      </c>
      <c r="U134" s="46" t="b">
        <f t="shared" si="41"/>
        <v>1</v>
      </c>
    </row>
    <row r="135" s="46" customFormat="1" ht="56.25" outlineLevel="1" spans="1:21">
      <c r="A135" s="32">
        <v>111</v>
      </c>
      <c r="B135" s="32" t="s">
        <v>480</v>
      </c>
      <c r="C135" s="32" t="s">
        <v>482</v>
      </c>
      <c r="D135" s="32" t="s">
        <v>88</v>
      </c>
      <c r="E135" s="32">
        <v>1</v>
      </c>
      <c r="F135" s="32">
        <f t="shared" ref="F135:J135" si="74">F134</f>
        <v>35</v>
      </c>
      <c r="G135" s="48">
        <f t="shared" si="72"/>
        <v>237.35</v>
      </c>
      <c r="H135" s="48">
        <f t="shared" si="74"/>
        <v>235</v>
      </c>
      <c r="I135" s="49">
        <f t="shared" si="74"/>
        <v>0.01</v>
      </c>
      <c r="J135" s="31">
        <f t="shared" si="74"/>
        <v>10</v>
      </c>
      <c r="K135" s="31">
        <f>(F135+G135+J135)*$K$5</f>
        <v>16.941</v>
      </c>
      <c r="L135" s="31">
        <f>(F135+G135+J135+K135)*$L$5</f>
        <v>8.97873</v>
      </c>
      <c r="M135" s="48">
        <f t="shared" si="37"/>
        <v>431.577622</v>
      </c>
      <c r="N135" s="48"/>
      <c r="O135" s="48">
        <f t="shared" si="73"/>
        <v>431.577622</v>
      </c>
      <c r="P135" s="32"/>
      <c r="R135" s="46">
        <f t="shared" si="38"/>
        <v>431.577622</v>
      </c>
      <c r="S135" s="46">
        <f t="shared" si="39"/>
        <v>308.26973</v>
      </c>
      <c r="T135" s="46" t="b">
        <f t="shared" si="40"/>
        <v>0</v>
      </c>
      <c r="U135" s="46" t="b">
        <f t="shared" si="41"/>
        <v>1</v>
      </c>
    </row>
    <row r="136" s="46" customFormat="1" ht="56.25" outlineLevel="1" spans="1:21">
      <c r="A136" s="32">
        <v>112</v>
      </c>
      <c r="B136" s="32" t="s">
        <v>480</v>
      </c>
      <c r="C136" s="32" t="s">
        <v>483</v>
      </c>
      <c r="D136" s="32" t="s">
        <v>88</v>
      </c>
      <c r="E136" s="32">
        <v>1</v>
      </c>
      <c r="F136" s="32">
        <f t="shared" ref="F136:J136" si="75">F134</f>
        <v>35</v>
      </c>
      <c r="G136" s="48">
        <f t="shared" si="72"/>
        <v>237.35</v>
      </c>
      <c r="H136" s="48">
        <f t="shared" si="75"/>
        <v>235</v>
      </c>
      <c r="I136" s="49">
        <f t="shared" si="75"/>
        <v>0.01</v>
      </c>
      <c r="J136" s="31">
        <f t="shared" si="75"/>
        <v>10</v>
      </c>
      <c r="K136" s="31">
        <f>(F136+G136+J136)*$K$5</f>
        <v>16.941</v>
      </c>
      <c r="L136" s="31">
        <f>(F136+G136+J136+K136)*$L$5</f>
        <v>8.97873</v>
      </c>
      <c r="M136" s="48">
        <f t="shared" si="37"/>
        <v>431.577622</v>
      </c>
      <c r="N136" s="48"/>
      <c r="O136" s="48">
        <f t="shared" si="73"/>
        <v>431.577622</v>
      </c>
      <c r="P136" s="32"/>
      <c r="R136" s="46">
        <f t="shared" si="38"/>
        <v>431.577622</v>
      </c>
      <c r="S136" s="46">
        <f t="shared" si="39"/>
        <v>308.26973</v>
      </c>
      <c r="T136" s="46" t="b">
        <f t="shared" si="40"/>
        <v>0</v>
      </c>
      <c r="U136" s="46" t="b">
        <f t="shared" si="41"/>
        <v>1</v>
      </c>
    </row>
    <row r="137" s="46" customFormat="1" ht="67.5" outlineLevel="1" spans="1:21">
      <c r="A137" s="32">
        <v>113</v>
      </c>
      <c r="B137" s="32" t="s">
        <v>480</v>
      </c>
      <c r="C137" s="32" t="s">
        <v>484</v>
      </c>
      <c r="D137" s="32" t="s">
        <v>88</v>
      </c>
      <c r="E137" s="32">
        <v>1</v>
      </c>
      <c r="F137" s="32">
        <f t="shared" ref="F137:J137" si="76">F134</f>
        <v>35</v>
      </c>
      <c r="G137" s="48">
        <f t="shared" si="72"/>
        <v>166.65</v>
      </c>
      <c r="H137" s="48">
        <v>165</v>
      </c>
      <c r="I137" s="49">
        <f t="shared" si="76"/>
        <v>0.01</v>
      </c>
      <c r="J137" s="31">
        <f t="shared" si="76"/>
        <v>10</v>
      </c>
      <c r="K137" s="31">
        <f>(F137+G137+J137)*$K$5</f>
        <v>12.699</v>
      </c>
      <c r="L137" s="31">
        <f>(F137+G137+J137+K137)*$L$5</f>
        <v>6.73047</v>
      </c>
      <c r="M137" s="48">
        <f t="shared" ref="M137:M200" si="77">(F137+G137+J137+K137+L137)*1.4</f>
        <v>323.511258</v>
      </c>
      <c r="N137" s="48"/>
      <c r="O137" s="48">
        <f t="shared" si="73"/>
        <v>323.511258</v>
      </c>
      <c r="P137" s="32"/>
      <c r="R137" s="46">
        <f t="shared" ref="R137:R200" si="78">E137*M137</f>
        <v>323.511258</v>
      </c>
      <c r="S137" s="46">
        <f t="shared" ref="S137:S200" si="79">F137+G137+J137+K137+L137</f>
        <v>231.07947</v>
      </c>
      <c r="T137" s="46" t="b">
        <f t="shared" ref="T137:T200" si="80">M137=S137</f>
        <v>0</v>
      </c>
      <c r="U137" s="46" t="b">
        <f t="shared" ref="U137:U200" si="81">R137=O137</f>
        <v>1</v>
      </c>
    </row>
    <row r="138" s="46" customFormat="1" ht="67.5" outlineLevel="1" spans="1:21">
      <c r="A138" s="32">
        <v>114</v>
      </c>
      <c r="B138" s="32" t="s">
        <v>480</v>
      </c>
      <c r="C138" s="32" t="s">
        <v>485</v>
      </c>
      <c r="D138" s="32" t="s">
        <v>88</v>
      </c>
      <c r="E138" s="32">
        <v>4</v>
      </c>
      <c r="F138" s="32">
        <f>F134</f>
        <v>35</v>
      </c>
      <c r="G138" s="48">
        <f t="shared" si="72"/>
        <v>166.65</v>
      </c>
      <c r="H138" s="48">
        <f t="shared" ref="H138:J138" si="82">H137</f>
        <v>165</v>
      </c>
      <c r="I138" s="49">
        <f t="shared" si="82"/>
        <v>0.01</v>
      </c>
      <c r="J138" s="31">
        <f t="shared" si="82"/>
        <v>10</v>
      </c>
      <c r="K138" s="31">
        <f>(F138+G138+J138)*$K$5</f>
        <v>12.699</v>
      </c>
      <c r="L138" s="31">
        <f>(F138+G138+J138+K138)*$L$5</f>
        <v>6.73047</v>
      </c>
      <c r="M138" s="48">
        <f t="shared" si="77"/>
        <v>323.511258</v>
      </c>
      <c r="N138" s="48"/>
      <c r="O138" s="48">
        <f t="shared" si="73"/>
        <v>1294.045032</v>
      </c>
      <c r="P138" s="32"/>
      <c r="R138" s="46">
        <f t="shared" si="78"/>
        <v>1294.045032</v>
      </c>
      <c r="S138" s="46">
        <f t="shared" si="79"/>
        <v>231.07947</v>
      </c>
      <c r="T138" s="46" t="b">
        <f t="shared" si="80"/>
        <v>0</v>
      </c>
      <c r="U138" s="46" t="b">
        <f t="shared" si="81"/>
        <v>1</v>
      </c>
    </row>
    <row r="139" s="46" customFormat="1" ht="67.5" outlineLevel="1" spans="1:21">
      <c r="A139" s="32">
        <v>115</v>
      </c>
      <c r="B139" s="32" t="s">
        <v>480</v>
      </c>
      <c r="C139" s="32" t="s">
        <v>486</v>
      </c>
      <c r="D139" s="32" t="s">
        <v>88</v>
      </c>
      <c r="E139" s="32">
        <v>2</v>
      </c>
      <c r="F139" s="32">
        <f>F134</f>
        <v>35</v>
      </c>
      <c r="G139" s="48">
        <f t="shared" si="72"/>
        <v>166.65</v>
      </c>
      <c r="H139" s="48">
        <f t="shared" ref="H139:J139" si="83">H137</f>
        <v>165</v>
      </c>
      <c r="I139" s="49">
        <f t="shared" si="83"/>
        <v>0.01</v>
      </c>
      <c r="J139" s="31">
        <f t="shared" si="83"/>
        <v>10</v>
      </c>
      <c r="K139" s="31">
        <f>(F139+G139+J139)*$K$5</f>
        <v>12.699</v>
      </c>
      <c r="L139" s="31">
        <f>(F139+G139+J139+K139)*$L$5</f>
        <v>6.73047</v>
      </c>
      <c r="M139" s="48">
        <f t="shared" si="77"/>
        <v>323.511258</v>
      </c>
      <c r="N139" s="48"/>
      <c r="O139" s="48">
        <f t="shared" si="73"/>
        <v>647.022516</v>
      </c>
      <c r="P139" s="32"/>
      <c r="R139" s="46">
        <f t="shared" si="78"/>
        <v>647.022516</v>
      </c>
      <c r="S139" s="46">
        <f t="shared" si="79"/>
        <v>231.07947</v>
      </c>
      <c r="T139" s="46" t="b">
        <f t="shared" si="80"/>
        <v>0</v>
      </c>
      <c r="U139" s="46" t="b">
        <f t="shared" si="81"/>
        <v>1</v>
      </c>
    </row>
    <row r="140" s="46" customFormat="1" ht="56.25" outlineLevel="1" spans="1:21">
      <c r="A140" s="32">
        <v>116</v>
      </c>
      <c r="B140" s="32" t="s">
        <v>480</v>
      </c>
      <c r="C140" s="32" t="s">
        <v>487</v>
      </c>
      <c r="D140" s="32" t="s">
        <v>88</v>
      </c>
      <c r="E140" s="32">
        <v>4</v>
      </c>
      <c r="F140" s="32">
        <f>F134</f>
        <v>35</v>
      </c>
      <c r="G140" s="48">
        <f t="shared" si="72"/>
        <v>151.5</v>
      </c>
      <c r="H140" s="48">
        <v>150</v>
      </c>
      <c r="I140" s="49">
        <f>I137</f>
        <v>0.01</v>
      </c>
      <c r="J140" s="31">
        <f>J137</f>
        <v>10</v>
      </c>
      <c r="K140" s="31">
        <f>(F140+G140+J140)*$K$5</f>
        <v>11.79</v>
      </c>
      <c r="L140" s="31">
        <f>(F140+G140+J140+K140)*$L$5</f>
        <v>6.2487</v>
      </c>
      <c r="M140" s="48">
        <f t="shared" si="77"/>
        <v>300.35418</v>
      </c>
      <c r="N140" s="48"/>
      <c r="O140" s="48">
        <f t="shared" si="73"/>
        <v>1201.41672</v>
      </c>
      <c r="P140" s="32"/>
      <c r="R140" s="46">
        <f t="shared" si="78"/>
        <v>1201.41672</v>
      </c>
      <c r="S140" s="46">
        <f t="shared" si="79"/>
        <v>214.5387</v>
      </c>
      <c r="T140" s="46" t="b">
        <f t="shared" si="80"/>
        <v>0</v>
      </c>
      <c r="U140" s="46" t="b">
        <f t="shared" si="81"/>
        <v>1</v>
      </c>
    </row>
    <row r="141" s="46" customFormat="1" ht="56.25" outlineLevel="1" spans="1:21">
      <c r="A141" s="32">
        <v>117</v>
      </c>
      <c r="B141" s="32" t="s">
        <v>480</v>
      </c>
      <c r="C141" s="32" t="s">
        <v>488</v>
      </c>
      <c r="D141" s="32" t="s">
        <v>88</v>
      </c>
      <c r="E141" s="32">
        <v>3</v>
      </c>
      <c r="F141" s="32">
        <f t="shared" ref="F141:J141" si="84">F134</f>
        <v>35</v>
      </c>
      <c r="G141" s="48">
        <f t="shared" si="72"/>
        <v>151.5</v>
      </c>
      <c r="H141" s="48">
        <f>H140</f>
        <v>150</v>
      </c>
      <c r="I141" s="49">
        <f t="shared" si="84"/>
        <v>0.01</v>
      </c>
      <c r="J141" s="30">
        <f t="shared" si="84"/>
        <v>10</v>
      </c>
      <c r="K141" s="31">
        <f>(F141+G141+J141)*$K$5</f>
        <v>11.79</v>
      </c>
      <c r="L141" s="31">
        <f>(F141+G141+J141+K141)*$L$5</f>
        <v>6.2487</v>
      </c>
      <c r="M141" s="48">
        <f t="shared" si="77"/>
        <v>300.35418</v>
      </c>
      <c r="N141" s="48"/>
      <c r="O141" s="48">
        <f t="shared" si="73"/>
        <v>901.06254</v>
      </c>
      <c r="P141" s="32"/>
      <c r="R141" s="46">
        <f t="shared" si="78"/>
        <v>901.06254</v>
      </c>
      <c r="S141" s="46">
        <f t="shared" si="79"/>
        <v>214.5387</v>
      </c>
      <c r="T141" s="46" t="b">
        <f t="shared" si="80"/>
        <v>0</v>
      </c>
      <c r="U141" s="46" t="b">
        <f t="shared" si="81"/>
        <v>1</v>
      </c>
    </row>
    <row r="142" s="46" customFormat="1" ht="67.5" outlineLevel="1" spans="1:21">
      <c r="A142" s="32">
        <v>118</v>
      </c>
      <c r="B142" s="32" t="s">
        <v>480</v>
      </c>
      <c r="C142" s="32" t="s">
        <v>489</v>
      </c>
      <c r="D142" s="32" t="s">
        <v>88</v>
      </c>
      <c r="E142" s="32">
        <v>1</v>
      </c>
      <c r="F142" s="32">
        <f t="shared" ref="F142:J142" si="85">F134</f>
        <v>35</v>
      </c>
      <c r="G142" s="48">
        <f t="shared" si="72"/>
        <v>151.5</v>
      </c>
      <c r="H142" s="48">
        <f>H140</f>
        <v>150</v>
      </c>
      <c r="I142" s="49">
        <f t="shared" si="85"/>
        <v>0.01</v>
      </c>
      <c r="J142" s="30">
        <f t="shared" si="85"/>
        <v>10</v>
      </c>
      <c r="K142" s="31">
        <f>(F142+G142+J142)*$K$5</f>
        <v>11.79</v>
      </c>
      <c r="L142" s="31">
        <f>(F142+G142+J142+K142)*$L$5</f>
        <v>6.2487</v>
      </c>
      <c r="M142" s="48">
        <f t="shared" si="77"/>
        <v>300.35418</v>
      </c>
      <c r="N142" s="48"/>
      <c r="O142" s="48">
        <f t="shared" si="73"/>
        <v>300.35418</v>
      </c>
      <c r="P142" s="32"/>
      <c r="R142" s="46">
        <f t="shared" si="78"/>
        <v>300.35418</v>
      </c>
      <c r="S142" s="46">
        <f t="shared" si="79"/>
        <v>214.5387</v>
      </c>
      <c r="T142" s="46" t="b">
        <f t="shared" si="80"/>
        <v>0</v>
      </c>
      <c r="U142" s="46" t="b">
        <f t="shared" si="81"/>
        <v>1</v>
      </c>
    </row>
    <row r="143" s="46" customFormat="1" ht="67.5" outlineLevel="1" spans="1:21">
      <c r="A143" s="32">
        <v>119</v>
      </c>
      <c r="B143" s="32" t="s">
        <v>480</v>
      </c>
      <c r="C143" s="32" t="s">
        <v>490</v>
      </c>
      <c r="D143" s="32" t="s">
        <v>88</v>
      </c>
      <c r="E143" s="32">
        <v>2</v>
      </c>
      <c r="F143" s="32">
        <f t="shared" ref="F143:J143" si="86">F134</f>
        <v>35</v>
      </c>
      <c r="G143" s="48">
        <f t="shared" si="72"/>
        <v>151.5</v>
      </c>
      <c r="H143" s="48">
        <f>H140</f>
        <v>150</v>
      </c>
      <c r="I143" s="49">
        <f t="shared" si="86"/>
        <v>0.01</v>
      </c>
      <c r="J143" s="30">
        <f t="shared" si="86"/>
        <v>10</v>
      </c>
      <c r="K143" s="31">
        <f>(F143+G143+J143)*$K$5</f>
        <v>11.79</v>
      </c>
      <c r="L143" s="31">
        <f>(F143+G143+J143+K143)*$L$5</f>
        <v>6.2487</v>
      </c>
      <c r="M143" s="48">
        <f t="shared" si="77"/>
        <v>300.35418</v>
      </c>
      <c r="N143" s="48"/>
      <c r="O143" s="48">
        <f t="shared" si="73"/>
        <v>600.70836</v>
      </c>
      <c r="P143" s="32"/>
      <c r="R143" s="46">
        <f t="shared" si="78"/>
        <v>600.70836</v>
      </c>
      <c r="S143" s="46">
        <f t="shared" si="79"/>
        <v>214.5387</v>
      </c>
      <c r="T143" s="46" t="b">
        <f t="shared" si="80"/>
        <v>0</v>
      </c>
      <c r="U143" s="46" t="b">
        <f t="shared" si="81"/>
        <v>1</v>
      </c>
    </row>
    <row r="144" s="46" customFormat="1" ht="56.25" outlineLevel="1" spans="1:21">
      <c r="A144" s="32">
        <v>120</v>
      </c>
      <c r="B144" s="32" t="s">
        <v>480</v>
      </c>
      <c r="C144" s="32" t="s">
        <v>491</v>
      </c>
      <c r="D144" s="32" t="s">
        <v>88</v>
      </c>
      <c r="E144" s="32">
        <v>1</v>
      </c>
      <c r="F144" s="32">
        <f t="shared" ref="F144:J144" si="87">F134</f>
        <v>35</v>
      </c>
      <c r="G144" s="48">
        <f t="shared" si="72"/>
        <v>85.85</v>
      </c>
      <c r="H144" s="48">
        <v>85</v>
      </c>
      <c r="I144" s="49">
        <f t="shared" si="87"/>
        <v>0.01</v>
      </c>
      <c r="J144" s="30">
        <f t="shared" si="87"/>
        <v>10</v>
      </c>
      <c r="K144" s="31">
        <f>(F144+G144+J144)*$K$5</f>
        <v>7.851</v>
      </c>
      <c r="L144" s="31">
        <f>(F144+G144+J144+K144)*$L$5</f>
        <v>4.16103</v>
      </c>
      <c r="M144" s="48">
        <f t="shared" si="77"/>
        <v>200.006842</v>
      </c>
      <c r="N144" s="48"/>
      <c r="O144" s="48">
        <f t="shared" si="73"/>
        <v>200.006842</v>
      </c>
      <c r="P144" s="32"/>
      <c r="R144" s="46">
        <f t="shared" si="78"/>
        <v>200.006842</v>
      </c>
      <c r="S144" s="46">
        <f t="shared" si="79"/>
        <v>142.86203</v>
      </c>
      <c r="T144" s="46" t="b">
        <f t="shared" si="80"/>
        <v>0</v>
      </c>
      <c r="U144" s="46" t="b">
        <f t="shared" si="81"/>
        <v>1</v>
      </c>
    </row>
    <row r="145" s="46" customFormat="1" ht="56.25" outlineLevel="1" spans="1:21">
      <c r="A145" s="32">
        <v>121</v>
      </c>
      <c r="B145" s="32" t="s">
        <v>480</v>
      </c>
      <c r="C145" s="32" t="s">
        <v>492</v>
      </c>
      <c r="D145" s="32" t="s">
        <v>88</v>
      </c>
      <c r="E145" s="32">
        <v>2</v>
      </c>
      <c r="F145" s="32">
        <f t="shared" ref="F145:J145" si="88">F134</f>
        <v>35</v>
      </c>
      <c r="G145" s="48">
        <f t="shared" si="72"/>
        <v>85.85</v>
      </c>
      <c r="H145" s="48">
        <f>H144</f>
        <v>85</v>
      </c>
      <c r="I145" s="49">
        <f t="shared" si="88"/>
        <v>0.01</v>
      </c>
      <c r="J145" s="30">
        <f t="shared" si="88"/>
        <v>10</v>
      </c>
      <c r="K145" s="31">
        <f>(F145+G145+J145)*$K$5</f>
        <v>7.851</v>
      </c>
      <c r="L145" s="31">
        <f>(F145+G145+J145+K145)*$L$5</f>
        <v>4.16103</v>
      </c>
      <c r="M145" s="48">
        <f t="shared" si="77"/>
        <v>200.006842</v>
      </c>
      <c r="N145" s="48"/>
      <c r="O145" s="48">
        <f t="shared" si="73"/>
        <v>400.013684</v>
      </c>
      <c r="P145" s="32"/>
      <c r="R145" s="46">
        <f t="shared" si="78"/>
        <v>400.013684</v>
      </c>
      <c r="S145" s="46">
        <f t="shared" si="79"/>
        <v>142.86203</v>
      </c>
      <c r="T145" s="46" t="b">
        <f t="shared" si="80"/>
        <v>0</v>
      </c>
      <c r="U145" s="46" t="b">
        <f t="shared" si="81"/>
        <v>1</v>
      </c>
    </row>
    <row r="146" s="46" customFormat="1" ht="56.25" outlineLevel="1" spans="1:21">
      <c r="A146" s="32">
        <v>122</v>
      </c>
      <c r="B146" s="32" t="s">
        <v>480</v>
      </c>
      <c r="C146" s="32" t="s">
        <v>493</v>
      </c>
      <c r="D146" s="32" t="s">
        <v>88</v>
      </c>
      <c r="E146" s="32">
        <v>1</v>
      </c>
      <c r="F146" s="32">
        <f t="shared" ref="F146:J146" si="89">F134</f>
        <v>35</v>
      </c>
      <c r="G146" s="48">
        <f t="shared" si="72"/>
        <v>85.85</v>
      </c>
      <c r="H146" s="48">
        <f>H144</f>
        <v>85</v>
      </c>
      <c r="I146" s="49">
        <f t="shared" si="89"/>
        <v>0.01</v>
      </c>
      <c r="J146" s="30">
        <f t="shared" si="89"/>
        <v>10</v>
      </c>
      <c r="K146" s="31">
        <f>(F146+G146+J146)*$K$5</f>
        <v>7.851</v>
      </c>
      <c r="L146" s="31">
        <f>(F146+G146+J146+K146)*$L$5</f>
        <v>4.16103</v>
      </c>
      <c r="M146" s="48">
        <f t="shared" si="77"/>
        <v>200.006842</v>
      </c>
      <c r="N146" s="48"/>
      <c r="O146" s="48">
        <f t="shared" si="73"/>
        <v>200.006842</v>
      </c>
      <c r="P146" s="32"/>
      <c r="R146" s="46">
        <f t="shared" si="78"/>
        <v>200.006842</v>
      </c>
      <c r="S146" s="46">
        <f t="shared" si="79"/>
        <v>142.86203</v>
      </c>
      <c r="T146" s="46" t="b">
        <f t="shared" si="80"/>
        <v>0</v>
      </c>
      <c r="U146" s="46" t="b">
        <f t="shared" si="81"/>
        <v>1</v>
      </c>
    </row>
    <row r="147" s="46" customFormat="1" ht="56.25" outlineLevel="1" spans="1:21">
      <c r="A147" s="32">
        <v>123</v>
      </c>
      <c r="B147" s="32" t="s">
        <v>480</v>
      </c>
      <c r="C147" s="32" t="s">
        <v>494</v>
      </c>
      <c r="D147" s="32" t="s">
        <v>88</v>
      </c>
      <c r="E147" s="32">
        <v>1</v>
      </c>
      <c r="F147" s="32">
        <f t="shared" ref="F147:J147" si="90">F134</f>
        <v>35</v>
      </c>
      <c r="G147" s="48">
        <f t="shared" si="72"/>
        <v>85.85</v>
      </c>
      <c r="H147" s="48">
        <f>H144</f>
        <v>85</v>
      </c>
      <c r="I147" s="49">
        <f t="shared" si="90"/>
        <v>0.01</v>
      </c>
      <c r="J147" s="30">
        <f t="shared" si="90"/>
        <v>10</v>
      </c>
      <c r="K147" s="31">
        <f>(F147+G147+J147)*$K$5</f>
        <v>7.851</v>
      </c>
      <c r="L147" s="31">
        <f>(F147+G147+J147+K147)*$L$5</f>
        <v>4.16103</v>
      </c>
      <c r="M147" s="48">
        <f t="shared" si="77"/>
        <v>200.006842</v>
      </c>
      <c r="N147" s="48"/>
      <c r="O147" s="48">
        <f t="shared" si="73"/>
        <v>200.006842</v>
      </c>
      <c r="P147" s="32"/>
      <c r="R147" s="46">
        <f t="shared" si="78"/>
        <v>200.006842</v>
      </c>
      <c r="S147" s="46">
        <f t="shared" si="79"/>
        <v>142.86203</v>
      </c>
      <c r="T147" s="46" t="b">
        <f t="shared" si="80"/>
        <v>0</v>
      </c>
      <c r="U147" s="46" t="b">
        <f t="shared" si="81"/>
        <v>1</v>
      </c>
    </row>
    <row r="148" s="46" customFormat="1" ht="67.5" outlineLevel="1" spans="1:21">
      <c r="A148" s="32">
        <v>124</v>
      </c>
      <c r="B148" s="32" t="s">
        <v>480</v>
      </c>
      <c r="C148" s="32" t="s">
        <v>495</v>
      </c>
      <c r="D148" s="32" t="s">
        <v>88</v>
      </c>
      <c r="E148" s="32">
        <v>4</v>
      </c>
      <c r="F148" s="32">
        <f t="shared" ref="F148:J148" si="91">F134</f>
        <v>35</v>
      </c>
      <c r="G148" s="48">
        <f t="shared" si="72"/>
        <v>85.85</v>
      </c>
      <c r="H148" s="48">
        <f>H144</f>
        <v>85</v>
      </c>
      <c r="I148" s="49">
        <f t="shared" si="91"/>
        <v>0.01</v>
      </c>
      <c r="J148" s="30">
        <f t="shared" si="91"/>
        <v>10</v>
      </c>
      <c r="K148" s="31">
        <f>(F148+G148+J148)*$K$5</f>
        <v>7.851</v>
      </c>
      <c r="L148" s="31">
        <f>(F148+G148+J148+K148)*$L$5</f>
        <v>4.16103</v>
      </c>
      <c r="M148" s="48">
        <f t="shared" si="77"/>
        <v>200.006842</v>
      </c>
      <c r="N148" s="48"/>
      <c r="O148" s="48">
        <f t="shared" si="73"/>
        <v>800.027368</v>
      </c>
      <c r="P148" s="32"/>
      <c r="R148" s="46">
        <f t="shared" si="78"/>
        <v>800.027368</v>
      </c>
      <c r="S148" s="46">
        <f t="shared" si="79"/>
        <v>142.86203</v>
      </c>
      <c r="T148" s="46" t="b">
        <f t="shared" si="80"/>
        <v>0</v>
      </c>
      <c r="U148" s="46" t="b">
        <f t="shared" si="81"/>
        <v>1</v>
      </c>
    </row>
    <row r="149" s="46" customFormat="1" ht="67.5" outlineLevel="1" spans="1:21">
      <c r="A149" s="32">
        <v>125</v>
      </c>
      <c r="B149" s="32" t="s">
        <v>480</v>
      </c>
      <c r="C149" s="32" t="s">
        <v>496</v>
      </c>
      <c r="D149" s="32" t="s">
        <v>88</v>
      </c>
      <c r="E149" s="32">
        <v>2</v>
      </c>
      <c r="F149" s="32">
        <f t="shared" ref="F149:J149" si="92">F134</f>
        <v>35</v>
      </c>
      <c r="G149" s="48">
        <f t="shared" si="72"/>
        <v>85.85</v>
      </c>
      <c r="H149" s="48">
        <f>H144</f>
        <v>85</v>
      </c>
      <c r="I149" s="49">
        <f t="shared" si="92"/>
        <v>0.01</v>
      </c>
      <c r="J149" s="30">
        <f t="shared" si="92"/>
        <v>10</v>
      </c>
      <c r="K149" s="31">
        <f>(F149+G149+J149)*$K$5</f>
        <v>7.851</v>
      </c>
      <c r="L149" s="31">
        <f>(F149+G149+J149+K149)*$L$5</f>
        <v>4.16103</v>
      </c>
      <c r="M149" s="48">
        <f t="shared" si="77"/>
        <v>200.006842</v>
      </c>
      <c r="N149" s="48"/>
      <c r="O149" s="48">
        <f t="shared" si="73"/>
        <v>400.013684</v>
      </c>
      <c r="P149" s="32"/>
      <c r="R149" s="46">
        <f t="shared" si="78"/>
        <v>400.013684</v>
      </c>
      <c r="S149" s="46">
        <f t="shared" si="79"/>
        <v>142.86203</v>
      </c>
      <c r="T149" s="46" t="b">
        <f t="shared" si="80"/>
        <v>0</v>
      </c>
      <c r="U149" s="46" t="b">
        <f t="shared" si="81"/>
        <v>1</v>
      </c>
    </row>
    <row r="150" s="46" customFormat="1" ht="67.5" outlineLevel="1" spans="1:21">
      <c r="A150" s="32">
        <v>126</v>
      </c>
      <c r="B150" s="32" t="s">
        <v>480</v>
      </c>
      <c r="C150" s="32" t="s">
        <v>497</v>
      </c>
      <c r="D150" s="32" t="s">
        <v>88</v>
      </c>
      <c r="E150" s="32">
        <v>2</v>
      </c>
      <c r="F150" s="32">
        <f t="shared" ref="F150:J150" si="93">F134</f>
        <v>35</v>
      </c>
      <c r="G150" s="48">
        <f t="shared" si="72"/>
        <v>85.85</v>
      </c>
      <c r="H150" s="48">
        <f t="shared" ref="H150:H154" si="94">H148</f>
        <v>85</v>
      </c>
      <c r="I150" s="49">
        <f t="shared" si="93"/>
        <v>0.01</v>
      </c>
      <c r="J150" s="30">
        <f t="shared" si="93"/>
        <v>10</v>
      </c>
      <c r="K150" s="31">
        <f>(F150+G150+J150)*$K$5</f>
        <v>7.851</v>
      </c>
      <c r="L150" s="31">
        <f>(F150+G150+J150+K150)*$L$5</f>
        <v>4.16103</v>
      </c>
      <c r="M150" s="48">
        <f t="shared" si="77"/>
        <v>200.006842</v>
      </c>
      <c r="N150" s="48"/>
      <c r="O150" s="48">
        <f t="shared" si="73"/>
        <v>400.013684</v>
      </c>
      <c r="P150" s="32"/>
      <c r="R150" s="46">
        <f t="shared" si="78"/>
        <v>400.013684</v>
      </c>
      <c r="S150" s="46">
        <f t="shared" si="79"/>
        <v>142.86203</v>
      </c>
      <c r="T150" s="46" t="b">
        <f t="shared" si="80"/>
        <v>0</v>
      </c>
      <c r="U150" s="46" t="b">
        <f t="shared" si="81"/>
        <v>1</v>
      </c>
    </row>
    <row r="151" s="46" customFormat="1" ht="67.5" outlineLevel="1" spans="1:21">
      <c r="A151" s="32">
        <v>127</v>
      </c>
      <c r="B151" s="32" t="s">
        <v>480</v>
      </c>
      <c r="C151" s="32" t="s">
        <v>498</v>
      </c>
      <c r="D151" s="32" t="s">
        <v>88</v>
      </c>
      <c r="E151" s="32">
        <v>1</v>
      </c>
      <c r="F151" s="32">
        <f t="shared" ref="F151:J151" si="95">F134</f>
        <v>35</v>
      </c>
      <c r="G151" s="48">
        <f t="shared" si="72"/>
        <v>85.85</v>
      </c>
      <c r="H151" s="48">
        <f>H150</f>
        <v>85</v>
      </c>
      <c r="I151" s="49">
        <f t="shared" si="95"/>
        <v>0.01</v>
      </c>
      <c r="J151" s="30">
        <f t="shared" si="95"/>
        <v>10</v>
      </c>
      <c r="K151" s="31">
        <f>(F151+G151+J151)*$K$5</f>
        <v>7.851</v>
      </c>
      <c r="L151" s="31">
        <f>(F151+G151+J151+K151)*$L$5</f>
        <v>4.16103</v>
      </c>
      <c r="M151" s="48">
        <f t="shared" si="77"/>
        <v>200.006842</v>
      </c>
      <c r="N151" s="48"/>
      <c r="O151" s="48">
        <f t="shared" si="73"/>
        <v>200.006842</v>
      </c>
      <c r="P151" s="32"/>
      <c r="R151" s="46">
        <f t="shared" si="78"/>
        <v>200.006842</v>
      </c>
      <c r="S151" s="46">
        <f t="shared" si="79"/>
        <v>142.86203</v>
      </c>
      <c r="T151" s="46" t="b">
        <f t="shared" si="80"/>
        <v>0</v>
      </c>
      <c r="U151" s="46" t="b">
        <f t="shared" si="81"/>
        <v>1</v>
      </c>
    </row>
    <row r="152" s="46" customFormat="1" ht="67.5" outlineLevel="1" spans="1:21">
      <c r="A152" s="32">
        <v>128</v>
      </c>
      <c r="B152" s="32" t="s">
        <v>480</v>
      </c>
      <c r="C152" s="32" t="s">
        <v>499</v>
      </c>
      <c r="D152" s="32" t="s">
        <v>88</v>
      </c>
      <c r="E152" s="32">
        <v>2</v>
      </c>
      <c r="F152" s="32">
        <f t="shared" ref="F152:J152" si="96">F134</f>
        <v>35</v>
      </c>
      <c r="G152" s="48">
        <f t="shared" si="72"/>
        <v>85.85</v>
      </c>
      <c r="H152" s="48">
        <f t="shared" si="94"/>
        <v>85</v>
      </c>
      <c r="I152" s="49">
        <f t="shared" si="96"/>
        <v>0.01</v>
      </c>
      <c r="J152" s="30">
        <f t="shared" si="96"/>
        <v>10</v>
      </c>
      <c r="K152" s="31">
        <f>(F152+G152+J152)*$K$5</f>
        <v>7.851</v>
      </c>
      <c r="L152" s="31">
        <f>(F152+G152+J152+K152)*$L$5</f>
        <v>4.16103</v>
      </c>
      <c r="M152" s="48">
        <f t="shared" si="77"/>
        <v>200.006842</v>
      </c>
      <c r="N152" s="48"/>
      <c r="O152" s="48">
        <f t="shared" si="73"/>
        <v>400.013684</v>
      </c>
      <c r="P152" s="32"/>
      <c r="R152" s="46">
        <f t="shared" si="78"/>
        <v>400.013684</v>
      </c>
      <c r="S152" s="46">
        <f t="shared" si="79"/>
        <v>142.86203</v>
      </c>
      <c r="T152" s="46" t="b">
        <f t="shared" si="80"/>
        <v>0</v>
      </c>
      <c r="U152" s="46" t="b">
        <f t="shared" si="81"/>
        <v>1</v>
      </c>
    </row>
    <row r="153" s="46" customFormat="1" ht="56.25" outlineLevel="1" spans="1:21">
      <c r="A153" s="32">
        <v>129</v>
      </c>
      <c r="B153" s="32" t="s">
        <v>480</v>
      </c>
      <c r="C153" s="32" t="s">
        <v>500</v>
      </c>
      <c r="D153" s="32" t="s">
        <v>88</v>
      </c>
      <c r="E153" s="32">
        <v>3</v>
      </c>
      <c r="F153" s="32">
        <f t="shared" ref="F153:J153" si="97">F134</f>
        <v>35</v>
      </c>
      <c r="G153" s="48">
        <f t="shared" si="72"/>
        <v>85.85</v>
      </c>
      <c r="H153" s="48">
        <f>H152</f>
        <v>85</v>
      </c>
      <c r="I153" s="49">
        <f t="shared" si="97"/>
        <v>0.01</v>
      </c>
      <c r="J153" s="30">
        <f t="shared" si="97"/>
        <v>10</v>
      </c>
      <c r="K153" s="31">
        <f>(F153+G153+J153)*$K$5</f>
        <v>7.851</v>
      </c>
      <c r="L153" s="31">
        <f>(F153+G153+J153+K153)*$L$5</f>
        <v>4.16103</v>
      </c>
      <c r="M153" s="48">
        <f t="shared" si="77"/>
        <v>200.006842</v>
      </c>
      <c r="N153" s="48"/>
      <c r="O153" s="48">
        <f t="shared" si="73"/>
        <v>600.020526</v>
      </c>
      <c r="P153" s="32"/>
      <c r="R153" s="46">
        <f t="shared" si="78"/>
        <v>600.020526</v>
      </c>
      <c r="S153" s="46">
        <f t="shared" si="79"/>
        <v>142.86203</v>
      </c>
      <c r="T153" s="46" t="b">
        <f t="shared" si="80"/>
        <v>0</v>
      </c>
      <c r="U153" s="46" t="b">
        <f t="shared" si="81"/>
        <v>1</v>
      </c>
    </row>
    <row r="154" s="46" customFormat="1" ht="56.25" outlineLevel="1" spans="1:21">
      <c r="A154" s="32">
        <v>130</v>
      </c>
      <c r="B154" s="32" t="s">
        <v>480</v>
      </c>
      <c r="C154" s="32" t="s">
        <v>501</v>
      </c>
      <c r="D154" s="32" t="s">
        <v>88</v>
      </c>
      <c r="E154" s="32">
        <v>5</v>
      </c>
      <c r="F154" s="32">
        <f t="shared" ref="F154:J154" si="98">F134</f>
        <v>35</v>
      </c>
      <c r="G154" s="48">
        <f t="shared" si="72"/>
        <v>85.85</v>
      </c>
      <c r="H154" s="48">
        <f t="shared" si="94"/>
        <v>85</v>
      </c>
      <c r="I154" s="49">
        <f t="shared" si="98"/>
        <v>0.01</v>
      </c>
      <c r="J154" s="30">
        <f t="shared" si="98"/>
        <v>10</v>
      </c>
      <c r="K154" s="31">
        <f>(F154+G154+J154)*$K$5</f>
        <v>7.851</v>
      </c>
      <c r="L154" s="31">
        <f>(F154+G154+J154+K154)*$L$5</f>
        <v>4.16103</v>
      </c>
      <c r="M154" s="48">
        <f t="shared" si="77"/>
        <v>200.006842</v>
      </c>
      <c r="N154" s="48"/>
      <c r="O154" s="48">
        <f t="shared" si="73"/>
        <v>1000.03421</v>
      </c>
      <c r="P154" s="32"/>
      <c r="R154" s="46">
        <f t="shared" si="78"/>
        <v>1000.03421</v>
      </c>
      <c r="S154" s="46">
        <f t="shared" si="79"/>
        <v>142.86203</v>
      </c>
      <c r="T154" s="46" t="b">
        <f t="shared" si="80"/>
        <v>0</v>
      </c>
      <c r="U154" s="46" t="b">
        <f t="shared" si="81"/>
        <v>1</v>
      </c>
    </row>
    <row r="155" s="46" customFormat="1" ht="56.25" outlineLevel="1" spans="1:21">
      <c r="A155" s="32">
        <v>131</v>
      </c>
      <c r="B155" s="32" t="s">
        <v>480</v>
      </c>
      <c r="C155" s="32" t="s">
        <v>502</v>
      </c>
      <c r="D155" s="32" t="s">
        <v>88</v>
      </c>
      <c r="E155" s="32">
        <v>3</v>
      </c>
      <c r="F155" s="32">
        <f t="shared" ref="F155:J155" si="99">F134</f>
        <v>35</v>
      </c>
      <c r="G155" s="48">
        <f t="shared" si="72"/>
        <v>85.85</v>
      </c>
      <c r="H155" s="48">
        <f>H152</f>
        <v>85</v>
      </c>
      <c r="I155" s="49">
        <f t="shared" si="99"/>
        <v>0.01</v>
      </c>
      <c r="J155" s="30">
        <f t="shared" si="99"/>
        <v>10</v>
      </c>
      <c r="K155" s="31">
        <f>(F155+G155+J155)*$K$5</f>
        <v>7.851</v>
      </c>
      <c r="L155" s="31">
        <f>(F155+G155+J155+K155)*$L$5</f>
        <v>4.16103</v>
      </c>
      <c r="M155" s="48">
        <f t="shared" si="77"/>
        <v>200.006842</v>
      </c>
      <c r="N155" s="48"/>
      <c r="O155" s="48">
        <f t="shared" si="73"/>
        <v>600.020526</v>
      </c>
      <c r="P155" s="32"/>
      <c r="R155" s="46">
        <f t="shared" si="78"/>
        <v>600.020526</v>
      </c>
      <c r="S155" s="46">
        <f t="shared" si="79"/>
        <v>142.86203</v>
      </c>
      <c r="T155" s="46" t="b">
        <f t="shared" si="80"/>
        <v>0</v>
      </c>
      <c r="U155" s="46" t="b">
        <f t="shared" si="81"/>
        <v>1</v>
      </c>
    </row>
    <row r="156" s="46" customFormat="1" ht="56.25" outlineLevel="1" spans="1:21">
      <c r="A156" s="32">
        <v>132</v>
      </c>
      <c r="B156" s="32" t="s">
        <v>503</v>
      </c>
      <c r="C156" s="32" t="s">
        <v>504</v>
      </c>
      <c r="D156" s="32" t="s">
        <v>505</v>
      </c>
      <c r="E156" s="32">
        <v>0.42</v>
      </c>
      <c r="F156" s="32">
        <v>700</v>
      </c>
      <c r="G156" s="48">
        <f t="shared" si="72"/>
        <v>1545</v>
      </c>
      <c r="H156" s="48">
        <v>1500</v>
      </c>
      <c r="I156" s="49">
        <v>0.03</v>
      </c>
      <c r="J156" s="31">
        <v>160</v>
      </c>
      <c r="K156" s="31">
        <f>(F156+G156+J156)*$K$5</f>
        <v>144.3</v>
      </c>
      <c r="L156" s="31">
        <f>(F156+G156+J156+K156)*$L$5</f>
        <v>76.479</v>
      </c>
      <c r="M156" s="48">
        <f t="shared" si="77"/>
        <v>3676.0906</v>
      </c>
      <c r="N156" s="48"/>
      <c r="O156" s="48">
        <f t="shared" si="73"/>
        <v>1543.958052</v>
      </c>
      <c r="P156" s="32"/>
      <c r="R156" s="46">
        <f t="shared" si="78"/>
        <v>1543.958052</v>
      </c>
      <c r="S156" s="46">
        <f t="shared" si="79"/>
        <v>2625.779</v>
      </c>
      <c r="T156" s="46" t="b">
        <f t="shared" si="80"/>
        <v>0</v>
      </c>
      <c r="U156" s="46" t="b">
        <f t="shared" si="81"/>
        <v>1</v>
      </c>
    </row>
    <row r="157" s="46" customFormat="1" ht="56.25" outlineLevel="1" spans="1:21">
      <c r="A157" s="32">
        <v>133</v>
      </c>
      <c r="B157" s="32" t="s">
        <v>503</v>
      </c>
      <c r="C157" s="32" t="s">
        <v>506</v>
      </c>
      <c r="D157" s="32" t="s">
        <v>505</v>
      </c>
      <c r="E157" s="32">
        <v>2.33</v>
      </c>
      <c r="F157" s="32">
        <f t="shared" ref="F157:J157" si="100">F156</f>
        <v>700</v>
      </c>
      <c r="G157" s="48">
        <f t="shared" si="72"/>
        <v>1545</v>
      </c>
      <c r="H157" s="48">
        <f t="shared" si="100"/>
        <v>1500</v>
      </c>
      <c r="I157" s="49">
        <f t="shared" si="100"/>
        <v>0.03</v>
      </c>
      <c r="J157" s="31">
        <f t="shared" si="100"/>
        <v>160</v>
      </c>
      <c r="K157" s="31">
        <f>(F157+G157+J157)*$K$5</f>
        <v>144.3</v>
      </c>
      <c r="L157" s="31">
        <f>(F157+G157+J157+K157)*$L$5</f>
        <v>76.479</v>
      </c>
      <c r="M157" s="48">
        <f t="shared" si="77"/>
        <v>3676.0906</v>
      </c>
      <c r="N157" s="48"/>
      <c r="O157" s="48">
        <f t="shared" si="73"/>
        <v>8565.291098</v>
      </c>
      <c r="P157" s="32"/>
      <c r="R157" s="46">
        <f t="shared" si="78"/>
        <v>8565.291098</v>
      </c>
      <c r="S157" s="46">
        <f t="shared" si="79"/>
        <v>2625.779</v>
      </c>
      <c r="T157" s="46" t="b">
        <f t="shared" si="80"/>
        <v>0</v>
      </c>
      <c r="U157" s="46" t="b">
        <f t="shared" si="81"/>
        <v>1</v>
      </c>
    </row>
    <row r="158" s="46" customFormat="1" ht="33.75" outlineLevel="1" spans="1:21">
      <c r="A158" s="32">
        <v>134</v>
      </c>
      <c r="B158" s="32" t="s">
        <v>507</v>
      </c>
      <c r="C158" s="32" t="s">
        <v>508</v>
      </c>
      <c r="D158" s="32" t="s">
        <v>380</v>
      </c>
      <c r="E158" s="32">
        <v>1</v>
      </c>
      <c r="F158" s="32">
        <v>1800</v>
      </c>
      <c r="G158" s="48">
        <f t="shared" si="72"/>
        <v>0</v>
      </c>
      <c r="H158" s="48">
        <v>0</v>
      </c>
      <c r="I158" s="49">
        <v>0</v>
      </c>
      <c r="J158" s="31">
        <v>1500</v>
      </c>
      <c r="K158" s="31">
        <f>(F158+G158+J158)*$K$5</f>
        <v>198</v>
      </c>
      <c r="L158" s="31">
        <f>(F158+G158+J158+K158)*$L$5</f>
        <v>104.94</v>
      </c>
      <c r="M158" s="48">
        <f t="shared" si="77"/>
        <v>5044.116</v>
      </c>
      <c r="N158" s="48"/>
      <c r="O158" s="48">
        <f t="shared" si="73"/>
        <v>5044.116</v>
      </c>
      <c r="P158" s="32"/>
      <c r="R158" s="46">
        <f t="shared" si="78"/>
        <v>5044.116</v>
      </c>
      <c r="S158" s="46">
        <f t="shared" si="79"/>
        <v>3602.94</v>
      </c>
      <c r="T158" s="46" t="b">
        <f t="shared" si="80"/>
        <v>0</v>
      </c>
      <c r="U158" s="46" t="b">
        <f t="shared" si="81"/>
        <v>1</v>
      </c>
    </row>
    <row r="159" s="46" customFormat="1" spans="1:21">
      <c r="A159" s="32"/>
      <c r="B159" s="32" t="s">
        <v>509</v>
      </c>
      <c r="C159" s="32"/>
      <c r="D159" s="32"/>
      <c r="E159" s="32"/>
      <c r="F159" s="32"/>
      <c r="G159" s="48"/>
      <c r="H159" s="48"/>
      <c r="I159" s="49"/>
      <c r="J159" s="31"/>
      <c r="K159" s="31"/>
      <c r="L159" s="31"/>
      <c r="M159" s="48">
        <f t="shared" si="77"/>
        <v>0</v>
      </c>
      <c r="N159" s="48"/>
      <c r="O159" s="48"/>
      <c r="P159" s="32"/>
      <c r="R159" s="46">
        <f t="shared" si="78"/>
        <v>0</v>
      </c>
      <c r="S159" s="46">
        <f t="shared" si="79"/>
        <v>0</v>
      </c>
      <c r="T159" s="46" t="b">
        <f t="shared" si="80"/>
        <v>1</v>
      </c>
      <c r="U159" s="46" t="b">
        <f t="shared" si="81"/>
        <v>1</v>
      </c>
    </row>
    <row r="160" s="46" customFormat="1" spans="1:21">
      <c r="A160" s="32"/>
      <c r="B160" s="32" t="s">
        <v>325</v>
      </c>
      <c r="C160" s="32"/>
      <c r="D160" s="32"/>
      <c r="E160" s="32"/>
      <c r="F160" s="32"/>
      <c r="G160" s="48"/>
      <c r="H160" s="48"/>
      <c r="I160" s="49"/>
      <c r="J160" s="31"/>
      <c r="K160" s="31"/>
      <c r="L160" s="31"/>
      <c r="M160" s="48">
        <f t="shared" si="77"/>
        <v>0</v>
      </c>
      <c r="N160" s="48"/>
      <c r="O160" s="48"/>
      <c r="P160" s="32"/>
      <c r="R160" s="46">
        <f t="shared" si="78"/>
        <v>0</v>
      </c>
      <c r="S160" s="46">
        <f t="shared" si="79"/>
        <v>0</v>
      </c>
      <c r="T160" s="46" t="b">
        <f t="shared" si="80"/>
        <v>1</v>
      </c>
      <c r="U160" s="46" t="b">
        <f t="shared" si="81"/>
        <v>1</v>
      </c>
    </row>
    <row r="161" s="46" customFormat="1" ht="56.25" outlineLevel="1" spans="1:21">
      <c r="A161" s="32">
        <v>135</v>
      </c>
      <c r="B161" s="32" t="s">
        <v>326</v>
      </c>
      <c r="C161" s="32" t="s">
        <v>510</v>
      </c>
      <c r="D161" s="32" t="s">
        <v>328</v>
      </c>
      <c r="E161" s="32">
        <v>1</v>
      </c>
      <c r="F161" s="32">
        <f>F9</f>
        <v>200</v>
      </c>
      <c r="G161" s="48">
        <f t="shared" ref="G161:G192" si="101">H161*(1+I161)</f>
        <v>2222</v>
      </c>
      <c r="H161" s="48">
        <f t="shared" ref="H161:J161" si="102">H8</f>
        <v>2200</v>
      </c>
      <c r="I161" s="49">
        <f t="shared" si="102"/>
        <v>0.01</v>
      </c>
      <c r="J161" s="31">
        <f t="shared" si="102"/>
        <v>50</v>
      </c>
      <c r="K161" s="31">
        <f>(F161+G161+J161)*$K$5</f>
        <v>148.32</v>
      </c>
      <c r="L161" s="31">
        <f>(F161+G161+J161+K161)*$L$5</f>
        <v>78.6096</v>
      </c>
      <c r="M161" s="48">
        <f t="shared" si="77"/>
        <v>3778.50144</v>
      </c>
      <c r="N161" s="48"/>
      <c r="O161" s="48">
        <f t="shared" ref="O161:O192" si="103">M161*E161</f>
        <v>3778.50144</v>
      </c>
      <c r="P161" s="32"/>
      <c r="R161" s="46">
        <f t="shared" si="78"/>
        <v>3778.50144</v>
      </c>
      <c r="S161" s="46">
        <f t="shared" si="79"/>
        <v>2698.9296</v>
      </c>
      <c r="T161" s="46" t="b">
        <f t="shared" si="80"/>
        <v>0</v>
      </c>
      <c r="U161" s="46" t="b">
        <f t="shared" si="81"/>
        <v>1</v>
      </c>
    </row>
    <row r="162" s="46" customFormat="1" ht="78.75" outlineLevel="1" spans="1:21">
      <c r="A162" s="32">
        <v>136</v>
      </c>
      <c r="B162" s="32" t="s">
        <v>326</v>
      </c>
      <c r="C162" s="32" t="s">
        <v>511</v>
      </c>
      <c r="D162" s="32" t="s">
        <v>328</v>
      </c>
      <c r="E162" s="32">
        <v>1</v>
      </c>
      <c r="F162" s="32">
        <f>F9</f>
        <v>200</v>
      </c>
      <c r="G162" s="48">
        <f t="shared" si="101"/>
        <v>1313</v>
      </c>
      <c r="H162" s="48">
        <v>1300</v>
      </c>
      <c r="I162" s="49">
        <f>I161</f>
        <v>0.01</v>
      </c>
      <c r="J162" s="31">
        <v>50</v>
      </c>
      <c r="K162" s="31">
        <f>(F162+G162+J162)*$K$5</f>
        <v>93.78</v>
      </c>
      <c r="L162" s="31">
        <f>(F162+G162+J162+K162)*$L$5</f>
        <v>49.7034</v>
      </c>
      <c r="M162" s="48">
        <f t="shared" si="77"/>
        <v>2389.07676</v>
      </c>
      <c r="N162" s="48"/>
      <c r="O162" s="48">
        <f t="shared" si="103"/>
        <v>2389.07676</v>
      </c>
      <c r="P162" s="32"/>
      <c r="R162" s="46">
        <f t="shared" si="78"/>
        <v>2389.07676</v>
      </c>
      <c r="S162" s="46">
        <f t="shared" si="79"/>
        <v>1706.4834</v>
      </c>
      <c r="T162" s="46" t="b">
        <f t="shared" si="80"/>
        <v>0</v>
      </c>
      <c r="U162" s="46" t="b">
        <f t="shared" si="81"/>
        <v>1</v>
      </c>
    </row>
    <row r="163" s="46" customFormat="1" ht="81" customHeight="1" outlineLevel="1" spans="1:21">
      <c r="A163" s="32">
        <v>137</v>
      </c>
      <c r="B163" s="32" t="s">
        <v>326</v>
      </c>
      <c r="C163" s="32" t="s">
        <v>512</v>
      </c>
      <c r="D163" s="32" t="s">
        <v>328</v>
      </c>
      <c r="E163" s="32">
        <v>1</v>
      </c>
      <c r="F163" s="32">
        <v>150</v>
      </c>
      <c r="G163" s="48">
        <f t="shared" si="101"/>
        <v>757.5</v>
      </c>
      <c r="H163" s="48">
        <v>750</v>
      </c>
      <c r="I163" s="49">
        <f>I161</f>
        <v>0.01</v>
      </c>
      <c r="J163" s="31">
        <f>J162</f>
        <v>50</v>
      </c>
      <c r="K163" s="31">
        <f>(F163+G163+J163)*$K$5</f>
        <v>57.45</v>
      </c>
      <c r="L163" s="31">
        <f>(F163+G163+J163+K163)*$L$5</f>
        <v>30.4485</v>
      </c>
      <c r="M163" s="48">
        <f t="shared" si="77"/>
        <v>1463.5579</v>
      </c>
      <c r="N163" s="48"/>
      <c r="O163" s="48">
        <f t="shared" si="103"/>
        <v>1463.5579</v>
      </c>
      <c r="P163" s="32"/>
      <c r="R163" s="46">
        <f t="shared" si="78"/>
        <v>1463.5579</v>
      </c>
      <c r="S163" s="46">
        <f t="shared" si="79"/>
        <v>1045.3985</v>
      </c>
      <c r="T163" s="46" t="b">
        <f t="shared" si="80"/>
        <v>0</v>
      </c>
      <c r="U163" s="46" t="b">
        <f t="shared" si="81"/>
        <v>1</v>
      </c>
    </row>
    <row r="164" s="46" customFormat="1" ht="56.25" outlineLevel="1" spans="1:21">
      <c r="A164" s="32">
        <v>138</v>
      </c>
      <c r="B164" s="32" t="s">
        <v>338</v>
      </c>
      <c r="C164" s="32" t="s">
        <v>339</v>
      </c>
      <c r="D164" s="32" t="s">
        <v>94</v>
      </c>
      <c r="E164" s="32">
        <v>273.32</v>
      </c>
      <c r="F164" s="32">
        <f t="shared" ref="F164:J164" si="104">F15</f>
        <v>10</v>
      </c>
      <c r="G164" s="48">
        <f t="shared" si="101"/>
        <v>5.665</v>
      </c>
      <c r="H164" s="32">
        <f t="shared" si="104"/>
        <v>5.5</v>
      </c>
      <c r="I164" s="49">
        <f t="shared" si="104"/>
        <v>0.03</v>
      </c>
      <c r="J164" s="30">
        <f t="shared" si="104"/>
        <v>2</v>
      </c>
      <c r="K164" s="31">
        <f>(F164+G164+J164)*$K$5</f>
        <v>1.0599</v>
      </c>
      <c r="L164" s="31">
        <f>(F164+G164+J164+K164)*$L$5</f>
        <v>0.561747</v>
      </c>
      <c r="M164" s="48">
        <f t="shared" si="77"/>
        <v>27.0013058</v>
      </c>
      <c r="N164" s="48"/>
      <c r="O164" s="48">
        <f t="shared" si="103"/>
        <v>7379.996901256</v>
      </c>
      <c r="P164" s="32"/>
      <c r="R164" s="46">
        <f t="shared" si="78"/>
        <v>7379.996901256</v>
      </c>
      <c r="S164" s="46">
        <f t="shared" si="79"/>
        <v>19.286647</v>
      </c>
      <c r="T164" s="46" t="b">
        <f t="shared" si="80"/>
        <v>0</v>
      </c>
      <c r="U164" s="46" t="b">
        <f t="shared" si="81"/>
        <v>1</v>
      </c>
    </row>
    <row r="165" s="46" customFormat="1" ht="56.25" outlineLevel="1" spans="1:21">
      <c r="A165" s="32">
        <v>139</v>
      </c>
      <c r="B165" s="32" t="s">
        <v>338</v>
      </c>
      <c r="C165" s="32" t="s">
        <v>341</v>
      </c>
      <c r="D165" s="32" t="s">
        <v>94</v>
      </c>
      <c r="E165" s="32">
        <v>174.61</v>
      </c>
      <c r="F165" s="32">
        <f t="shared" ref="F165:J165" si="105">F16</f>
        <v>10</v>
      </c>
      <c r="G165" s="48">
        <f t="shared" si="101"/>
        <v>5.665</v>
      </c>
      <c r="H165" s="32">
        <f t="shared" si="105"/>
        <v>5.5</v>
      </c>
      <c r="I165" s="49">
        <f t="shared" si="105"/>
        <v>0.03</v>
      </c>
      <c r="J165" s="30">
        <f t="shared" si="105"/>
        <v>2</v>
      </c>
      <c r="K165" s="31">
        <f>(F165+G165+J165)*$K$5</f>
        <v>1.0599</v>
      </c>
      <c r="L165" s="31">
        <f>(F165+G165+J165+K165)*$L$5</f>
        <v>0.561747</v>
      </c>
      <c r="M165" s="48">
        <f t="shared" si="77"/>
        <v>27.0013058</v>
      </c>
      <c r="N165" s="48"/>
      <c r="O165" s="48">
        <f t="shared" si="103"/>
        <v>4714.698005738</v>
      </c>
      <c r="P165" s="32"/>
      <c r="R165" s="46">
        <f t="shared" si="78"/>
        <v>4714.698005738</v>
      </c>
      <c r="S165" s="46">
        <f t="shared" si="79"/>
        <v>19.286647</v>
      </c>
      <c r="T165" s="46" t="b">
        <f t="shared" si="80"/>
        <v>0</v>
      </c>
      <c r="U165" s="46" t="b">
        <f t="shared" si="81"/>
        <v>1</v>
      </c>
    </row>
    <row r="166" s="46" customFormat="1" ht="56.25" outlineLevel="1" spans="1:21">
      <c r="A166" s="32">
        <v>140</v>
      </c>
      <c r="B166" s="32" t="s">
        <v>338</v>
      </c>
      <c r="C166" s="32" t="s">
        <v>342</v>
      </c>
      <c r="D166" s="32" t="s">
        <v>94</v>
      </c>
      <c r="E166" s="32">
        <v>19.22</v>
      </c>
      <c r="F166" s="32">
        <f t="shared" ref="F166:J166" si="106">F17</f>
        <v>10</v>
      </c>
      <c r="G166" s="48">
        <f t="shared" si="101"/>
        <v>8.858</v>
      </c>
      <c r="H166" s="32">
        <f t="shared" si="106"/>
        <v>8.6</v>
      </c>
      <c r="I166" s="49">
        <f t="shared" si="106"/>
        <v>0.03</v>
      </c>
      <c r="J166" s="30">
        <f t="shared" si="106"/>
        <v>2</v>
      </c>
      <c r="K166" s="31">
        <f>(F166+G166+J166)*$K$5</f>
        <v>1.25148</v>
      </c>
      <c r="L166" s="31">
        <f>(F166+G166+J166+K166)*$L$5</f>
        <v>0.6632844</v>
      </c>
      <c r="M166" s="48">
        <f t="shared" si="77"/>
        <v>31.88187016</v>
      </c>
      <c r="N166" s="48"/>
      <c r="O166" s="48">
        <f t="shared" si="103"/>
        <v>612.7695444752</v>
      </c>
      <c r="P166" s="32"/>
      <c r="R166" s="46">
        <f t="shared" si="78"/>
        <v>612.7695444752</v>
      </c>
      <c r="S166" s="46">
        <f t="shared" si="79"/>
        <v>22.7727644</v>
      </c>
      <c r="T166" s="46" t="b">
        <f t="shared" si="80"/>
        <v>0</v>
      </c>
      <c r="U166" s="46" t="b">
        <f t="shared" si="81"/>
        <v>1</v>
      </c>
    </row>
    <row r="167" s="46" customFormat="1" ht="56.25" outlineLevel="1" spans="1:21">
      <c r="A167" s="32">
        <v>141</v>
      </c>
      <c r="B167" s="32" t="s">
        <v>338</v>
      </c>
      <c r="C167" s="32" t="s">
        <v>343</v>
      </c>
      <c r="D167" s="32" t="s">
        <v>94</v>
      </c>
      <c r="E167" s="32">
        <v>10.6</v>
      </c>
      <c r="F167" s="32">
        <f t="shared" ref="F167:J167" si="107">F18</f>
        <v>10</v>
      </c>
      <c r="G167" s="48">
        <f t="shared" si="101"/>
        <v>8.858</v>
      </c>
      <c r="H167" s="32">
        <f t="shared" si="107"/>
        <v>8.6</v>
      </c>
      <c r="I167" s="49">
        <f t="shared" si="107"/>
        <v>0.03</v>
      </c>
      <c r="J167" s="30">
        <f t="shared" si="107"/>
        <v>2</v>
      </c>
      <c r="K167" s="31">
        <f>(F167+G167+J167)*$K$5</f>
        <v>1.25148</v>
      </c>
      <c r="L167" s="31">
        <f>(F167+G167+J167+K167)*$L$5</f>
        <v>0.6632844</v>
      </c>
      <c r="M167" s="48">
        <f t="shared" si="77"/>
        <v>31.88187016</v>
      </c>
      <c r="N167" s="48"/>
      <c r="O167" s="48">
        <f t="shared" si="103"/>
        <v>337.947823696</v>
      </c>
      <c r="P167" s="32"/>
      <c r="R167" s="46">
        <f t="shared" si="78"/>
        <v>337.947823696</v>
      </c>
      <c r="S167" s="46">
        <f t="shared" si="79"/>
        <v>22.7727644</v>
      </c>
      <c r="T167" s="46" t="b">
        <f t="shared" si="80"/>
        <v>0</v>
      </c>
      <c r="U167" s="46" t="b">
        <f t="shared" si="81"/>
        <v>1</v>
      </c>
    </row>
    <row r="168" s="46" customFormat="1" ht="56.25" outlineLevel="1" spans="1:21">
      <c r="A168" s="32">
        <v>142</v>
      </c>
      <c r="B168" s="32" t="s">
        <v>338</v>
      </c>
      <c r="C168" s="32" t="s">
        <v>513</v>
      </c>
      <c r="D168" s="32" t="s">
        <v>94</v>
      </c>
      <c r="E168" s="32">
        <v>28.99</v>
      </c>
      <c r="F168" s="32">
        <v>20</v>
      </c>
      <c r="G168" s="48">
        <f t="shared" si="101"/>
        <v>39.14</v>
      </c>
      <c r="H168" s="48">
        <v>38</v>
      </c>
      <c r="I168" s="49">
        <v>0.03</v>
      </c>
      <c r="J168" s="31">
        <v>5</v>
      </c>
      <c r="K168" s="31">
        <f>(F168+G168+J168)*$K$5</f>
        <v>3.8484</v>
      </c>
      <c r="L168" s="31">
        <f>(F168+G168+J168+K168)*$L$5</f>
        <v>2.039652</v>
      </c>
      <c r="M168" s="48">
        <f t="shared" si="77"/>
        <v>98.0392728</v>
      </c>
      <c r="N168" s="48"/>
      <c r="O168" s="48">
        <f t="shared" si="103"/>
        <v>2842.158518472</v>
      </c>
      <c r="P168" s="32"/>
      <c r="R168" s="46">
        <f t="shared" si="78"/>
        <v>2842.158518472</v>
      </c>
      <c r="S168" s="46">
        <f t="shared" si="79"/>
        <v>70.028052</v>
      </c>
      <c r="T168" s="46" t="b">
        <f t="shared" si="80"/>
        <v>0</v>
      </c>
      <c r="U168" s="46" t="b">
        <f t="shared" si="81"/>
        <v>1</v>
      </c>
    </row>
    <row r="169" s="46" customFormat="1" ht="56.25" outlineLevel="1" spans="1:21">
      <c r="A169" s="32">
        <v>143</v>
      </c>
      <c r="B169" s="32" t="s">
        <v>338</v>
      </c>
      <c r="C169" s="32" t="s">
        <v>514</v>
      </c>
      <c r="D169" s="32" t="s">
        <v>94</v>
      </c>
      <c r="E169" s="32">
        <v>33.02</v>
      </c>
      <c r="F169" s="32">
        <f>F168</f>
        <v>20</v>
      </c>
      <c r="G169" s="48">
        <f t="shared" si="101"/>
        <v>49.44</v>
      </c>
      <c r="H169" s="48">
        <v>48</v>
      </c>
      <c r="I169" s="49">
        <v>0.03</v>
      </c>
      <c r="J169" s="31">
        <v>5</v>
      </c>
      <c r="K169" s="31">
        <f>(F169+G169+J169)*$K$5</f>
        <v>4.4664</v>
      </c>
      <c r="L169" s="31">
        <f>(F169+G169+J169+K169)*$L$5</f>
        <v>2.367192</v>
      </c>
      <c r="M169" s="48">
        <f t="shared" si="77"/>
        <v>113.7830288</v>
      </c>
      <c r="N169" s="48"/>
      <c r="O169" s="48">
        <f t="shared" si="103"/>
        <v>3757.115610976</v>
      </c>
      <c r="P169" s="32"/>
      <c r="R169" s="46">
        <f t="shared" si="78"/>
        <v>3757.115610976</v>
      </c>
      <c r="S169" s="46">
        <f t="shared" si="79"/>
        <v>81.273592</v>
      </c>
      <c r="T169" s="46" t="b">
        <f t="shared" si="80"/>
        <v>0</v>
      </c>
      <c r="U169" s="46" t="b">
        <f t="shared" si="81"/>
        <v>1</v>
      </c>
    </row>
    <row r="170" s="46" customFormat="1" ht="56.25" outlineLevel="1" spans="1:21">
      <c r="A170" s="32">
        <v>144</v>
      </c>
      <c r="B170" s="32" t="s">
        <v>338</v>
      </c>
      <c r="C170" s="32" t="s">
        <v>515</v>
      </c>
      <c r="D170" s="32" t="s">
        <v>94</v>
      </c>
      <c r="E170" s="32">
        <v>12.25</v>
      </c>
      <c r="F170" s="32">
        <v>38</v>
      </c>
      <c r="G170" s="48">
        <f t="shared" si="101"/>
        <v>66.95</v>
      </c>
      <c r="H170" s="48">
        <v>65</v>
      </c>
      <c r="I170" s="49">
        <v>0.03</v>
      </c>
      <c r="J170" s="31">
        <v>5</v>
      </c>
      <c r="K170" s="31">
        <f>(F170+G170+J170)*$K$5</f>
        <v>6.597</v>
      </c>
      <c r="L170" s="31">
        <f>(F170+G170+J170+K170)*$L$5</f>
        <v>3.49641</v>
      </c>
      <c r="M170" s="48">
        <f t="shared" si="77"/>
        <v>168.060774</v>
      </c>
      <c r="N170" s="48"/>
      <c r="O170" s="48">
        <f t="shared" si="103"/>
        <v>2058.7444815</v>
      </c>
      <c r="P170" s="32"/>
      <c r="R170" s="46">
        <f t="shared" si="78"/>
        <v>2058.7444815</v>
      </c>
      <c r="S170" s="46">
        <f t="shared" si="79"/>
        <v>120.04341</v>
      </c>
      <c r="T170" s="46" t="b">
        <f t="shared" si="80"/>
        <v>0</v>
      </c>
      <c r="U170" s="46" t="b">
        <f t="shared" si="81"/>
        <v>1</v>
      </c>
    </row>
    <row r="171" s="46" customFormat="1" ht="67.5" outlineLevel="1" spans="1:21">
      <c r="A171" s="32">
        <v>145</v>
      </c>
      <c r="B171" s="32" t="s">
        <v>344</v>
      </c>
      <c r="C171" s="32" t="s">
        <v>516</v>
      </c>
      <c r="D171" s="32" t="s">
        <v>94</v>
      </c>
      <c r="E171" s="32">
        <v>51.97</v>
      </c>
      <c r="F171" s="32">
        <v>15</v>
      </c>
      <c r="G171" s="48">
        <f t="shared" si="101"/>
        <v>38.11</v>
      </c>
      <c r="H171" s="48">
        <v>37</v>
      </c>
      <c r="I171" s="49">
        <v>0.03</v>
      </c>
      <c r="J171" s="31">
        <v>5</v>
      </c>
      <c r="K171" s="31">
        <f>(F171+G171+J171)*$K$5</f>
        <v>3.4866</v>
      </c>
      <c r="L171" s="31">
        <f>(F171+G171+J171+K171)*$L$5</f>
        <v>1.847898</v>
      </c>
      <c r="M171" s="48">
        <f t="shared" si="77"/>
        <v>88.8222972</v>
      </c>
      <c r="N171" s="48"/>
      <c r="O171" s="48">
        <f t="shared" si="103"/>
        <v>4616.094785484</v>
      </c>
      <c r="P171" s="32"/>
      <c r="R171" s="46">
        <f t="shared" si="78"/>
        <v>4616.094785484</v>
      </c>
      <c r="S171" s="46">
        <f t="shared" si="79"/>
        <v>63.444498</v>
      </c>
      <c r="T171" s="46" t="b">
        <f t="shared" si="80"/>
        <v>0</v>
      </c>
      <c r="U171" s="46" t="b">
        <f t="shared" si="81"/>
        <v>1</v>
      </c>
    </row>
    <row r="172" s="46" customFormat="1" ht="67.5" outlineLevel="1" spans="1:21">
      <c r="A172" s="32">
        <v>146</v>
      </c>
      <c r="B172" s="32" t="s">
        <v>344</v>
      </c>
      <c r="C172" s="32" t="s">
        <v>517</v>
      </c>
      <c r="D172" s="32" t="s">
        <v>94</v>
      </c>
      <c r="E172" s="32">
        <v>60.61</v>
      </c>
      <c r="F172" s="32">
        <f t="shared" ref="F172:J172" si="108">F171</f>
        <v>15</v>
      </c>
      <c r="G172" s="48">
        <f t="shared" si="101"/>
        <v>60.77</v>
      </c>
      <c r="H172" s="48">
        <v>59</v>
      </c>
      <c r="I172" s="49">
        <f t="shared" si="108"/>
        <v>0.03</v>
      </c>
      <c r="J172" s="31">
        <f t="shared" si="108"/>
        <v>5</v>
      </c>
      <c r="K172" s="31">
        <f>(F172+G172+J172)*$K$5</f>
        <v>4.8462</v>
      </c>
      <c r="L172" s="31">
        <f>(F172+G172+J172+K172)*$L$5</f>
        <v>2.568486</v>
      </c>
      <c r="M172" s="48">
        <f t="shared" si="77"/>
        <v>123.4585604</v>
      </c>
      <c r="N172" s="48"/>
      <c r="O172" s="48">
        <f t="shared" si="103"/>
        <v>7482.823345844</v>
      </c>
      <c r="P172" s="32"/>
      <c r="R172" s="46">
        <f t="shared" si="78"/>
        <v>7482.823345844</v>
      </c>
      <c r="S172" s="46">
        <f t="shared" si="79"/>
        <v>88.184686</v>
      </c>
      <c r="T172" s="46" t="b">
        <f t="shared" si="80"/>
        <v>0</v>
      </c>
      <c r="U172" s="46" t="b">
        <f t="shared" si="81"/>
        <v>1</v>
      </c>
    </row>
    <row r="173" s="46" customFormat="1" ht="78.75" outlineLevel="1" spans="1:21">
      <c r="A173" s="32">
        <v>147</v>
      </c>
      <c r="B173" s="32" t="s">
        <v>344</v>
      </c>
      <c r="C173" s="32" t="s">
        <v>518</v>
      </c>
      <c r="D173" s="32" t="s">
        <v>94</v>
      </c>
      <c r="E173" s="32">
        <v>41.93</v>
      </c>
      <c r="F173" s="32">
        <v>18</v>
      </c>
      <c r="G173" s="48">
        <f t="shared" si="101"/>
        <v>287.37</v>
      </c>
      <c r="H173" s="48">
        <v>279</v>
      </c>
      <c r="I173" s="49">
        <f>I172</f>
        <v>0.03</v>
      </c>
      <c r="J173" s="31">
        <f>J171</f>
        <v>5</v>
      </c>
      <c r="K173" s="31">
        <f>(F173+G173+J173)*$K$5</f>
        <v>18.6222</v>
      </c>
      <c r="L173" s="31">
        <f>(F173+G173+J173+K173)*$L$5</f>
        <v>9.869766</v>
      </c>
      <c r="M173" s="48">
        <f t="shared" si="77"/>
        <v>474.4067524</v>
      </c>
      <c r="N173" s="48"/>
      <c r="O173" s="48">
        <f t="shared" si="103"/>
        <v>19891.875128132</v>
      </c>
      <c r="P173" s="32"/>
      <c r="R173" s="46">
        <f t="shared" si="78"/>
        <v>19891.875128132</v>
      </c>
      <c r="S173" s="46">
        <f t="shared" si="79"/>
        <v>338.861966</v>
      </c>
      <c r="T173" s="46" t="b">
        <f t="shared" si="80"/>
        <v>0</v>
      </c>
      <c r="U173" s="46" t="b">
        <f t="shared" si="81"/>
        <v>1</v>
      </c>
    </row>
    <row r="174" s="46" customFormat="1" ht="67.5" outlineLevel="1" spans="1:21">
      <c r="A174" s="32">
        <v>148</v>
      </c>
      <c r="B174" s="32" t="s">
        <v>346</v>
      </c>
      <c r="C174" s="32" t="s">
        <v>519</v>
      </c>
      <c r="D174" s="32" t="s">
        <v>88</v>
      </c>
      <c r="E174" s="32">
        <v>2</v>
      </c>
      <c r="F174" s="32">
        <f>F20</f>
        <v>50</v>
      </c>
      <c r="G174" s="48">
        <f t="shared" si="101"/>
        <v>8.08</v>
      </c>
      <c r="H174" s="48">
        <v>8</v>
      </c>
      <c r="I174" s="49">
        <v>0.01</v>
      </c>
      <c r="J174" s="31">
        <f>J20</f>
        <v>1</v>
      </c>
      <c r="K174" s="31">
        <f>(F174+G174+J174)*$K$5</f>
        <v>3.5448</v>
      </c>
      <c r="L174" s="31">
        <f>(F174+G174+J174+K174)*$L$5</f>
        <v>1.878744</v>
      </c>
      <c r="M174" s="48">
        <f t="shared" si="77"/>
        <v>90.3049616</v>
      </c>
      <c r="N174" s="48"/>
      <c r="O174" s="48">
        <f t="shared" si="103"/>
        <v>180.6099232</v>
      </c>
      <c r="P174" s="32"/>
      <c r="R174" s="46">
        <f t="shared" si="78"/>
        <v>180.6099232</v>
      </c>
      <c r="S174" s="46">
        <f t="shared" si="79"/>
        <v>64.503544</v>
      </c>
      <c r="T174" s="46" t="b">
        <f t="shared" si="80"/>
        <v>0</v>
      </c>
      <c r="U174" s="46" t="b">
        <f t="shared" si="81"/>
        <v>1</v>
      </c>
    </row>
    <row r="175" s="46" customFormat="1" ht="67.5" outlineLevel="1" spans="1:21">
      <c r="A175" s="32">
        <v>149</v>
      </c>
      <c r="B175" s="32" t="s">
        <v>346</v>
      </c>
      <c r="C175" s="32" t="s">
        <v>520</v>
      </c>
      <c r="D175" s="32" t="s">
        <v>88</v>
      </c>
      <c r="E175" s="32">
        <v>10</v>
      </c>
      <c r="F175" s="32">
        <f>F20</f>
        <v>50</v>
      </c>
      <c r="G175" s="48">
        <f t="shared" si="101"/>
        <v>12.12</v>
      </c>
      <c r="H175" s="48">
        <v>12</v>
      </c>
      <c r="I175" s="49">
        <f>I174</f>
        <v>0.01</v>
      </c>
      <c r="J175" s="31">
        <f>J20</f>
        <v>1</v>
      </c>
      <c r="K175" s="31">
        <f>(F175+G175+J175)*$K$5</f>
        <v>3.7872</v>
      </c>
      <c r="L175" s="31">
        <f>(F175+G175+J175+K175)*$L$5</f>
        <v>2.007216</v>
      </c>
      <c r="M175" s="48">
        <f t="shared" si="77"/>
        <v>96.4801824</v>
      </c>
      <c r="N175" s="48"/>
      <c r="O175" s="48">
        <f t="shared" si="103"/>
        <v>964.801824</v>
      </c>
      <c r="P175" s="32"/>
      <c r="R175" s="46">
        <f t="shared" si="78"/>
        <v>964.801824</v>
      </c>
      <c r="S175" s="46">
        <f t="shared" si="79"/>
        <v>68.914416</v>
      </c>
      <c r="T175" s="46" t="b">
        <f t="shared" si="80"/>
        <v>0</v>
      </c>
      <c r="U175" s="46" t="b">
        <f t="shared" si="81"/>
        <v>1</v>
      </c>
    </row>
    <row r="176" s="46" customFormat="1" ht="67.5" outlineLevel="1" spans="1:21">
      <c r="A176" s="32">
        <v>150</v>
      </c>
      <c r="B176" s="32" t="s">
        <v>346</v>
      </c>
      <c r="C176" s="32" t="s">
        <v>521</v>
      </c>
      <c r="D176" s="32" t="s">
        <v>88</v>
      </c>
      <c r="E176" s="32">
        <v>2</v>
      </c>
      <c r="F176" s="32">
        <f>F20</f>
        <v>50</v>
      </c>
      <c r="G176" s="48">
        <f t="shared" si="101"/>
        <v>32.32</v>
      </c>
      <c r="H176" s="48">
        <v>32</v>
      </c>
      <c r="I176" s="49">
        <f>I174</f>
        <v>0.01</v>
      </c>
      <c r="J176" s="31">
        <f>J20</f>
        <v>1</v>
      </c>
      <c r="K176" s="31">
        <f>(F176+G176+J176)*$K$5</f>
        <v>4.9992</v>
      </c>
      <c r="L176" s="31">
        <f>(F176+G176+J176+K176)*$L$5</f>
        <v>2.649576</v>
      </c>
      <c r="M176" s="48">
        <f t="shared" si="77"/>
        <v>127.3562864</v>
      </c>
      <c r="N176" s="48"/>
      <c r="O176" s="48">
        <f t="shared" si="103"/>
        <v>254.7125728</v>
      </c>
      <c r="P176" s="32"/>
      <c r="R176" s="46">
        <f t="shared" si="78"/>
        <v>254.7125728</v>
      </c>
      <c r="S176" s="46">
        <f t="shared" si="79"/>
        <v>90.968776</v>
      </c>
      <c r="T176" s="46" t="b">
        <f t="shared" si="80"/>
        <v>0</v>
      </c>
      <c r="U176" s="46" t="b">
        <f t="shared" si="81"/>
        <v>1</v>
      </c>
    </row>
    <row r="177" s="46" customFormat="1" ht="67.5" outlineLevel="1" spans="1:21">
      <c r="A177" s="32">
        <v>151</v>
      </c>
      <c r="B177" s="32" t="s">
        <v>348</v>
      </c>
      <c r="C177" s="32" t="s">
        <v>349</v>
      </c>
      <c r="D177" s="32" t="s">
        <v>94</v>
      </c>
      <c r="E177" s="32">
        <v>208.74</v>
      </c>
      <c r="F177" s="32">
        <f>F21</f>
        <v>3</v>
      </c>
      <c r="G177" s="48">
        <f t="shared" si="101"/>
        <v>4.06</v>
      </c>
      <c r="H177" s="48">
        <f>H59</f>
        <v>3.5</v>
      </c>
      <c r="I177" s="49">
        <f>I53</f>
        <v>0.16</v>
      </c>
      <c r="J177" s="31">
        <f>J53</f>
        <v>0.5</v>
      </c>
      <c r="K177" s="31">
        <f>(F177+G177+J177)*$K$5</f>
        <v>0.4536</v>
      </c>
      <c r="L177" s="31">
        <f>(F177+G177+J177+K177)*$L$5</f>
        <v>0.240408</v>
      </c>
      <c r="M177" s="48">
        <f t="shared" si="77"/>
        <v>11.5556112</v>
      </c>
      <c r="N177" s="48"/>
      <c r="O177" s="48">
        <f t="shared" si="103"/>
        <v>2412.118281888</v>
      </c>
      <c r="P177" s="32"/>
      <c r="R177" s="46">
        <f t="shared" si="78"/>
        <v>2412.118281888</v>
      </c>
      <c r="S177" s="46">
        <f t="shared" si="79"/>
        <v>8.254008</v>
      </c>
      <c r="T177" s="46" t="b">
        <f t="shared" si="80"/>
        <v>0</v>
      </c>
      <c r="U177" s="46" t="b">
        <f t="shared" si="81"/>
        <v>1</v>
      </c>
    </row>
    <row r="178" s="46" customFormat="1" ht="67.5" outlineLevel="1" spans="1:21">
      <c r="A178" s="32">
        <v>152</v>
      </c>
      <c r="B178" s="32" t="s">
        <v>348</v>
      </c>
      <c r="C178" s="32" t="s">
        <v>350</v>
      </c>
      <c r="D178" s="32" t="s">
        <v>94</v>
      </c>
      <c r="E178" s="32">
        <v>1003.72</v>
      </c>
      <c r="F178" s="32">
        <f>F21</f>
        <v>3</v>
      </c>
      <c r="G178" s="48">
        <f t="shared" si="101"/>
        <v>3.016</v>
      </c>
      <c r="H178" s="48">
        <f>H22</f>
        <v>2.6</v>
      </c>
      <c r="I178" s="49">
        <f>I53</f>
        <v>0.16</v>
      </c>
      <c r="J178" s="31">
        <f>J53</f>
        <v>0.5</v>
      </c>
      <c r="K178" s="31">
        <f>(F178+G178+J178)*$K$5</f>
        <v>0.39096</v>
      </c>
      <c r="L178" s="31">
        <f>(F178+G178+J178+K178)*$L$5</f>
        <v>0.2072088</v>
      </c>
      <c r="M178" s="48">
        <f t="shared" si="77"/>
        <v>9.95983632</v>
      </c>
      <c r="N178" s="48"/>
      <c r="O178" s="48">
        <f t="shared" si="103"/>
        <v>9996.8869111104</v>
      </c>
      <c r="P178" s="32"/>
      <c r="R178" s="46">
        <f t="shared" si="78"/>
        <v>9996.8869111104</v>
      </c>
      <c r="S178" s="46">
        <f t="shared" si="79"/>
        <v>7.1141688</v>
      </c>
      <c r="T178" s="46" t="b">
        <f t="shared" si="80"/>
        <v>0</v>
      </c>
      <c r="U178" s="46" t="b">
        <f t="shared" si="81"/>
        <v>1</v>
      </c>
    </row>
    <row r="179" s="46" customFormat="1" ht="56.25" outlineLevel="1" spans="1:21">
      <c r="A179" s="32">
        <v>153</v>
      </c>
      <c r="B179" s="32" t="s">
        <v>348</v>
      </c>
      <c r="C179" s="32" t="s">
        <v>352</v>
      </c>
      <c r="D179" s="32" t="s">
        <v>94</v>
      </c>
      <c r="E179" s="32">
        <v>373.07</v>
      </c>
      <c r="F179" s="32">
        <f>F21</f>
        <v>3</v>
      </c>
      <c r="G179" s="48">
        <f t="shared" si="101"/>
        <v>3.944</v>
      </c>
      <c r="H179" s="48">
        <f>H24</f>
        <v>3.4</v>
      </c>
      <c r="I179" s="49">
        <f>I54</f>
        <v>0.16</v>
      </c>
      <c r="J179" s="31">
        <f>J53</f>
        <v>0.5</v>
      </c>
      <c r="K179" s="31">
        <f>(F179+G179+J179)*$K$5</f>
        <v>0.44664</v>
      </c>
      <c r="L179" s="31">
        <f>(F179+G179+J179+K179)*$L$5</f>
        <v>0.2367192</v>
      </c>
      <c r="M179" s="48">
        <f t="shared" si="77"/>
        <v>11.37830288</v>
      </c>
      <c r="N179" s="48"/>
      <c r="O179" s="48">
        <f t="shared" si="103"/>
        <v>4244.9034554416</v>
      </c>
      <c r="P179" s="32"/>
      <c r="R179" s="46">
        <f t="shared" si="78"/>
        <v>4244.9034554416</v>
      </c>
      <c r="S179" s="46">
        <f t="shared" si="79"/>
        <v>8.1273592</v>
      </c>
      <c r="T179" s="46" t="b">
        <f t="shared" si="80"/>
        <v>0</v>
      </c>
      <c r="U179" s="46" t="b">
        <f t="shared" si="81"/>
        <v>1</v>
      </c>
    </row>
    <row r="180" s="46" customFormat="1" ht="56.25" outlineLevel="1" spans="1:21">
      <c r="A180" s="32">
        <v>154</v>
      </c>
      <c r="B180" s="32" t="s">
        <v>354</v>
      </c>
      <c r="C180" s="32" t="s">
        <v>355</v>
      </c>
      <c r="D180" s="32" t="s">
        <v>265</v>
      </c>
      <c r="E180" s="32">
        <v>55</v>
      </c>
      <c r="F180" s="32">
        <f t="shared" ref="F180:J180" si="109">F26</f>
        <v>20</v>
      </c>
      <c r="G180" s="48">
        <f t="shared" si="101"/>
        <v>146.45</v>
      </c>
      <c r="H180" s="48">
        <f t="shared" si="109"/>
        <v>145</v>
      </c>
      <c r="I180" s="49">
        <f t="shared" si="109"/>
        <v>0.01</v>
      </c>
      <c r="J180" s="30">
        <f t="shared" si="109"/>
        <v>5</v>
      </c>
      <c r="K180" s="31">
        <f>(F180+G180+J180)*$K$5</f>
        <v>10.287</v>
      </c>
      <c r="L180" s="31">
        <f>(F180+G180+J180+K180)*$L$5</f>
        <v>5.45211</v>
      </c>
      <c r="M180" s="48">
        <f t="shared" si="77"/>
        <v>262.064754</v>
      </c>
      <c r="N180" s="48"/>
      <c r="O180" s="48">
        <f t="shared" si="103"/>
        <v>14413.56147</v>
      </c>
      <c r="P180" s="32"/>
      <c r="R180" s="46">
        <f t="shared" si="78"/>
        <v>14413.56147</v>
      </c>
      <c r="S180" s="46">
        <f t="shared" si="79"/>
        <v>187.18911</v>
      </c>
      <c r="T180" s="46" t="b">
        <f t="shared" si="80"/>
        <v>0</v>
      </c>
      <c r="U180" s="46" t="b">
        <f t="shared" si="81"/>
        <v>1</v>
      </c>
    </row>
    <row r="181" s="46" customFormat="1" ht="56.25" outlineLevel="1" spans="1:21">
      <c r="A181" s="32">
        <v>155</v>
      </c>
      <c r="B181" s="32" t="s">
        <v>354</v>
      </c>
      <c r="C181" s="32" t="s">
        <v>522</v>
      </c>
      <c r="D181" s="32" t="s">
        <v>265</v>
      </c>
      <c r="E181" s="32">
        <v>17</v>
      </c>
      <c r="F181" s="32">
        <f t="shared" ref="F181:J181" si="110">F26</f>
        <v>20</v>
      </c>
      <c r="G181" s="48">
        <f t="shared" si="101"/>
        <v>267.65</v>
      </c>
      <c r="H181" s="48">
        <v>265</v>
      </c>
      <c r="I181" s="49">
        <f t="shared" si="110"/>
        <v>0.01</v>
      </c>
      <c r="J181" s="30">
        <f t="shared" si="110"/>
        <v>5</v>
      </c>
      <c r="K181" s="31">
        <f>(F181+G181+J181)*$K$5</f>
        <v>17.559</v>
      </c>
      <c r="L181" s="31">
        <f>(F181+G181+J181+K181)*$L$5</f>
        <v>9.30627</v>
      </c>
      <c r="M181" s="48">
        <f t="shared" si="77"/>
        <v>447.321378</v>
      </c>
      <c r="N181" s="48"/>
      <c r="O181" s="48">
        <f t="shared" si="103"/>
        <v>7604.463426</v>
      </c>
      <c r="P181" s="32"/>
      <c r="R181" s="46">
        <f t="shared" si="78"/>
        <v>7604.463426</v>
      </c>
      <c r="S181" s="46">
        <f t="shared" si="79"/>
        <v>319.51527</v>
      </c>
      <c r="T181" s="46" t="b">
        <f t="shared" si="80"/>
        <v>0</v>
      </c>
      <c r="U181" s="46" t="b">
        <f t="shared" si="81"/>
        <v>1</v>
      </c>
    </row>
    <row r="182" s="46" customFormat="1" ht="56.25" outlineLevel="1" spans="1:21">
      <c r="A182" s="32">
        <v>156</v>
      </c>
      <c r="B182" s="32" t="s">
        <v>354</v>
      </c>
      <c r="C182" s="32" t="s">
        <v>358</v>
      </c>
      <c r="D182" s="32" t="s">
        <v>265</v>
      </c>
      <c r="E182" s="32">
        <v>6</v>
      </c>
      <c r="F182" s="32">
        <f t="shared" ref="F182:J182" si="111">F28</f>
        <v>0</v>
      </c>
      <c r="G182" s="48">
        <f t="shared" si="101"/>
        <v>0</v>
      </c>
      <c r="H182" s="32">
        <f t="shared" si="111"/>
        <v>0</v>
      </c>
      <c r="I182" s="49">
        <f t="shared" si="111"/>
        <v>0</v>
      </c>
      <c r="J182" s="30">
        <f t="shared" si="111"/>
        <v>0</v>
      </c>
      <c r="K182" s="31">
        <f>(F182+G182+J182)*$K$5</f>
        <v>0</v>
      </c>
      <c r="L182" s="31">
        <f>(F182+G182+J182+K182)*$L$5</f>
        <v>0</v>
      </c>
      <c r="M182" s="48">
        <f t="shared" si="77"/>
        <v>0</v>
      </c>
      <c r="N182" s="48"/>
      <c r="O182" s="48">
        <f t="shared" si="103"/>
        <v>0</v>
      </c>
      <c r="P182" s="32" t="s">
        <v>359</v>
      </c>
      <c r="R182" s="46">
        <f t="shared" si="78"/>
        <v>0</v>
      </c>
      <c r="S182" s="46">
        <f t="shared" si="79"/>
        <v>0</v>
      </c>
      <c r="T182" s="46" t="b">
        <f t="shared" si="80"/>
        <v>1</v>
      </c>
      <c r="U182" s="46" t="b">
        <f t="shared" si="81"/>
        <v>1</v>
      </c>
    </row>
    <row r="183" s="46" customFormat="1" ht="56.25" outlineLevel="1" spans="1:21">
      <c r="A183" s="32">
        <v>157</v>
      </c>
      <c r="B183" s="32" t="s">
        <v>354</v>
      </c>
      <c r="C183" s="32" t="s">
        <v>523</v>
      </c>
      <c r="D183" s="32" t="s">
        <v>94</v>
      </c>
      <c r="E183" s="32">
        <v>27.68</v>
      </c>
      <c r="F183" s="32">
        <f t="shared" ref="F183:J183" si="112">F26</f>
        <v>20</v>
      </c>
      <c r="G183" s="48">
        <f t="shared" si="101"/>
        <v>25.25</v>
      </c>
      <c r="H183" s="48">
        <f>H29</f>
        <v>25</v>
      </c>
      <c r="I183" s="49">
        <f t="shared" si="112"/>
        <v>0.01</v>
      </c>
      <c r="J183" s="30">
        <f t="shared" si="112"/>
        <v>5</v>
      </c>
      <c r="K183" s="31">
        <f>(F183+G183+J183)*$K$5</f>
        <v>3.015</v>
      </c>
      <c r="L183" s="31">
        <f>(F183+G183+J183+K183)*$L$5</f>
        <v>1.59795</v>
      </c>
      <c r="M183" s="48">
        <f t="shared" si="77"/>
        <v>76.80813</v>
      </c>
      <c r="N183" s="48"/>
      <c r="O183" s="48">
        <f t="shared" si="103"/>
        <v>2126.0490384</v>
      </c>
      <c r="P183" s="32"/>
      <c r="R183" s="46">
        <f t="shared" si="78"/>
        <v>2126.0490384</v>
      </c>
      <c r="S183" s="46">
        <f t="shared" si="79"/>
        <v>54.86295</v>
      </c>
      <c r="T183" s="46" t="b">
        <f t="shared" si="80"/>
        <v>0</v>
      </c>
      <c r="U183" s="46" t="b">
        <f t="shared" si="81"/>
        <v>1</v>
      </c>
    </row>
    <row r="184" s="46" customFormat="1" ht="33.75" outlineLevel="1" spans="1:21">
      <c r="A184" s="32">
        <v>158</v>
      </c>
      <c r="B184" s="32" t="s">
        <v>363</v>
      </c>
      <c r="C184" s="32" t="s">
        <v>364</v>
      </c>
      <c r="D184" s="32" t="s">
        <v>88</v>
      </c>
      <c r="E184" s="32">
        <v>1</v>
      </c>
      <c r="F184" s="32">
        <f t="shared" ref="F184:J184" si="113">F32</f>
        <v>15</v>
      </c>
      <c r="G184" s="48">
        <f t="shared" si="101"/>
        <v>28.28</v>
      </c>
      <c r="H184" s="48">
        <f t="shared" si="113"/>
        <v>28</v>
      </c>
      <c r="I184" s="49">
        <f t="shared" si="113"/>
        <v>0.01</v>
      </c>
      <c r="J184" s="31">
        <f t="shared" si="113"/>
        <v>5</v>
      </c>
      <c r="K184" s="31">
        <f>(F184+G184+J184)*$K$5</f>
        <v>2.8968</v>
      </c>
      <c r="L184" s="31">
        <f>(F184+G184+J184+K184)*$L$5</f>
        <v>1.535304</v>
      </c>
      <c r="M184" s="48">
        <f t="shared" si="77"/>
        <v>73.7969456</v>
      </c>
      <c r="N184" s="48"/>
      <c r="O184" s="48">
        <f t="shared" si="103"/>
        <v>73.7969456</v>
      </c>
      <c r="P184" s="32"/>
      <c r="R184" s="46">
        <f t="shared" si="78"/>
        <v>73.7969456</v>
      </c>
      <c r="S184" s="46">
        <f t="shared" si="79"/>
        <v>52.712104</v>
      </c>
      <c r="T184" s="46" t="b">
        <f t="shared" si="80"/>
        <v>0</v>
      </c>
      <c r="U184" s="46" t="b">
        <f t="shared" si="81"/>
        <v>1</v>
      </c>
    </row>
    <row r="185" s="46" customFormat="1" ht="33.75" outlineLevel="1" spans="1:21">
      <c r="A185" s="32">
        <v>159</v>
      </c>
      <c r="B185" s="32" t="s">
        <v>363</v>
      </c>
      <c r="C185" s="32" t="s">
        <v>367</v>
      </c>
      <c r="D185" s="32" t="s">
        <v>88</v>
      </c>
      <c r="E185" s="32">
        <v>5</v>
      </c>
      <c r="F185" s="32">
        <f t="shared" ref="F185:J185" si="114">F32</f>
        <v>15</v>
      </c>
      <c r="G185" s="48">
        <f t="shared" si="101"/>
        <v>61.61</v>
      </c>
      <c r="H185" s="48">
        <f>H34</f>
        <v>61</v>
      </c>
      <c r="I185" s="49">
        <f t="shared" si="114"/>
        <v>0.01</v>
      </c>
      <c r="J185" s="31">
        <f t="shared" si="114"/>
        <v>5</v>
      </c>
      <c r="K185" s="31">
        <f>(F185+G185+J185)*$K$5</f>
        <v>4.8966</v>
      </c>
      <c r="L185" s="31">
        <f>(F185+G185+J185+K185)*$L$5</f>
        <v>2.595198</v>
      </c>
      <c r="M185" s="48">
        <f t="shared" si="77"/>
        <v>124.7425172</v>
      </c>
      <c r="N185" s="48"/>
      <c r="O185" s="48">
        <f t="shared" si="103"/>
        <v>623.712586</v>
      </c>
      <c r="P185" s="32"/>
      <c r="R185" s="46">
        <f t="shared" si="78"/>
        <v>623.712586</v>
      </c>
      <c r="S185" s="46">
        <f t="shared" si="79"/>
        <v>89.101798</v>
      </c>
      <c r="T185" s="46" t="b">
        <f t="shared" si="80"/>
        <v>0</v>
      </c>
      <c r="U185" s="46" t="b">
        <f t="shared" si="81"/>
        <v>1</v>
      </c>
    </row>
    <row r="186" s="46" customFormat="1" ht="33.75" outlineLevel="1" spans="1:21">
      <c r="A186" s="32">
        <v>160</v>
      </c>
      <c r="B186" s="32" t="s">
        <v>363</v>
      </c>
      <c r="C186" s="32" t="s">
        <v>524</v>
      </c>
      <c r="D186" s="32" t="s">
        <v>88</v>
      </c>
      <c r="E186" s="32">
        <v>1</v>
      </c>
      <c r="F186" s="32">
        <f t="shared" ref="F186:J186" si="115">F32</f>
        <v>15</v>
      </c>
      <c r="G186" s="48">
        <f t="shared" si="101"/>
        <v>55.55</v>
      </c>
      <c r="H186" s="48">
        <v>55</v>
      </c>
      <c r="I186" s="49">
        <f t="shared" si="115"/>
        <v>0.01</v>
      </c>
      <c r="J186" s="31">
        <f t="shared" si="115"/>
        <v>5</v>
      </c>
      <c r="K186" s="31">
        <f>(F186+G186+J186)*$K$5</f>
        <v>4.533</v>
      </c>
      <c r="L186" s="31">
        <f>(F186+G186+J186+K186)*$L$5</f>
        <v>2.40249</v>
      </c>
      <c r="M186" s="48">
        <f t="shared" si="77"/>
        <v>115.479686</v>
      </c>
      <c r="N186" s="48"/>
      <c r="O186" s="48">
        <f t="shared" si="103"/>
        <v>115.479686</v>
      </c>
      <c r="P186" s="32"/>
      <c r="R186" s="46">
        <f t="shared" si="78"/>
        <v>115.479686</v>
      </c>
      <c r="S186" s="46">
        <f t="shared" si="79"/>
        <v>82.48549</v>
      </c>
      <c r="T186" s="46" t="b">
        <f t="shared" si="80"/>
        <v>0</v>
      </c>
      <c r="U186" s="46" t="b">
        <f t="shared" si="81"/>
        <v>1</v>
      </c>
    </row>
    <row r="187" s="46" customFormat="1" ht="33.75" outlineLevel="1" spans="1:21">
      <c r="A187" s="32">
        <v>161</v>
      </c>
      <c r="B187" s="32" t="s">
        <v>363</v>
      </c>
      <c r="C187" s="32" t="s">
        <v>525</v>
      </c>
      <c r="D187" s="32" t="s">
        <v>88</v>
      </c>
      <c r="E187" s="32">
        <v>1</v>
      </c>
      <c r="F187" s="32">
        <f t="shared" ref="F187:J187" si="116">F32</f>
        <v>15</v>
      </c>
      <c r="G187" s="48">
        <f t="shared" si="101"/>
        <v>166.65</v>
      </c>
      <c r="H187" s="48">
        <v>165</v>
      </c>
      <c r="I187" s="49">
        <f t="shared" si="116"/>
        <v>0.01</v>
      </c>
      <c r="J187" s="31">
        <f t="shared" si="116"/>
        <v>5</v>
      </c>
      <c r="K187" s="31">
        <f>(F187+G187+J187)*$K$5</f>
        <v>11.199</v>
      </c>
      <c r="L187" s="31">
        <f>(F187+G187+J187+K187)*$L$5</f>
        <v>5.93547</v>
      </c>
      <c r="M187" s="48">
        <f t="shared" si="77"/>
        <v>285.298258</v>
      </c>
      <c r="N187" s="48"/>
      <c r="O187" s="48">
        <f t="shared" si="103"/>
        <v>285.298258</v>
      </c>
      <c r="P187" s="32"/>
      <c r="R187" s="46">
        <f t="shared" si="78"/>
        <v>285.298258</v>
      </c>
      <c r="S187" s="46">
        <f t="shared" si="79"/>
        <v>203.78447</v>
      </c>
      <c r="T187" s="46" t="b">
        <f t="shared" si="80"/>
        <v>0</v>
      </c>
      <c r="U187" s="46" t="b">
        <f t="shared" si="81"/>
        <v>1</v>
      </c>
    </row>
    <row r="188" s="46" customFormat="1" ht="33.75" outlineLevel="1" spans="1:21">
      <c r="A188" s="32">
        <v>162</v>
      </c>
      <c r="B188" s="32" t="s">
        <v>369</v>
      </c>
      <c r="C188" s="32" t="s">
        <v>370</v>
      </c>
      <c r="D188" s="32" t="s">
        <v>88</v>
      </c>
      <c r="E188" s="32">
        <v>4</v>
      </c>
      <c r="F188" s="32">
        <f t="shared" ref="F188:J188" si="117">F36</f>
        <v>25</v>
      </c>
      <c r="G188" s="48">
        <f t="shared" si="101"/>
        <v>186.85</v>
      </c>
      <c r="H188" s="48">
        <f t="shared" si="117"/>
        <v>185</v>
      </c>
      <c r="I188" s="49">
        <f t="shared" si="117"/>
        <v>0.01</v>
      </c>
      <c r="J188" s="31">
        <f t="shared" si="117"/>
        <v>5</v>
      </c>
      <c r="K188" s="31">
        <f>(F188+G188+J188)*$K$5</f>
        <v>13.011</v>
      </c>
      <c r="L188" s="31">
        <f>(F188+G188+J188+K188)*$L$5</f>
        <v>6.89583</v>
      </c>
      <c r="M188" s="48">
        <f t="shared" si="77"/>
        <v>331.459562</v>
      </c>
      <c r="N188" s="48"/>
      <c r="O188" s="48">
        <f t="shared" si="103"/>
        <v>1325.838248</v>
      </c>
      <c r="P188" s="32"/>
      <c r="R188" s="46">
        <f t="shared" si="78"/>
        <v>1325.838248</v>
      </c>
      <c r="S188" s="46">
        <f t="shared" si="79"/>
        <v>236.75683</v>
      </c>
      <c r="T188" s="46" t="b">
        <f t="shared" si="80"/>
        <v>0</v>
      </c>
      <c r="U188" s="46" t="b">
        <f t="shared" si="81"/>
        <v>1</v>
      </c>
    </row>
    <row r="189" s="46" customFormat="1" ht="45" outlineLevel="1" spans="1:21">
      <c r="A189" s="32">
        <v>163</v>
      </c>
      <c r="B189" s="32" t="s">
        <v>371</v>
      </c>
      <c r="C189" s="32" t="s">
        <v>372</v>
      </c>
      <c r="D189" s="32" t="s">
        <v>88</v>
      </c>
      <c r="E189" s="32">
        <v>13</v>
      </c>
      <c r="F189" s="32">
        <f>F37</f>
        <v>15</v>
      </c>
      <c r="G189" s="48">
        <f t="shared" si="101"/>
        <v>28.28</v>
      </c>
      <c r="H189" s="48">
        <f t="shared" ref="H189:H192" si="118">H37</f>
        <v>28</v>
      </c>
      <c r="I189" s="49">
        <f>I32</f>
        <v>0.01</v>
      </c>
      <c r="J189" s="31">
        <f>J32</f>
        <v>5</v>
      </c>
      <c r="K189" s="31">
        <f>(F189+G189+J189)*$K$5</f>
        <v>2.8968</v>
      </c>
      <c r="L189" s="31">
        <f>(F189+G189+J189+K189)*$L$5</f>
        <v>1.535304</v>
      </c>
      <c r="M189" s="48">
        <f t="shared" si="77"/>
        <v>73.7969456</v>
      </c>
      <c r="N189" s="48"/>
      <c r="O189" s="48">
        <f t="shared" si="103"/>
        <v>959.3602928</v>
      </c>
      <c r="P189" s="32"/>
      <c r="R189" s="46">
        <f t="shared" si="78"/>
        <v>959.3602928</v>
      </c>
      <c r="S189" s="46">
        <f t="shared" si="79"/>
        <v>52.712104</v>
      </c>
      <c r="T189" s="46" t="b">
        <f t="shared" si="80"/>
        <v>0</v>
      </c>
      <c r="U189" s="46" t="b">
        <f t="shared" si="81"/>
        <v>1</v>
      </c>
    </row>
    <row r="190" s="46" customFormat="1" ht="45" outlineLevel="1" spans="1:21">
      <c r="A190" s="32">
        <v>164</v>
      </c>
      <c r="B190" s="32" t="s">
        <v>371</v>
      </c>
      <c r="C190" s="32" t="s">
        <v>373</v>
      </c>
      <c r="D190" s="32" t="s">
        <v>88</v>
      </c>
      <c r="E190" s="32">
        <v>3</v>
      </c>
      <c r="F190" s="32">
        <f>F37</f>
        <v>15</v>
      </c>
      <c r="G190" s="48">
        <f t="shared" si="101"/>
        <v>267.65</v>
      </c>
      <c r="H190" s="48">
        <f t="shared" si="118"/>
        <v>265</v>
      </c>
      <c r="I190" s="49">
        <f>I32</f>
        <v>0.01</v>
      </c>
      <c r="J190" s="31">
        <f>J32</f>
        <v>5</v>
      </c>
      <c r="K190" s="31">
        <f>(F190+G190+J190)*$K$5</f>
        <v>17.259</v>
      </c>
      <c r="L190" s="31">
        <f>(F190+G190+J190+K190)*$L$5</f>
        <v>9.14727</v>
      </c>
      <c r="M190" s="48">
        <f t="shared" si="77"/>
        <v>439.678778</v>
      </c>
      <c r="N190" s="48"/>
      <c r="O190" s="48">
        <f t="shared" si="103"/>
        <v>1319.036334</v>
      </c>
      <c r="P190" s="32"/>
      <c r="R190" s="46">
        <f t="shared" si="78"/>
        <v>1319.036334</v>
      </c>
      <c r="S190" s="46">
        <f t="shared" si="79"/>
        <v>314.05627</v>
      </c>
      <c r="T190" s="46" t="b">
        <f t="shared" si="80"/>
        <v>0</v>
      </c>
      <c r="U190" s="46" t="b">
        <f t="shared" si="81"/>
        <v>1</v>
      </c>
    </row>
    <row r="191" s="46" customFormat="1" ht="33.75" outlineLevel="1" spans="1:21">
      <c r="A191" s="32">
        <v>165</v>
      </c>
      <c r="B191" s="32" t="s">
        <v>375</v>
      </c>
      <c r="C191" s="32" t="s">
        <v>376</v>
      </c>
      <c r="D191" s="32" t="s">
        <v>88</v>
      </c>
      <c r="E191" s="32">
        <v>28</v>
      </c>
      <c r="F191" s="32">
        <f t="shared" ref="F191:J191" si="119">F40</f>
        <v>5</v>
      </c>
      <c r="G191" s="48">
        <f t="shared" si="101"/>
        <v>3.3128</v>
      </c>
      <c r="H191" s="48">
        <f t="shared" si="119"/>
        <v>3.28</v>
      </c>
      <c r="I191" s="49">
        <f t="shared" si="119"/>
        <v>0.01</v>
      </c>
      <c r="J191" s="31">
        <f t="shared" si="119"/>
        <v>2</v>
      </c>
      <c r="K191" s="31">
        <f>(F191+G191+J191)*$K$5</f>
        <v>0.618768</v>
      </c>
      <c r="L191" s="31">
        <f>(F191+G191+J191+K191)*$L$5</f>
        <v>0.32794704</v>
      </c>
      <c r="M191" s="48">
        <f t="shared" si="77"/>
        <v>15.763321056</v>
      </c>
      <c r="N191" s="48"/>
      <c r="O191" s="48">
        <f t="shared" si="103"/>
        <v>441.372989568</v>
      </c>
      <c r="P191" s="32"/>
      <c r="R191" s="46">
        <f t="shared" si="78"/>
        <v>441.372989568</v>
      </c>
      <c r="S191" s="46">
        <f t="shared" si="79"/>
        <v>11.25951504</v>
      </c>
      <c r="T191" s="46" t="b">
        <f t="shared" si="80"/>
        <v>0</v>
      </c>
      <c r="U191" s="46" t="b">
        <f t="shared" si="81"/>
        <v>1</v>
      </c>
    </row>
    <row r="192" s="46" customFormat="1" ht="33.75" outlineLevel="1" spans="1:21">
      <c r="A192" s="32">
        <v>166</v>
      </c>
      <c r="B192" s="32" t="s">
        <v>375</v>
      </c>
      <c r="C192" s="32" t="s">
        <v>377</v>
      </c>
      <c r="D192" s="32" t="s">
        <v>88</v>
      </c>
      <c r="E192" s="32">
        <v>102</v>
      </c>
      <c r="F192" s="32">
        <f t="shared" ref="F192:J192" si="120">F40</f>
        <v>5</v>
      </c>
      <c r="G192" s="48">
        <f t="shared" si="101"/>
        <v>3.3128</v>
      </c>
      <c r="H192" s="48">
        <f t="shared" si="118"/>
        <v>3.28</v>
      </c>
      <c r="I192" s="49">
        <f t="shared" si="120"/>
        <v>0.01</v>
      </c>
      <c r="J192" s="31">
        <f t="shared" si="120"/>
        <v>2</v>
      </c>
      <c r="K192" s="31">
        <f>(F192+G192+J192)*$K$5</f>
        <v>0.618768</v>
      </c>
      <c r="L192" s="31">
        <f>(F192+G192+J192+K192)*$L$5</f>
        <v>0.32794704</v>
      </c>
      <c r="M192" s="48">
        <f t="shared" si="77"/>
        <v>15.763321056</v>
      </c>
      <c r="N192" s="48"/>
      <c r="O192" s="48">
        <f t="shared" si="103"/>
        <v>1607.858747712</v>
      </c>
      <c r="P192" s="32"/>
      <c r="R192" s="46">
        <f t="shared" si="78"/>
        <v>1607.858747712</v>
      </c>
      <c r="S192" s="46">
        <f t="shared" si="79"/>
        <v>11.25951504</v>
      </c>
      <c r="T192" s="46" t="b">
        <f t="shared" si="80"/>
        <v>0</v>
      </c>
      <c r="U192" s="46" t="b">
        <f t="shared" si="81"/>
        <v>1</v>
      </c>
    </row>
    <row r="193" s="46" customFormat="1" spans="1:21">
      <c r="A193" s="32"/>
      <c r="B193" s="32" t="s">
        <v>381</v>
      </c>
      <c r="C193" s="32"/>
      <c r="D193" s="32"/>
      <c r="E193" s="32"/>
      <c r="F193" s="32"/>
      <c r="G193" s="48"/>
      <c r="H193" s="48"/>
      <c r="I193" s="49"/>
      <c r="J193" s="31"/>
      <c r="K193" s="31"/>
      <c r="L193" s="31"/>
      <c r="M193" s="48">
        <f t="shared" si="77"/>
        <v>0</v>
      </c>
      <c r="N193" s="48"/>
      <c r="O193" s="48"/>
      <c r="P193" s="32"/>
      <c r="R193" s="46">
        <f t="shared" si="78"/>
        <v>0</v>
      </c>
      <c r="S193" s="46">
        <f t="shared" si="79"/>
        <v>0</v>
      </c>
      <c r="T193" s="46" t="b">
        <f t="shared" si="80"/>
        <v>1</v>
      </c>
      <c r="U193" s="46" t="b">
        <f t="shared" si="81"/>
        <v>1</v>
      </c>
    </row>
    <row r="194" s="46" customFormat="1" ht="56.25" outlineLevel="1" spans="1:21">
      <c r="A194" s="32">
        <v>167</v>
      </c>
      <c r="B194" s="32" t="s">
        <v>338</v>
      </c>
      <c r="C194" s="32" t="s">
        <v>339</v>
      </c>
      <c r="D194" s="32" t="s">
        <v>94</v>
      </c>
      <c r="E194" s="32">
        <v>70.95</v>
      </c>
      <c r="F194" s="32">
        <f t="shared" ref="F194:J194" si="121">F164</f>
        <v>10</v>
      </c>
      <c r="G194" s="48">
        <f t="shared" ref="G194:G206" si="122">H194*(1+I194)</f>
        <v>5.665</v>
      </c>
      <c r="H194" s="32">
        <f t="shared" si="121"/>
        <v>5.5</v>
      </c>
      <c r="I194" s="49">
        <f t="shared" si="121"/>
        <v>0.03</v>
      </c>
      <c r="J194" s="30">
        <f t="shared" si="121"/>
        <v>2</v>
      </c>
      <c r="K194" s="31">
        <f>(F194+G194+J194)*$K$5</f>
        <v>1.0599</v>
      </c>
      <c r="L194" s="31">
        <f>(F194+G194+J194+K194)*$L$5</f>
        <v>0.561747</v>
      </c>
      <c r="M194" s="48">
        <f t="shared" si="77"/>
        <v>27.0013058</v>
      </c>
      <c r="N194" s="48"/>
      <c r="O194" s="48">
        <f t="shared" ref="O194:O206" si="123">M194*E194</f>
        <v>1915.74264651</v>
      </c>
      <c r="P194" s="32"/>
      <c r="R194" s="46">
        <f t="shared" si="78"/>
        <v>1915.74264651</v>
      </c>
      <c r="S194" s="46">
        <f t="shared" si="79"/>
        <v>19.286647</v>
      </c>
      <c r="T194" s="46" t="b">
        <f t="shared" si="80"/>
        <v>0</v>
      </c>
      <c r="U194" s="46" t="b">
        <f t="shared" si="81"/>
        <v>1</v>
      </c>
    </row>
    <row r="195" s="46" customFormat="1" ht="56.25" outlineLevel="1" spans="1:21">
      <c r="A195" s="32">
        <v>168</v>
      </c>
      <c r="B195" s="32" t="s">
        <v>338</v>
      </c>
      <c r="C195" s="32" t="s">
        <v>341</v>
      </c>
      <c r="D195" s="32" t="s">
        <v>94</v>
      </c>
      <c r="E195" s="32">
        <v>2.3</v>
      </c>
      <c r="F195" s="32">
        <f t="shared" ref="F195:J195" si="124">F165</f>
        <v>10</v>
      </c>
      <c r="G195" s="48">
        <f t="shared" si="122"/>
        <v>5.665</v>
      </c>
      <c r="H195" s="32">
        <f t="shared" si="124"/>
        <v>5.5</v>
      </c>
      <c r="I195" s="49">
        <f t="shared" si="124"/>
        <v>0.03</v>
      </c>
      <c r="J195" s="30">
        <f t="shared" si="124"/>
        <v>2</v>
      </c>
      <c r="K195" s="31">
        <f>(F195+G195+J195)*$K$5</f>
        <v>1.0599</v>
      </c>
      <c r="L195" s="31">
        <f>(F195+G195+J195+K195)*$L$5</f>
        <v>0.561747</v>
      </c>
      <c r="M195" s="48">
        <f t="shared" si="77"/>
        <v>27.0013058</v>
      </c>
      <c r="N195" s="48"/>
      <c r="O195" s="48">
        <f t="shared" si="123"/>
        <v>62.10300334</v>
      </c>
      <c r="P195" s="32"/>
      <c r="R195" s="46">
        <f t="shared" si="78"/>
        <v>62.10300334</v>
      </c>
      <c r="S195" s="46">
        <f t="shared" si="79"/>
        <v>19.286647</v>
      </c>
      <c r="T195" s="46" t="b">
        <f t="shared" si="80"/>
        <v>0</v>
      </c>
      <c r="U195" s="46" t="b">
        <f t="shared" si="81"/>
        <v>1</v>
      </c>
    </row>
    <row r="196" s="46" customFormat="1" ht="56.25" outlineLevel="1" spans="1:21">
      <c r="A196" s="32">
        <v>169</v>
      </c>
      <c r="B196" s="32" t="s">
        <v>338</v>
      </c>
      <c r="C196" s="32" t="s">
        <v>342</v>
      </c>
      <c r="D196" s="32" t="s">
        <v>94</v>
      </c>
      <c r="E196" s="32">
        <v>7.06</v>
      </c>
      <c r="F196" s="32">
        <f t="shared" ref="F196:J196" si="125">F166</f>
        <v>10</v>
      </c>
      <c r="G196" s="48">
        <f t="shared" si="122"/>
        <v>8.858</v>
      </c>
      <c r="H196" s="32">
        <f t="shared" si="125"/>
        <v>8.6</v>
      </c>
      <c r="I196" s="49">
        <f t="shared" si="125"/>
        <v>0.03</v>
      </c>
      <c r="J196" s="30">
        <f t="shared" si="125"/>
        <v>2</v>
      </c>
      <c r="K196" s="31">
        <f>(F196+G196+J196)*$K$5</f>
        <v>1.25148</v>
      </c>
      <c r="L196" s="31">
        <f>(F196+G196+J196+K196)*$L$5</f>
        <v>0.6632844</v>
      </c>
      <c r="M196" s="48">
        <f t="shared" si="77"/>
        <v>31.88187016</v>
      </c>
      <c r="N196" s="48"/>
      <c r="O196" s="48">
        <f t="shared" si="123"/>
        <v>225.0860033296</v>
      </c>
      <c r="P196" s="32"/>
      <c r="R196" s="46">
        <f t="shared" si="78"/>
        <v>225.0860033296</v>
      </c>
      <c r="S196" s="46">
        <f t="shared" si="79"/>
        <v>22.7727644</v>
      </c>
      <c r="T196" s="46" t="b">
        <f t="shared" si="80"/>
        <v>0</v>
      </c>
      <c r="U196" s="46" t="b">
        <f t="shared" si="81"/>
        <v>1</v>
      </c>
    </row>
    <row r="197" s="46" customFormat="1" ht="56.25" outlineLevel="1" spans="1:21">
      <c r="A197" s="32">
        <v>170</v>
      </c>
      <c r="B197" s="32" t="s">
        <v>338</v>
      </c>
      <c r="C197" s="32" t="s">
        <v>343</v>
      </c>
      <c r="D197" s="32" t="s">
        <v>94</v>
      </c>
      <c r="E197" s="32">
        <v>0.3</v>
      </c>
      <c r="F197" s="32">
        <f t="shared" ref="F197:J197" si="126">F167</f>
        <v>10</v>
      </c>
      <c r="G197" s="48">
        <f t="shared" si="122"/>
        <v>8.858</v>
      </c>
      <c r="H197" s="32">
        <f t="shared" si="126"/>
        <v>8.6</v>
      </c>
      <c r="I197" s="49">
        <f t="shared" si="126"/>
        <v>0.03</v>
      </c>
      <c r="J197" s="30">
        <f t="shared" si="126"/>
        <v>2</v>
      </c>
      <c r="K197" s="31">
        <f>(F197+G197+J197)*$K$5</f>
        <v>1.25148</v>
      </c>
      <c r="L197" s="31">
        <f>(F197+G197+J197+K197)*$L$5</f>
        <v>0.6632844</v>
      </c>
      <c r="M197" s="48">
        <f t="shared" si="77"/>
        <v>31.88187016</v>
      </c>
      <c r="N197" s="48"/>
      <c r="O197" s="48">
        <f t="shared" si="123"/>
        <v>9.564561048</v>
      </c>
      <c r="P197" s="32"/>
      <c r="R197" s="46">
        <f t="shared" si="78"/>
        <v>9.564561048</v>
      </c>
      <c r="S197" s="46">
        <f t="shared" si="79"/>
        <v>22.7727644</v>
      </c>
      <c r="T197" s="46" t="b">
        <f t="shared" si="80"/>
        <v>0</v>
      </c>
      <c r="U197" s="46" t="b">
        <f t="shared" si="81"/>
        <v>1</v>
      </c>
    </row>
    <row r="198" s="46" customFormat="1" ht="56.25" outlineLevel="1" spans="1:21">
      <c r="A198" s="32">
        <v>171</v>
      </c>
      <c r="B198" s="32" t="s">
        <v>348</v>
      </c>
      <c r="C198" s="32" t="s">
        <v>384</v>
      </c>
      <c r="D198" s="32" t="s">
        <v>94</v>
      </c>
      <c r="E198" s="32">
        <v>17.02</v>
      </c>
      <c r="F198" s="48">
        <f t="shared" ref="F198:F200" si="127">F53</f>
        <v>3</v>
      </c>
      <c r="G198" s="48">
        <f t="shared" si="122"/>
        <v>3.248</v>
      </c>
      <c r="H198" s="48">
        <v>2.8</v>
      </c>
      <c r="I198" s="49">
        <f t="shared" ref="I198:I201" si="128">I55</f>
        <v>0.16</v>
      </c>
      <c r="J198" s="31">
        <f t="shared" ref="J198:J200" si="129">J53</f>
        <v>0.5</v>
      </c>
      <c r="K198" s="31">
        <f>(F198+G198+J198)*$K$5</f>
        <v>0.40488</v>
      </c>
      <c r="L198" s="31">
        <f>(F198+G198+J198+K198)*$L$5</f>
        <v>0.2145864</v>
      </c>
      <c r="M198" s="48">
        <f t="shared" si="77"/>
        <v>10.31445296</v>
      </c>
      <c r="N198" s="48"/>
      <c r="O198" s="48">
        <f t="shared" si="123"/>
        <v>175.5519893792</v>
      </c>
      <c r="P198" s="32"/>
      <c r="R198" s="46">
        <f t="shared" si="78"/>
        <v>175.5519893792</v>
      </c>
      <c r="S198" s="46">
        <f t="shared" si="79"/>
        <v>7.3674664</v>
      </c>
      <c r="T198" s="46" t="b">
        <f t="shared" si="80"/>
        <v>0</v>
      </c>
      <c r="U198" s="46" t="b">
        <f t="shared" si="81"/>
        <v>1</v>
      </c>
    </row>
    <row r="199" s="46" customFormat="1" ht="56.25" outlineLevel="1" spans="1:21">
      <c r="A199" s="32">
        <v>172</v>
      </c>
      <c r="B199" s="32" t="s">
        <v>348</v>
      </c>
      <c r="C199" s="32" t="s">
        <v>385</v>
      </c>
      <c r="D199" s="32" t="s">
        <v>94</v>
      </c>
      <c r="E199" s="32">
        <v>25.25</v>
      </c>
      <c r="F199" s="48">
        <f t="shared" si="127"/>
        <v>3</v>
      </c>
      <c r="G199" s="48">
        <f t="shared" si="122"/>
        <v>3.248</v>
      </c>
      <c r="H199" s="48">
        <f>H198</f>
        <v>2.8</v>
      </c>
      <c r="I199" s="49">
        <f t="shared" si="128"/>
        <v>0.16</v>
      </c>
      <c r="J199" s="31">
        <f t="shared" si="129"/>
        <v>0.5</v>
      </c>
      <c r="K199" s="31">
        <f>(F199+G199+J199)*$K$5</f>
        <v>0.40488</v>
      </c>
      <c r="L199" s="31">
        <f>(F199+G199+J199+K199)*$L$5</f>
        <v>0.2145864</v>
      </c>
      <c r="M199" s="48">
        <f t="shared" si="77"/>
        <v>10.31445296</v>
      </c>
      <c r="N199" s="48"/>
      <c r="O199" s="48">
        <f t="shared" si="123"/>
        <v>260.43993724</v>
      </c>
      <c r="P199" s="32"/>
      <c r="R199" s="46">
        <f t="shared" si="78"/>
        <v>260.43993724</v>
      </c>
      <c r="S199" s="46">
        <f t="shared" si="79"/>
        <v>7.3674664</v>
      </c>
      <c r="T199" s="46" t="b">
        <f t="shared" si="80"/>
        <v>0</v>
      </c>
      <c r="U199" s="46" t="b">
        <f t="shared" si="81"/>
        <v>1</v>
      </c>
    </row>
    <row r="200" s="46" customFormat="1" ht="56.25" outlineLevel="1" spans="1:21">
      <c r="A200" s="32">
        <v>173</v>
      </c>
      <c r="B200" s="32" t="s">
        <v>348</v>
      </c>
      <c r="C200" s="32" t="s">
        <v>387</v>
      </c>
      <c r="D200" s="32" t="s">
        <v>94</v>
      </c>
      <c r="E200" s="32">
        <v>24.76</v>
      </c>
      <c r="F200" s="48">
        <f t="shared" si="127"/>
        <v>3</v>
      </c>
      <c r="G200" s="48">
        <f t="shared" si="122"/>
        <v>4.06</v>
      </c>
      <c r="H200" s="48">
        <f>H54</f>
        <v>3.5</v>
      </c>
      <c r="I200" s="49">
        <f t="shared" si="128"/>
        <v>0.16</v>
      </c>
      <c r="J200" s="31">
        <f t="shared" si="129"/>
        <v>0.5</v>
      </c>
      <c r="K200" s="31">
        <f>(F200+G200+J200)*$K$5</f>
        <v>0.4536</v>
      </c>
      <c r="L200" s="31">
        <f>(F200+G200+J200+K200)*$L$5</f>
        <v>0.240408</v>
      </c>
      <c r="M200" s="48">
        <f t="shared" si="77"/>
        <v>11.5556112</v>
      </c>
      <c r="N200" s="48"/>
      <c r="O200" s="48">
        <f t="shared" si="123"/>
        <v>286.116933312</v>
      </c>
      <c r="P200" s="32"/>
      <c r="R200" s="46">
        <f t="shared" si="78"/>
        <v>286.116933312</v>
      </c>
      <c r="S200" s="46">
        <f t="shared" si="79"/>
        <v>8.254008</v>
      </c>
      <c r="T200" s="46" t="b">
        <f t="shared" si="80"/>
        <v>0</v>
      </c>
      <c r="U200" s="46" t="b">
        <f t="shared" si="81"/>
        <v>1</v>
      </c>
    </row>
    <row r="201" s="46" customFormat="1" ht="56.25" outlineLevel="1" spans="1:21">
      <c r="A201" s="32">
        <v>174</v>
      </c>
      <c r="B201" s="32" t="s">
        <v>391</v>
      </c>
      <c r="C201" s="32" t="s">
        <v>392</v>
      </c>
      <c r="D201" s="32" t="s">
        <v>94</v>
      </c>
      <c r="E201" s="32">
        <v>142.49</v>
      </c>
      <c r="F201" s="32">
        <f t="shared" ref="F201:J201" si="130">F58</f>
        <v>3</v>
      </c>
      <c r="G201" s="48">
        <f t="shared" si="122"/>
        <v>4.06</v>
      </c>
      <c r="H201" s="32">
        <f t="shared" si="130"/>
        <v>3.5</v>
      </c>
      <c r="I201" s="49">
        <f t="shared" si="128"/>
        <v>0.16</v>
      </c>
      <c r="J201" s="30">
        <f t="shared" si="130"/>
        <v>0.5</v>
      </c>
      <c r="K201" s="31">
        <f>(F201+G201+J201)*$K$5</f>
        <v>0.4536</v>
      </c>
      <c r="L201" s="31">
        <f>(F201+G201+J201+K201)*$L$5</f>
        <v>0.240408</v>
      </c>
      <c r="M201" s="48">
        <f t="shared" ref="M201:M237" si="131">(F201+G201+J201+K201+L201)*1.4</f>
        <v>11.5556112</v>
      </c>
      <c r="N201" s="48"/>
      <c r="O201" s="48">
        <f t="shared" si="123"/>
        <v>1646.559039888</v>
      </c>
      <c r="P201" s="32"/>
      <c r="R201" s="46">
        <f t="shared" ref="R201:R237" si="132">E201*M201</f>
        <v>1646.559039888</v>
      </c>
      <c r="S201" s="46">
        <f t="shared" ref="S201:S237" si="133">F201+G201+J201+K201+L201</f>
        <v>8.254008</v>
      </c>
      <c r="T201" s="46" t="b">
        <f t="shared" ref="T201:T237" si="134">M201=S201</f>
        <v>0</v>
      </c>
      <c r="U201" s="46" t="b">
        <f t="shared" ref="U201:U237" si="135">R201=O201</f>
        <v>1</v>
      </c>
    </row>
    <row r="202" s="46" customFormat="1" ht="56.25" outlineLevel="1" spans="1:21">
      <c r="A202" s="32">
        <v>175</v>
      </c>
      <c r="B202" s="32" t="s">
        <v>398</v>
      </c>
      <c r="C202" s="32" t="s">
        <v>399</v>
      </c>
      <c r="D202" s="32" t="s">
        <v>328</v>
      </c>
      <c r="E202" s="32">
        <v>1</v>
      </c>
      <c r="F202" s="32">
        <f t="shared" ref="F202:J202" si="136">F62</f>
        <v>35</v>
      </c>
      <c r="G202" s="48">
        <f t="shared" si="122"/>
        <v>166.65</v>
      </c>
      <c r="H202" s="32">
        <f t="shared" si="136"/>
        <v>165</v>
      </c>
      <c r="I202" s="49">
        <f t="shared" si="136"/>
        <v>0.01</v>
      </c>
      <c r="J202" s="30">
        <f t="shared" si="136"/>
        <v>5</v>
      </c>
      <c r="K202" s="31">
        <f>(F202+G202+J202)*$K$5</f>
        <v>12.399</v>
      </c>
      <c r="L202" s="31">
        <f>(F202+G202+J202+K202)*$L$5</f>
        <v>6.57147</v>
      </c>
      <c r="M202" s="48">
        <f t="shared" si="131"/>
        <v>315.868658</v>
      </c>
      <c r="N202" s="48"/>
      <c r="O202" s="48">
        <f t="shared" si="123"/>
        <v>315.868658</v>
      </c>
      <c r="P202" s="32"/>
      <c r="R202" s="46">
        <f t="shared" si="132"/>
        <v>315.868658</v>
      </c>
      <c r="S202" s="46">
        <f t="shared" si="133"/>
        <v>225.62047</v>
      </c>
      <c r="T202" s="46" t="b">
        <f t="shared" si="134"/>
        <v>0</v>
      </c>
      <c r="U202" s="46" t="b">
        <f t="shared" si="135"/>
        <v>1</v>
      </c>
    </row>
    <row r="203" s="46" customFormat="1" ht="56.25" outlineLevel="1" spans="1:21">
      <c r="A203" s="32">
        <v>176</v>
      </c>
      <c r="B203" s="32" t="s">
        <v>401</v>
      </c>
      <c r="C203" s="32" t="s">
        <v>403</v>
      </c>
      <c r="D203" s="32" t="s">
        <v>88</v>
      </c>
      <c r="E203" s="32">
        <v>2</v>
      </c>
      <c r="F203" s="32">
        <f>F65</f>
        <v>15</v>
      </c>
      <c r="G203" s="48">
        <f t="shared" si="122"/>
        <v>161.6</v>
      </c>
      <c r="H203" s="48">
        <f>H65</f>
        <v>160</v>
      </c>
      <c r="I203" s="49">
        <f>I37</f>
        <v>0.01</v>
      </c>
      <c r="J203" s="31">
        <f>J37</f>
        <v>5</v>
      </c>
      <c r="K203" s="31">
        <f>(F203+G203+J203)*$K$5</f>
        <v>10.896</v>
      </c>
      <c r="L203" s="31">
        <f>(F203+G203+J203+K203)*$L$5</f>
        <v>5.77488</v>
      </c>
      <c r="M203" s="48">
        <f t="shared" si="131"/>
        <v>277.579232</v>
      </c>
      <c r="N203" s="48"/>
      <c r="O203" s="48">
        <f t="shared" si="123"/>
        <v>555.158464</v>
      </c>
      <c r="P203" s="32"/>
      <c r="R203" s="46">
        <f t="shared" si="132"/>
        <v>555.158464</v>
      </c>
      <c r="S203" s="46">
        <f t="shared" si="133"/>
        <v>198.27088</v>
      </c>
      <c r="T203" s="46" t="b">
        <f t="shared" si="134"/>
        <v>0</v>
      </c>
      <c r="U203" s="46" t="b">
        <f t="shared" si="135"/>
        <v>1</v>
      </c>
    </row>
    <row r="204" s="46" customFormat="1" ht="45" outlineLevel="1" spans="1:21">
      <c r="A204" s="32">
        <v>177</v>
      </c>
      <c r="B204" s="32" t="s">
        <v>406</v>
      </c>
      <c r="C204" s="32" t="s">
        <v>407</v>
      </c>
      <c r="D204" s="32" t="s">
        <v>328</v>
      </c>
      <c r="E204" s="32">
        <v>4</v>
      </c>
      <c r="F204" s="32">
        <f t="shared" ref="F204:J204" si="137">F67</f>
        <v>65</v>
      </c>
      <c r="G204" s="48">
        <f t="shared" si="122"/>
        <v>484.8</v>
      </c>
      <c r="H204" s="32">
        <f t="shared" si="137"/>
        <v>480</v>
      </c>
      <c r="I204" s="49">
        <f t="shared" si="137"/>
        <v>0.01</v>
      </c>
      <c r="J204" s="30">
        <f t="shared" si="137"/>
        <v>15</v>
      </c>
      <c r="K204" s="31">
        <f>(F204+G204+J204)*$K$5</f>
        <v>33.888</v>
      </c>
      <c r="L204" s="31">
        <f>(F204+G204+J204+K204)*$L$5</f>
        <v>17.96064</v>
      </c>
      <c r="M204" s="48">
        <f t="shared" si="131"/>
        <v>863.308096</v>
      </c>
      <c r="N204" s="48"/>
      <c r="O204" s="48">
        <f t="shared" si="123"/>
        <v>3453.232384</v>
      </c>
      <c r="P204" s="32"/>
      <c r="R204" s="46">
        <f t="shared" si="132"/>
        <v>3453.232384</v>
      </c>
      <c r="S204" s="46">
        <f t="shared" si="133"/>
        <v>616.64864</v>
      </c>
      <c r="T204" s="46" t="b">
        <f t="shared" si="134"/>
        <v>0</v>
      </c>
      <c r="U204" s="46" t="b">
        <f t="shared" si="135"/>
        <v>1</v>
      </c>
    </row>
    <row r="205" s="46" customFormat="1" ht="45" outlineLevel="1" spans="1:21">
      <c r="A205" s="32">
        <v>178</v>
      </c>
      <c r="B205" s="32" t="s">
        <v>408</v>
      </c>
      <c r="C205" s="32" t="s">
        <v>409</v>
      </c>
      <c r="D205" s="32" t="s">
        <v>328</v>
      </c>
      <c r="E205" s="32">
        <v>1</v>
      </c>
      <c r="F205" s="32">
        <f t="shared" ref="F205:J205" si="138">F68</f>
        <v>30</v>
      </c>
      <c r="G205" s="48">
        <f t="shared" si="122"/>
        <v>186.85</v>
      </c>
      <c r="H205" s="32">
        <f t="shared" si="138"/>
        <v>185</v>
      </c>
      <c r="I205" s="49">
        <f t="shared" si="138"/>
        <v>0.01</v>
      </c>
      <c r="J205" s="30">
        <f t="shared" si="138"/>
        <v>5</v>
      </c>
      <c r="K205" s="31">
        <f>(F205+G205+J205)*$K$5</f>
        <v>13.311</v>
      </c>
      <c r="L205" s="31">
        <f>(F205+G205+J205+K205)*$L$5</f>
        <v>7.05483</v>
      </c>
      <c r="M205" s="48">
        <f t="shared" si="131"/>
        <v>339.102162</v>
      </c>
      <c r="N205" s="48"/>
      <c r="O205" s="48">
        <f t="shared" si="123"/>
        <v>339.102162</v>
      </c>
      <c r="P205" s="32"/>
      <c r="R205" s="46">
        <f t="shared" si="132"/>
        <v>339.102162</v>
      </c>
      <c r="S205" s="46">
        <f t="shared" si="133"/>
        <v>242.21583</v>
      </c>
      <c r="T205" s="46" t="b">
        <f t="shared" si="134"/>
        <v>0</v>
      </c>
      <c r="U205" s="46" t="b">
        <f t="shared" si="135"/>
        <v>1</v>
      </c>
    </row>
    <row r="206" s="46" customFormat="1" ht="33.75" outlineLevel="1" spans="1:21">
      <c r="A206" s="32">
        <v>179</v>
      </c>
      <c r="B206" s="32" t="s">
        <v>375</v>
      </c>
      <c r="C206" s="32" t="s">
        <v>377</v>
      </c>
      <c r="D206" s="32" t="s">
        <v>88</v>
      </c>
      <c r="E206" s="32">
        <v>8</v>
      </c>
      <c r="F206" s="32">
        <f t="shared" ref="F206:J206" si="139">F40</f>
        <v>5</v>
      </c>
      <c r="G206" s="48">
        <f t="shared" si="122"/>
        <v>3.3128</v>
      </c>
      <c r="H206" s="48">
        <f t="shared" si="139"/>
        <v>3.28</v>
      </c>
      <c r="I206" s="49">
        <f t="shared" si="139"/>
        <v>0.01</v>
      </c>
      <c r="J206" s="31">
        <f t="shared" si="139"/>
        <v>2</v>
      </c>
      <c r="K206" s="31">
        <f>(F206+G206+J206)*$K$5</f>
        <v>0.618768</v>
      </c>
      <c r="L206" s="31">
        <f>(F206+G206+J206+K206)*$L$5</f>
        <v>0.32794704</v>
      </c>
      <c r="M206" s="48">
        <f t="shared" si="131"/>
        <v>15.763321056</v>
      </c>
      <c r="N206" s="48"/>
      <c r="O206" s="48">
        <f t="shared" si="123"/>
        <v>126.106568448</v>
      </c>
      <c r="P206" s="32"/>
      <c r="R206" s="46">
        <f t="shared" si="132"/>
        <v>126.106568448</v>
      </c>
      <c r="S206" s="46">
        <f t="shared" si="133"/>
        <v>11.25951504</v>
      </c>
      <c r="T206" s="46" t="b">
        <f t="shared" si="134"/>
        <v>0</v>
      </c>
      <c r="U206" s="46" t="b">
        <f t="shared" si="135"/>
        <v>1</v>
      </c>
    </row>
    <row r="207" s="46" customFormat="1" spans="1:21">
      <c r="A207" s="32"/>
      <c r="B207" s="32" t="s">
        <v>442</v>
      </c>
      <c r="C207" s="32"/>
      <c r="D207" s="32"/>
      <c r="E207" s="32"/>
      <c r="F207" s="32"/>
      <c r="G207" s="48"/>
      <c r="H207" s="48"/>
      <c r="I207" s="49"/>
      <c r="J207" s="31"/>
      <c r="K207" s="31"/>
      <c r="L207" s="31"/>
      <c r="M207" s="48">
        <f t="shared" si="131"/>
        <v>0</v>
      </c>
      <c r="N207" s="48"/>
      <c r="O207" s="48"/>
      <c r="P207" s="32"/>
      <c r="R207" s="46">
        <f t="shared" si="132"/>
        <v>0</v>
      </c>
      <c r="S207" s="46">
        <f t="shared" si="133"/>
        <v>0</v>
      </c>
      <c r="T207" s="46" t="b">
        <f t="shared" si="134"/>
        <v>1</v>
      </c>
      <c r="U207" s="46" t="b">
        <f t="shared" si="135"/>
        <v>1</v>
      </c>
    </row>
    <row r="208" s="46" customFormat="1" ht="104" customHeight="1" outlineLevel="1" spans="1:21">
      <c r="A208" s="32">
        <v>180</v>
      </c>
      <c r="B208" s="32" t="s">
        <v>447</v>
      </c>
      <c r="C208" s="32" t="s">
        <v>526</v>
      </c>
      <c r="D208" s="32" t="s">
        <v>328</v>
      </c>
      <c r="E208" s="32">
        <v>1</v>
      </c>
      <c r="F208" s="32">
        <v>3000</v>
      </c>
      <c r="G208" s="48">
        <f t="shared" ref="G208:G212" si="140">H208*(1+I208)</f>
        <v>82820</v>
      </c>
      <c r="H208" s="48">
        <v>82000</v>
      </c>
      <c r="I208" s="49">
        <v>0.01</v>
      </c>
      <c r="J208" s="31">
        <v>550</v>
      </c>
      <c r="K208" s="31">
        <f>(F208+G208+J208)*$K$5</f>
        <v>5182.2</v>
      </c>
      <c r="L208" s="31">
        <f>(F208+G208+J208+K208)*$L$5</f>
        <v>2746.566</v>
      </c>
      <c r="M208" s="48">
        <f t="shared" si="131"/>
        <v>132018.2724</v>
      </c>
      <c r="N208" s="48"/>
      <c r="O208" s="48">
        <f t="shared" ref="O208:O212" si="141">M208*E208</f>
        <v>132018.2724</v>
      </c>
      <c r="P208" s="61" t="s">
        <v>449</v>
      </c>
      <c r="R208" s="46">
        <f t="shared" si="132"/>
        <v>132018.2724</v>
      </c>
      <c r="S208" s="46">
        <f t="shared" si="133"/>
        <v>94298.766</v>
      </c>
      <c r="T208" s="46" t="b">
        <f t="shared" si="134"/>
        <v>0</v>
      </c>
      <c r="U208" s="46" t="b">
        <f t="shared" si="135"/>
        <v>1</v>
      </c>
    </row>
    <row r="209" s="46" customFormat="1" ht="104" customHeight="1" outlineLevel="1" spans="1:21">
      <c r="A209" s="32">
        <v>181</v>
      </c>
      <c r="B209" s="32" t="s">
        <v>447</v>
      </c>
      <c r="C209" s="32" t="s">
        <v>527</v>
      </c>
      <c r="D209" s="32" t="s">
        <v>328</v>
      </c>
      <c r="E209" s="32">
        <v>1</v>
      </c>
      <c r="F209" s="32">
        <v>3000</v>
      </c>
      <c r="G209" s="48">
        <f t="shared" si="140"/>
        <v>42420</v>
      </c>
      <c r="H209" s="48">
        <v>42000</v>
      </c>
      <c r="I209" s="49">
        <f>I208</f>
        <v>0.01</v>
      </c>
      <c r="J209" s="31">
        <f>J208</f>
        <v>550</v>
      </c>
      <c r="K209" s="31">
        <f>(F209+G209+J209)*$K$5</f>
        <v>2758.2</v>
      </c>
      <c r="L209" s="31">
        <f>(F209+G209+J209+K209)*$L$5</f>
        <v>1461.846</v>
      </c>
      <c r="M209" s="48">
        <f t="shared" si="131"/>
        <v>70266.0644</v>
      </c>
      <c r="N209" s="48"/>
      <c r="O209" s="48">
        <f t="shared" si="141"/>
        <v>70266.0644</v>
      </c>
      <c r="P209" s="61" t="s">
        <v>449</v>
      </c>
      <c r="R209" s="46">
        <f t="shared" si="132"/>
        <v>70266.0644</v>
      </c>
      <c r="S209" s="46">
        <f t="shared" si="133"/>
        <v>50190.046</v>
      </c>
      <c r="T209" s="46" t="b">
        <f t="shared" si="134"/>
        <v>0</v>
      </c>
      <c r="U209" s="46" t="b">
        <f t="shared" si="135"/>
        <v>1</v>
      </c>
    </row>
    <row r="210" s="46" customFormat="1" ht="104" customHeight="1" outlineLevel="1" spans="1:21">
      <c r="A210" s="32">
        <v>182</v>
      </c>
      <c r="B210" s="32" t="s">
        <v>447</v>
      </c>
      <c r="C210" s="32" t="s">
        <v>528</v>
      </c>
      <c r="D210" s="32" t="s">
        <v>328</v>
      </c>
      <c r="E210" s="32">
        <v>1</v>
      </c>
      <c r="F210" s="32">
        <f>F209</f>
        <v>3000</v>
      </c>
      <c r="G210" s="48">
        <f t="shared" si="140"/>
        <v>37875</v>
      </c>
      <c r="H210" s="48">
        <v>37500</v>
      </c>
      <c r="I210" s="49">
        <f>I208</f>
        <v>0.01</v>
      </c>
      <c r="J210" s="31">
        <f>J208</f>
        <v>550</v>
      </c>
      <c r="K210" s="31">
        <f>(F210+G210+J210)*$K$5</f>
        <v>2485.5</v>
      </c>
      <c r="L210" s="31">
        <f>(F210+G210+J210+K210)*$L$5</f>
        <v>1317.315</v>
      </c>
      <c r="M210" s="48">
        <f t="shared" si="131"/>
        <v>63318.941</v>
      </c>
      <c r="N210" s="48"/>
      <c r="O210" s="48">
        <f t="shared" si="141"/>
        <v>63318.941</v>
      </c>
      <c r="P210" s="61" t="s">
        <v>449</v>
      </c>
      <c r="R210" s="46">
        <f t="shared" si="132"/>
        <v>63318.941</v>
      </c>
      <c r="S210" s="46">
        <f t="shared" si="133"/>
        <v>45227.815</v>
      </c>
      <c r="T210" s="46" t="b">
        <f t="shared" si="134"/>
        <v>0</v>
      </c>
      <c r="U210" s="46" t="b">
        <f t="shared" si="135"/>
        <v>1</v>
      </c>
    </row>
    <row r="211" s="46" customFormat="1" ht="104" customHeight="1" outlineLevel="1" spans="1:21">
      <c r="A211" s="32">
        <v>183</v>
      </c>
      <c r="B211" s="32" t="s">
        <v>447</v>
      </c>
      <c r="C211" s="32" t="s">
        <v>459</v>
      </c>
      <c r="D211" s="32" t="s">
        <v>328</v>
      </c>
      <c r="E211" s="32">
        <v>4</v>
      </c>
      <c r="F211" s="32">
        <f t="shared" ref="F211:J211" si="142">F110</f>
        <v>550</v>
      </c>
      <c r="G211" s="48">
        <f t="shared" si="140"/>
        <v>4545</v>
      </c>
      <c r="H211" s="32">
        <f t="shared" si="142"/>
        <v>4500</v>
      </c>
      <c r="I211" s="49">
        <f t="shared" si="142"/>
        <v>0.01</v>
      </c>
      <c r="J211" s="30">
        <f t="shared" si="142"/>
        <v>150</v>
      </c>
      <c r="K211" s="31">
        <f>(F211+G211+J211)*$K$5</f>
        <v>314.7</v>
      </c>
      <c r="L211" s="31">
        <f>(F211+G211+J211+K211)*$L$5</f>
        <v>166.791</v>
      </c>
      <c r="M211" s="48">
        <f t="shared" si="131"/>
        <v>8017.0874</v>
      </c>
      <c r="N211" s="48"/>
      <c r="O211" s="48">
        <f t="shared" si="141"/>
        <v>32068.3496</v>
      </c>
      <c r="P211" s="61" t="s">
        <v>449</v>
      </c>
      <c r="R211" s="46">
        <f t="shared" si="132"/>
        <v>32068.3496</v>
      </c>
      <c r="S211" s="46">
        <f t="shared" si="133"/>
        <v>5726.491</v>
      </c>
      <c r="T211" s="46" t="b">
        <f t="shared" si="134"/>
        <v>0</v>
      </c>
      <c r="U211" s="46" t="b">
        <f t="shared" si="135"/>
        <v>1</v>
      </c>
    </row>
    <row r="212" s="46" customFormat="1" outlineLevel="1" spans="1:21">
      <c r="A212" s="32">
        <v>184</v>
      </c>
      <c r="B212" s="32" t="s">
        <v>460</v>
      </c>
      <c r="C212" s="32" t="s">
        <v>461</v>
      </c>
      <c r="D212" s="32" t="s">
        <v>59</v>
      </c>
      <c r="E212" s="32">
        <v>23.62</v>
      </c>
      <c r="F212" s="32">
        <f t="shared" ref="F212:J212" si="143">F111</f>
        <v>35</v>
      </c>
      <c r="G212" s="32">
        <f t="shared" si="140"/>
        <v>68.25</v>
      </c>
      <c r="H212" s="32">
        <f t="shared" si="143"/>
        <v>65</v>
      </c>
      <c r="I212" s="49">
        <f t="shared" si="143"/>
        <v>0.05</v>
      </c>
      <c r="J212" s="30">
        <f t="shared" si="143"/>
        <v>15</v>
      </c>
      <c r="K212" s="30">
        <f>(F212+G212+J212)*$K$5</f>
        <v>7.095</v>
      </c>
      <c r="L212" s="30">
        <f>(F212+G212+J212+K212)*$L$5</f>
        <v>3.76035</v>
      </c>
      <c r="M212" s="53">
        <f t="shared" si="131"/>
        <v>180.74749</v>
      </c>
      <c r="N212" s="54"/>
      <c r="O212" s="32">
        <f t="shared" si="141"/>
        <v>4269.2557138</v>
      </c>
      <c r="P212" s="32"/>
      <c r="R212" s="46">
        <f t="shared" si="132"/>
        <v>4269.2557138</v>
      </c>
      <c r="S212" s="46">
        <f t="shared" si="133"/>
        <v>129.10535</v>
      </c>
      <c r="T212" s="46" t="b">
        <f t="shared" si="134"/>
        <v>0</v>
      </c>
      <c r="U212" s="46" t="b">
        <f t="shared" si="135"/>
        <v>1</v>
      </c>
    </row>
    <row r="213" s="46" customFormat="1" outlineLevel="1" spans="1:21">
      <c r="A213" s="32"/>
      <c r="B213" s="32"/>
      <c r="C213" s="32"/>
      <c r="D213" s="32"/>
      <c r="E213" s="32"/>
      <c r="F213" s="32"/>
      <c r="G213" s="32"/>
      <c r="H213" s="32"/>
      <c r="I213" s="49"/>
      <c r="J213" s="30"/>
      <c r="K213" s="30"/>
      <c r="L213" s="30"/>
      <c r="M213" s="55"/>
      <c r="N213" s="56"/>
      <c r="O213" s="32"/>
      <c r="P213" s="32"/>
      <c r="R213" s="46">
        <f t="shared" si="132"/>
        <v>0</v>
      </c>
      <c r="S213" s="46">
        <f t="shared" si="133"/>
        <v>0</v>
      </c>
      <c r="T213" s="46" t="b">
        <f t="shared" si="134"/>
        <v>1</v>
      </c>
      <c r="U213" s="46" t="b">
        <f t="shared" si="135"/>
        <v>1</v>
      </c>
    </row>
    <row r="214" s="46" customFormat="1" outlineLevel="1" spans="1:21">
      <c r="A214" s="51">
        <v>185</v>
      </c>
      <c r="B214" s="51" t="s">
        <v>460</v>
      </c>
      <c r="C214" s="51" t="s">
        <v>462</v>
      </c>
      <c r="D214" s="51" t="s">
        <v>59</v>
      </c>
      <c r="E214" s="51">
        <v>13.37</v>
      </c>
      <c r="F214" s="51">
        <f t="shared" ref="F214:J214" si="144">F111</f>
        <v>35</v>
      </c>
      <c r="G214" s="51">
        <f t="shared" ref="G214:G225" si="145">H214*(1+I214)</f>
        <v>68.25</v>
      </c>
      <c r="H214" s="51">
        <f t="shared" si="144"/>
        <v>65</v>
      </c>
      <c r="I214" s="57">
        <f t="shared" si="144"/>
        <v>0.05</v>
      </c>
      <c r="J214" s="58">
        <f t="shared" si="144"/>
        <v>15</v>
      </c>
      <c r="K214" s="58">
        <f>(F214+G214+J214)*$K$5</f>
        <v>7.095</v>
      </c>
      <c r="L214" s="58">
        <f>(F214+G214+J214+K214)*$L$5</f>
        <v>3.76035</v>
      </c>
      <c r="M214" s="53">
        <f t="shared" si="131"/>
        <v>180.74749</v>
      </c>
      <c r="N214" s="54"/>
      <c r="O214" s="51">
        <f t="shared" ref="O214:O225" si="146">M214*E214</f>
        <v>2416.5939413</v>
      </c>
      <c r="P214" s="51"/>
      <c r="R214" s="46">
        <f t="shared" si="132"/>
        <v>2416.5939413</v>
      </c>
      <c r="S214" s="46">
        <f t="shared" si="133"/>
        <v>129.10535</v>
      </c>
      <c r="T214" s="46" t="b">
        <f t="shared" si="134"/>
        <v>0</v>
      </c>
      <c r="U214" s="46" t="b">
        <f t="shared" si="135"/>
        <v>1</v>
      </c>
    </row>
    <row r="215" s="46" customFormat="1" outlineLevel="1" spans="1:21">
      <c r="A215" s="52"/>
      <c r="B215" s="52"/>
      <c r="C215" s="52"/>
      <c r="D215" s="52"/>
      <c r="E215" s="52"/>
      <c r="F215" s="52"/>
      <c r="G215" s="52"/>
      <c r="H215" s="52"/>
      <c r="I215" s="59"/>
      <c r="J215" s="60"/>
      <c r="K215" s="60"/>
      <c r="L215" s="60"/>
      <c r="M215" s="55"/>
      <c r="N215" s="56"/>
      <c r="O215" s="52"/>
      <c r="P215" s="52"/>
      <c r="R215" s="46">
        <f t="shared" si="132"/>
        <v>0</v>
      </c>
      <c r="S215" s="46">
        <f t="shared" si="133"/>
        <v>0</v>
      </c>
      <c r="T215" s="46" t="b">
        <f t="shared" si="134"/>
        <v>1</v>
      </c>
      <c r="U215" s="46" t="b">
        <f t="shared" si="135"/>
        <v>1</v>
      </c>
    </row>
    <row r="216" s="46" customFormat="1" ht="33.75" outlineLevel="1" spans="1:21">
      <c r="A216" s="32">
        <v>186</v>
      </c>
      <c r="B216" s="32" t="s">
        <v>464</v>
      </c>
      <c r="C216" s="32" t="s">
        <v>465</v>
      </c>
      <c r="D216" s="32" t="s">
        <v>59</v>
      </c>
      <c r="E216" s="32">
        <v>5.04</v>
      </c>
      <c r="F216" s="32">
        <f t="shared" ref="F216:J216" si="147">F117</f>
        <v>185</v>
      </c>
      <c r="G216" s="48">
        <f t="shared" si="145"/>
        <v>231</v>
      </c>
      <c r="H216" s="32">
        <f t="shared" si="147"/>
        <v>220</v>
      </c>
      <c r="I216" s="49">
        <f t="shared" si="147"/>
        <v>0.05</v>
      </c>
      <c r="J216" s="30">
        <f t="shared" si="147"/>
        <v>15</v>
      </c>
      <c r="K216" s="31">
        <f>(F216+G216+J216)*$K$5</f>
        <v>25.86</v>
      </c>
      <c r="L216" s="31">
        <f>(F216+G216+J216+K216)*$L$5</f>
        <v>13.7058</v>
      </c>
      <c r="M216" s="48">
        <f t="shared" si="131"/>
        <v>658.79212</v>
      </c>
      <c r="N216" s="48"/>
      <c r="O216" s="48">
        <f t="shared" si="146"/>
        <v>3320.3122848</v>
      </c>
      <c r="P216" s="32"/>
      <c r="R216" s="46">
        <f t="shared" si="132"/>
        <v>3320.3122848</v>
      </c>
      <c r="S216" s="46">
        <f t="shared" si="133"/>
        <v>470.5658</v>
      </c>
      <c r="T216" s="46" t="b">
        <f t="shared" si="134"/>
        <v>0</v>
      </c>
      <c r="U216" s="46" t="b">
        <f t="shared" si="135"/>
        <v>1</v>
      </c>
    </row>
    <row r="217" s="46" customFormat="1" ht="78.75" outlineLevel="1" spans="1:21">
      <c r="A217" s="32">
        <v>187</v>
      </c>
      <c r="B217" s="32" t="s">
        <v>466</v>
      </c>
      <c r="C217" s="32" t="s">
        <v>467</v>
      </c>
      <c r="D217" s="32" t="s">
        <v>94</v>
      </c>
      <c r="E217" s="32">
        <v>2.59</v>
      </c>
      <c r="F217" s="32">
        <f t="shared" ref="F217:J217" si="148">F118</f>
        <v>15</v>
      </c>
      <c r="G217" s="48">
        <f t="shared" si="145"/>
        <v>78.75</v>
      </c>
      <c r="H217" s="32">
        <f t="shared" si="148"/>
        <v>75</v>
      </c>
      <c r="I217" s="49">
        <f t="shared" si="148"/>
        <v>0.05</v>
      </c>
      <c r="J217" s="31">
        <f t="shared" si="148"/>
        <v>1</v>
      </c>
      <c r="K217" s="31">
        <f>(F217+G217+J217)*$K$5</f>
        <v>5.685</v>
      </c>
      <c r="L217" s="31">
        <f>(F217+G217+J217+K217)*$L$5</f>
        <v>3.01305</v>
      </c>
      <c r="M217" s="48">
        <f t="shared" si="131"/>
        <v>144.82727</v>
      </c>
      <c r="N217" s="48"/>
      <c r="O217" s="48">
        <f t="shared" si="146"/>
        <v>375.1026293</v>
      </c>
      <c r="P217" s="32"/>
      <c r="R217" s="46">
        <f t="shared" si="132"/>
        <v>375.1026293</v>
      </c>
      <c r="S217" s="46">
        <f t="shared" si="133"/>
        <v>103.44805</v>
      </c>
      <c r="T217" s="46" t="b">
        <f t="shared" si="134"/>
        <v>0</v>
      </c>
      <c r="U217" s="46" t="b">
        <f t="shared" si="135"/>
        <v>1</v>
      </c>
    </row>
    <row r="218" s="46" customFormat="1" ht="90" outlineLevel="1" spans="1:21">
      <c r="A218" s="32">
        <v>188</v>
      </c>
      <c r="B218" s="32" t="s">
        <v>466</v>
      </c>
      <c r="C218" s="32" t="s">
        <v>470</v>
      </c>
      <c r="D218" s="32" t="s">
        <v>94</v>
      </c>
      <c r="E218" s="32">
        <v>4.42</v>
      </c>
      <c r="F218" s="32">
        <f>F120</f>
        <v>15</v>
      </c>
      <c r="G218" s="48">
        <f t="shared" si="145"/>
        <v>65.1</v>
      </c>
      <c r="H218" s="32">
        <f>H120</f>
        <v>62</v>
      </c>
      <c r="I218" s="49">
        <f>I118</f>
        <v>0.05</v>
      </c>
      <c r="J218" s="31">
        <f>J118</f>
        <v>1</v>
      </c>
      <c r="K218" s="31">
        <f>(F218+G218+J218)*$K$5</f>
        <v>4.866</v>
      </c>
      <c r="L218" s="31">
        <f>(F218+G218+J218+K218)*$L$5</f>
        <v>2.57898</v>
      </c>
      <c r="M218" s="48">
        <f t="shared" si="131"/>
        <v>123.962972</v>
      </c>
      <c r="N218" s="48"/>
      <c r="O218" s="48">
        <f t="shared" si="146"/>
        <v>547.91633624</v>
      </c>
      <c r="P218" s="32"/>
      <c r="R218" s="46">
        <f t="shared" si="132"/>
        <v>547.91633624</v>
      </c>
      <c r="S218" s="46">
        <f t="shared" si="133"/>
        <v>88.54498</v>
      </c>
      <c r="T218" s="46" t="b">
        <f t="shared" si="134"/>
        <v>0</v>
      </c>
      <c r="U218" s="46" t="b">
        <f t="shared" si="135"/>
        <v>1</v>
      </c>
    </row>
    <row r="219" s="46" customFormat="1" ht="78.75" outlineLevel="1" spans="1:21">
      <c r="A219" s="32">
        <v>189</v>
      </c>
      <c r="B219" s="32" t="s">
        <v>466</v>
      </c>
      <c r="C219" s="32" t="s">
        <v>471</v>
      </c>
      <c r="D219" s="32" t="s">
        <v>94</v>
      </c>
      <c r="E219" s="32">
        <v>20.47</v>
      </c>
      <c r="F219" s="32">
        <f>F121</f>
        <v>15</v>
      </c>
      <c r="G219" s="48">
        <f t="shared" si="145"/>
        <v>57.75</v>
      </c>
      <c r="H219" s="32">
        <f>H121</f>
        <v>55</v>
      </c>
      <c r="I219" s="49">
        <f>I118</f>
        <v>0.05</v>
      </c>
      <c r="J219" s="31">
        <f>J118</f>
        <v>1</v>
      </c>
      <c r="K219" s="31">
        <f>(F219+G219+J219)*$K$5</f>
        <v>4.425</v>
      </c>
      <c r="L219" s="31">
        <f>(F219+G219+J219+K219)*$L$5</f>
        <v>2.34525</v>
      </c>
      <c r="M219" s="48">
        <f t="shared" si="131"/>
        <v>112.72835</v>
      </c>
      <c r="N219" s="48"/>
      <c r="O219" s="48">
        <f t="shared" si="146"/>
        <v>2307.5493245</v>
      </c>
      <c r="P219" s="32"/>
      <c r="R219" s="46">
        <f t="shared" si="132"/>
        <v>2307.5493245</v>
      </c>
      <c r="S219" s="46">
        <f t="shared" si="133"/>
        <v>80.52025</v>
      </c>
      <c r="T219" s="46" t="b">
        <f t="shared" si="134"/>
        <v>0</v>
      </c>
      <c r="U219" s="46" t="b">
        <f t="shared" si="135"/>
        <v>1</v>
      </c>
    </row>
    <row r="220" s="46" customFormat="1" ht="78.75" outlineLevel="1" spans="1:21">
      <c r="A220" s="32">
        <v>190</v>
      </c>
      <c r="B220" s="32" t="s">
        <v>466</v>
      </c>
      <c r="C220" s="32" t="s">
        <v>473</v>
      </c>
      <c r="D220" s="32" t="s">
        <v>94</v>
      </c>
      <c r="E220" s="32">
        <v>5.01</v>
      </c>
      <c r="F220" s="32">
        <f t="shared" ref="F220:F225" si="149">F123</f>
        <v>10</v>
      </c>
      <c r="G220" s="48">
        <f t="shared" si="145"/>
        <v>44.1</v>
      </c>
      <c r="H220" s="32">
        <f t="shared" ref="H220:H224" si="150">H123</f>
        <v>42</v>
      </c>
      <c r="I220" s="49">
        <f>I118</f>
        <v>0.05</v>
      </c>
      <c r="J220" s="31">
        <f>J118</f>
        <v>1</v>
      </c>
      <c r="K220" s="31">
        <f>(F220+G220+J220)*$K$5</f>
        <v>3.306</v>
      </c>
      <c r="L220" s="31">
        <f>(F220+G220+J220+K220)*$L$5</f>
        <v>1.75218</v>
      </c>
      <c r="M220" s="48">
        <f t="shared" si="131"/>
        <v>84.221452</v>
      </c>
      <c r="N220" s="48"/>
      <c r="O220" s="48">
        <f t="shared" si="146"/>
        <v>421.94947452</v>
      </c>
      <c r="P220" s="32"/>
      <c r="R220" s="46">
        <f t="shared" si="132"/>
        <v>421.94947452</v>
      </c>
      <c r="S220" s="46">
        <f t="shared" si="133"/>
        <v>60.15818</v>
      </c>
      <c r="T220" s="46" t="b">
        <f t="shared" si="134"/>
        <v>0</v>
      </c>
      <c r="U220" s="46" t="b">
        <f t="shared" si="135"/>
        <v>1</v>
      </c>
    </row>
    <row r="221" s="46" customFormat="1" ht="90" outlineLevel="1" spans="1:21">
      <c r="A221" s="32">
        <v>191</v>
      </c>
      <c r="B221" s="32" t="s">
        <v>466</v>
      </c>
      <c r="C221" s="32" t="s">
        <v>474</v>
      </c>
      <c r="D221" s="32" t="s">
        <v>94</v>
      </c>
      <c r="E221" s="32">
        <v>4.42</v>
      </c>
      <c r="F221" s="32">
        <f t="shared" si="149"/>
        <v>10</v>
      </c>
      <c r="G221" s="48">
        <f t="shared" si="145"/>
        <v>36.75</v>
      </c>
      <c r="H221" s="32">
        <f t="shared" si="150"/>
        <v>35</v>
      </c>
      <c r="I221" s="49">
        <f>I118</f>
        <v>0.05</v>
      </c>
      <c r="J221" s="31">
        <f>J118</f>
        <v>1</v>
      </c>
      <c r="K221" s="31">
        <f>(F221+G221+J221)*$K$5</f>
        <v>2.865</v>
      </c>
      <c r="L221" s="31">
        <f>(F221+G221+J221+K221)*$L$5</f>
        <v>1.51845</v>
      </c>
      <c r="M221" s="48">
        <f t="shared" si="131"/>
        <v>72.98683</v>
      </c>
      <c r="N221" s="48"/>
      <c r="O221" s="48">
        <f t="shared" si="146"/>
        <v>322.6017886</v>
      </c>
      <c r="P221" s="32"/>
      <c r="R221" s="46">
        <f t="shared" si="132"/>
        <v>322.6017886</v>
      </c>
      <c r="S221" s="46">
        <f t="shared" si="133"/>
        <v>52.13345</v>
      </c>
      <c r="T221" s="46" t="b">
        <f t="shared" si="134"/>
        <v>0</v>
      </c>
      <c r="U221" s="46" t="b">
        <f t="shared" si="135"/>
        <v>1</v>
      </c>
    </row>
    <row r="222" s="46" customFormat="1" ht="90" outlineLevel="1" spans="1:21">
      <c r="A222" s="32">
        <v>192</v>
      </c>
      <c r="B222" s="32" t="s">
        <v>466</v>
      </c>
      <c r="C222" s="32" t="s">
        <v>475</v>
      </c>
      <c r="D222" s="32" t="s">
        <v>94</v>
      </c>
      <c r="E222" s="32">
        <v>32.39</v>
      </c>
      <c r="F222" s="32">
        <f t="shared" si="149"/>
        <v>10</v>
      </c>
      <c r="G222" s="48">
        <f t="shared" si="145"/>
        <v>33.6</v>
      </c>
      <c r="H222" s="32">
        <f t="shared" si="150"/>
        <v>32</v>
      </c>
      <c r="I222" s="49">
        <f>I118</f>
        <v>0.05</v>
      </c>
      <c r="J222" s="31">
        <f>J118</f>
        <v>1</v>
      </c>
      <c r="K222" s="31">
        <f>(F222+G222+J222)*$K$5</f>
        <v>2.676</v>
      </c>
      <c r="L222" s="31">
        <f>(F222+G222+J222+K222)*$L$5</f>
        <v>1.41828</v>
      </c>
      <c r="M222" s="48">
        <f t="shared" si="131"/>
        <v>68.171992</v>
      </c>
      <c r="N222" s="48"/>
      <c r="O222" s="48">
        <f t="shared" si="146"/>
        <v>2208.09082088</v>
      </c>
      <c r="P222" s="32"/>
      <c r="R222" s="46">
        <f t="shared" si="132"/>
        <v>2208.09082088</v>
      </c>
      <c r="S222" s="46">
        <f t="shared" si="133"/>
        <v>48.69428</v>
      </c>
      <c r="T222" s="46" t="b">
        <f t="shared" si="134"/>
        <v>0</v>
      </c>
      <c r="U222" s="46" t="b">
        <f t="shared" si="135"/>
        <v>1</v>
      </c>
    </row>
    <row r="223" s="46" customFormat="1" ht="78.75" outlineLevel="1" spans="1:21">
      <c r="A223" s="32">
        <v>193</v>
      </c>
      <c r="B223" s="32" t="s">
        <v>466</v>
      </c>
      <c r="C223" s="32" t="s">
        <v>476</v>
      </c>
      <c r="D223" s="32" t="s">
        <v>94</v>
      </c>
      <c r="E223" s="32">
        <v>2.47</v>
      </c>
      <c r="F223" s="32">
        <f t="shared" si="149"/>
        <v>10</v>
      </c>
      <c r="G223" s="48">
        <f t="shared" si="145"/>
        <v>26.25</v>
      </c>
      <c r="H223" s="32">
        <f t="shared" si="150"/>
        <v>25</v>
      </c>
      <c r="I223" s="49">
        <f>I118</f>
        <v>0.05</v>
      </c>
      <c r="J223" s="31">
        <f>J118</f>
        <v>1</v>
      </c>
      <c r="K223" s="31">
        <f>(F223+G223+J223)*$K$5</f>
        <v>2.235</v>
      </c>
      <c r="L223" s="31">
        <f>(F223+G223+J223+K223)*$L$5</f>
        <v>1.18455</v>
      </c>
      <c r="M223" s="48">
        <f t="shared" si="131"/>
        <v>56.93737</v>
      </c>
      <c r="N223" s="48"/>
      <c r="O223" s="48">
        <f t="shared" si="146"/>
        <v>140.6353039</v>
      </c>
      <c r="P223" s="32"/>
      <c r="R223" s="46">
        <f t="shared" si="132"/>
        <v>140.6353039</v>
      </c>
      <c r="S223" s="46">
        <f t="shared" si="133"/>
        <v>40.66955</v>
      </c>
      <c r="T223" s="46" t="b">
        <f t="shared" si="134"/>
        <v>0</v>
      </c>
      <c r="U223" s="46" t="b">
        <f t="shared" si="135"/>
        <v>1</v>
      </c>
    </row>
    <row r="224" s="46" customFormat="1" ht="78.75" outlineLevel="1" spans="1:21">
      <c r="A224" s="32">
        <v>194</v>
      </c>
      <c r="B224" s="32" t="s">
        <v>466</v>
      </c>
      <c r="C224" s="32" t="s">
        <v>477</v>
      </c>
      <c r="D224" s="32" t="s">
        <v>94</v>
      </c>
      <c r="E224" s="32">
        <v>16.82</v>
      </c>
      <c r="F224" s="32">
        <f t="shared" si="149"/>
        <v>10</v>
      </c>
      <c r="G224" s="48">
        <f t="shared" si="145"/>
        <v>21</v>
      </c>
      <c r="H224" s="32">
        <f t="shared" si="150"/>
        <v>20</v>
      </c>
      <c r="I224" s="49">
        <f>I118</f>
        <v>0.05</v>
      </c>
      <c r="J224" s="31">
        <f>J118</f>
        <v>1</v>
      </c>
      <c r="K224" s="31">
        <f>(F224+G224+J224)*$K$5</f>
        <v>1.92</v>
      </c>
      <c r="L224" s="31">
        <f>(F224+G224+J224+K224)*$L$5</f>
        <v>1.0176</v>
      </c>
      <c r="M224" s="48">
        <f t="shared" si="131"/>
        <v>48.91264</v>
      </c>
      <c r="N224" s="48"/>
      <c r="O224" s="48">
        <f t="shared" si="146"/>
        <v>822.7106048</v>
      </c>
      <c r="P224" s="32"/>
      <c r="R224" s="46">
        <f t="shared" si="132"/>
        <v>822.7106048</v>
      </c>
      <c r="S224" s="46">
        <f t="shared" si="133"/>
        <v>34.9376</v>
      </c>
      <c r="T224" s="46" t="b">
        <f t="shared" si="134"/>
        <v>0</v>
      </c>
      <c r="U224" s="46" t="b">
        <f t="shared" si="135"/>
        <v>1</v>
      </c>
    </row>
    <row r="225" s="46" customFormat="1" outlineLevel="1" spans="1:21">
      <c r="A225" s="51">
        <v>195</v>
      </c>
      <c r="B225" s="51" t="s">
        <v>431</v>
      </c>
      <c r="C225" s="51" t="s">
        <v>529</v>
      </c>
      <c r="D225" s="51" t="s">
        <v>94</v>
      </c>
      <c r="E225" s="51">
        <v>16.12</v>
      </c>
      <c r="F225" s="51">
        <f t="shared" si="149"/>
        <v>15</v>
      </c>
      <c r="G225" s="51">
        <f t="shared" si="145"/>
        <v>23.1</v>
      </c>
      <c r="H225" s="51">
        <v>22</v>
      </c>
      <c r="I225" s="57">
        <f>I128</f>
        <v>0.05</v>
      </c>
      <c r="J225" s="58">
        <v>11</v>
      </c>
      <c r="K225" s="58">
        <f>(F225+G225+J225)*$K$5</f>
        <v>2.946</v>
      </c>
      <c r="L225" s="58">
        <f>(F225+G225+J225+K225)*$L$5</f>
        <v>1.56138</v>
      </c>
      <c r="M225" s="53">
        <f t="shared" si="131"/>
        <v>75.050332</v>
      </c>
      <c r="N225" s="54"/>
      <c r="O225" s="51">
        <f t="shared" si="146"/>
        <v>1209.81135184</v>
      </c>
      <c r="P225" s="58"/>
      <c r="R225" s="46">
        <f t="shared" si="132"/>
        <v>1209.81135184</v>
      </c>
      <c r="S225" s="46">
        <f t="shared" si="133"/>
        <v>53.60738</v>
      </c>
      <c r="T225" s="46" t="b">
        <f t="shared" si="134"/>
        <v>0</v>
      </c>
      <c r="U225" s="46" t="b">
        <f t="shared" si="135"/>
        <v>1</v>
      </c>
    </row>
    <row r="226" s="46" customFormat="1" outlineLevel="1" spans="1:21">
      <c r="A226" s="62"/>
      <c r="B226" s="62"/>
      <c r="C226" s="62"/>
      <c r="D226" s="62"/>
      <c r="E226" s="62"/>
      <c r="F226" s="62"/>
      <c r="G226" s="62"/>
      <c r="H226" s="62"/>
      <c r="I226" s="63"/>
      <c r="J226" s="64"/>
      <c r="K226" s="64"/>
      <c r="L226" s="64"/>
      <c r="M226" s="65"/>
      <c r="N226" s="66"/>
      <c r="O226" s="62"/>
      <c r="P226" s="64"/>
      <c r="R226" s="46">
        <f t="shared" si="132"/>
        <v>0</v>
      </c>
      <c r="S226" s="46">
        <f t="shared" si="133"/>
        <v>0</v>
      </c>
      <c r="T226" s="46" t="b">
        <f t="shared" si="134"/>
        <v>1</v>
      </c>
      <c r="U226" s="46" t="b">
        <f t="shared" si="135"/>
        <v>1</v>
      </c>
    </row>
    <row r="227" s="46" customFormat="1" outlineLevel="1" spans="1:21">
      <c r="A227" s="52"/>
      <c r="B227" s="52"/>
      <c r="C227" s="52"/>
      <c r="D227" s="52"/>
      <c r="E227" s="52"/>
      <c r="F227" s="52"/>
      <c r="G227" s="52"/>
      <c r="H227" s="52"/>
      <c r="I227" s="59"/>
      <c r="J227" s="60"/>
      <c r="K227" s="60"/>
      <c r="L227" s="60"/>
      <c r="M227" s="55"/>
      <c r="N227" s="56"/>
      <c r="O227" s="52"/>
      <c r="P227" s="60"/>
      <c r="R227" s="46">
        <f t="shared" si="132"/>
        <v>0</v>
      </c>
      <c r="S227" s="46">
        <f t="shared" si="133"/>
        <v>0</v>
      </c>
      <c r="T227" s="46" t="b">
        <f t="shared" si="134"/>
        <v>1</v>
      </c>
      <c r="U227" s="46" t="b">
        <f t="shared" si="135"/>
        <v>1</v>
      </c>
    </row>
    <row r="228" s="46" customFormat="1" outlineLevel="1" spans="1:21">
      <c r="A228" s="51">
        <v>196</v>
      </c>
      <c r="B228" s="51" t="s">
        <v>431</v>
      </c>
      <c r="C228" s="51" t="s">
        <v>479</v>
      </c>
      <c r="D228" s="51" t="s">
        <v>94</v>
      </c>
      <c r="E228" s="51">
        <v>10.35</v>
      </c>
      <c r="F228" s="51">
        <f t="shared" ref="F228:J228" si="151">F131</f>
        <v>15</v>
      </c>
      <c r="G228" s="51">
        <f t="shared" ref="G228:G237" si="152">H228*(1+I228)</f>
        <v>18.9</v>
      </c>
      <c r="H228" s="51">
        <f t="shared" si="151"/>
        <v>18</v>
      </c>
      <c r="I228" s="57">
        <f t="shared" si="151"/>
        <v>0.05</v>
      </c>
      <c r="J228" s="58">
        <f t="shared" si="151"/>
        <v>8</v>
      </c>
      <c r="K228" s="58">
        <f>(F228+G228+J228)*$K$5</f>
        <v>2.514</v>
      </c>
      <c r="L228" s="58">
        <f>(F228+G228+J228+K228)*$L$5</f>
        <v>1.33242</v>
      </c>
      <c r="M228" s="53">
        <f t="shared" si="131"/>
        <v>64.044988</v>
      </c>
      <c r="N228" s="54"/>
      <c r="O228" s="51">
        <f t="shared" ref="O228:O237" si="153">M228*E228</f>
        <v>662.8656258</v>
      </c>
      <c r="P228" s="58"/>
      <c r="R228" s="46">
        <f t="shared" si="132"/>
        <v>662.8656258</v>
      </c>
      <c r="S228" s="46">
        <f t="shared" si="133"/>
        <v>45.74642</v>
      </c>
      <c r="T228" s="46" t="b">
        <f t="shared" si="134"/>
        <v>0</v>
      </c>
      <c r="U228" s="46" t="b">
        <f t="shared" si="135"/>
        <v>1</v>
      </c>
    </row>
    <row r="229" s="46" customFormat="1" outlineLevel="1" spans="1:21">
      <c r="A229" s="62"/>
      <c r="B229" s="62"/>
      <c r="C229" s="62"/>
      <c r="D229" s="62"/>
      <c r="E229" s="62"/>
      <c r="F229" s="62"/>
      <c r="G229" s="62"/>
      <c r="H229" s="62"/>
      <c r="I229" s="63"/>
      <c r="J229" s="64"/>
      <c r="K229" s="64"/>
      <c r="L229" s="64"/>
      <c r="M229" s="65"/>
      <c r="N229" s="66"/>
      <c r="O229" s="62"/>
      <c r="P229" s="64"/>
      <c r="R229" s="46">
        <f t="shared" si="132"/>
        <v>0</v>
      </c>
      <c r="S229" s="46">
        <f t="shared" si="133"/>
        <v>0</v>
      </c>
      <c r="T229" s="46" t="b">
        <f t="shared" si="134"/>
        <v>1</v>
      </c>
      <c r="U229" s="46" t="b">
        <f t="shared" si="135"/>
        <v>1</v>
      </c>
    </row>
    <row r="230" s="46" customFormat="1" outlineLevel="1" spans="1:21">
      <c r="A230" s="52"/>
      <c r="B230" s="52"/>
      <c r="C230" s="52"/>
      <c r="D230" s="52"/>
      <c r="E230" s="52"/>
      <c r="F230" s="52"/>
      <c r="G230" s="52"/>
      <c r="H230" s="52"/>
      <c r="I230" s="59"/>
      <c r="J230" s="60"/>
      <c r="K230" s="60"/>
      <c r="L230" s="60"/>
      <c r="M230" s="55"/>
      <c r="N230" s="56"/>
      <c r="O230" s="52"/>
      <c r="P230" s="60"/>
      <c r="R230" s="46">
        <f t="shared" si="132"/>
        <v>0</v>
      </c>
      <c r="S230" s="46">
        <f t="shared" si="133"/>
        <v>0</v>
      </c>
      <c r="T230" s="46" t="b">
        <f t="shared" si="134"/>
        <v>1</v>
      </c>
      <c r="U230" s="46" t="b">
        <f t="shared" si="135"/>
        <v>1</v>
      </c>
    </row>
    <row r="231" s="46" customFormat="1" ht="56.25" outlineLevel="1" spans="1:21">
      <c r="A231" s="32">
        <v>197</v>
      </c>
      <c r="B231" s="32" t="s">
        <v>480</v>
      </c>
      <c r="C231" s="32" t="s">
        <v>487</v>
      </c>
      <c r="D231" s="32" t="s">
        <v>88</v>
      </c>
      <c r="E231" s="32">
        <v>1</v>
      </c>
      <c r="F231" s="32">
        <f t="shared" ref="F231:J231" si="154">F140</f>
        <v>35</v>
      </c>
      <c r="G231" s="48">
        <f t="shared" si="152"/>
        <v>151.5</v>
      </c>
      <c r="H231" s="32">
        <f t="shared" si="154"/>
        <v>150</v>
      </c>
      <c r="I231" s="49">
        <f t="shared" si="154"/>
        <v>0.01</v>
      </c>
      <c r="J231" s="30">
        <f t="shared" si="154"/>
        <v>10</v>
      </c>
      <c r="K231" s="31">
        <f>(F231+G231+J231)*$K$5</f>
        <v>11.79</v>
      </c>
      <c r="L231" s="31">
        <f>(F231+G231+J231+K231)*$L$5</f>
        <v>6.2487</v>
      </c>
      <c r="M231" s="48">
        <f t="shared" si="131"/>
        <v>300.35418</v>
      </c>
      <c r="N231" s="48"/>
      <c r="O231" s="48">
        <f t="shared" si="153"/>
        <v>300.35418</v>
      </c>
      <c r="P231" s="32"/>
      <c r="R231" s="46">
        <f t="shared" si="132"/>
        <v>300.35418</v>
      </c>
      <c r="S231" s="46">
        <f t="shared" si="133"/>
        <v>214.5387</v>
      </c>
      <c r="T231" s="46" t="b">
        <f t="shared" si="134"/>
        <v>0</v>
      </c>
      <c r="U231" s="46" t="b">
        <f t="shared" si="135"/>
        <v>1</v>
      </c>
    </row>
    <row r="232" s="46" customFormat="1" ht="56.25" outlineLevel="1" spans="1:21">
      <c r="A232" s="32">
        <v>198</v>
      </c>
      <c r="B232" s="32" t="s">
        <v>480</v>
      </c>
      <c r="C232" s="32" t="s">
        <v>492</v>
      </c>
      <c r="D232" s="32" t="s">
        <v>88</v>
      </c>
      <c r="E232" s="32">
        <v>1</v>
      </c>
      <c r="F232" s="32">
        <f t="shared" ref="F232:J232" si="155">F231</f>
        <v>35</v>
      </c>
      <c r="G232" s="48">
        <f t="shared" si="152"/>
        <v>85.85</v>
      </c>
      <c r="H232" s="48">
        <f>H151</f>
        <v>85</v>
      </c>
      <c r="I232" s="49">
        <f t="shared" si="155"/>
        <v>0.01</v>
      </c>
      <c r="J232" s="30">
        <f t="shared" si="155"/>
        <v>10</v>
      </c>
      <c r="K232" s="31">
        <f>(F232+G232+J232)*$K$5</f>
        <v>7.851</v>
      </c>
      <c r="L232" s="31">
        <f>(F232+G232+J232+K232)*$L$5</f>
        <v>4.16103</v>
      </c>
      <c r="M232" s="48">
        <f t="shared" si="131"/>
        <v>200.006842</v>
      </c>
      <c r="N232" s="48"/>
      <c r="O232" s="48">
        <f t="shared" si="153"/>
        <v>200.006842</v>
      </c>
      <c r="P232" s="32"/>
      <c r="R232" s="46">
        <f t="shared" si="132"/>
        <v>200.006842</v>
      </c>
      <c r="S232" s="46">
        <f t="shared" si="133"/>
        <v>142.86203</v>
      </c>
      <c r="T232" s="46" t="b">
        <f t="shared" si="134"/>
        <v>0</v>
      </c>
      <c r="U232" s="46" t="b">
        <f t="shared" si="135"/>
        <v>1</v>
      </c>
    </row>
    <row r="233" s="46" customFormat="1" ht="67.5" outlineLevel="1" spans="1:21">
      <c r="A233" s="32">
        <v>199</v>
      </c>
      <c r="B233" s="32" t="s">
        <v>480</v>
      </c>
      <c r="C233" s="32" t="s">
        <v>530</v>
      </c>
      <c r="D233" s="32" t="s">
        <v>88</v>
      </c>
      <c r="E233" s="32">
        <v>1</v>
      </c>
      <c r="F233" s="32">
        <f t="shared" ref="F233:J233" si="156">F231</f>
        <v>35</v>
      </c>
      <c r="G233" s="48">
        <f t="shared" si="152"/>
        <v>85.85</v>
      </c>
      <c r="H233" s="48">
        <f>H232</f>
        <v>85</v>
      </c>
      <c r="I233" s="49">
        <f t="shared" si="156"/>
        <v>0.01</v>
      </c>
      <c r="J233" s="30">
        <f t="shared" si="156"/>
        <v>10</v>
      </c>
      <c r="K233" s="31">
        <f>(F233+G233+J233)*$K$5</f>
        <v>7.851</v>
      </c>
      <c r="L233" s="31">
        <f>(F233+G233+J233+K233)*$L$5</f>
        <v>4.16103</v>
      </c>
      <c r="M233" s="48">
        <f t="shared" si="131"/>
        <v>200.006842</v>
      </c>
      <c r="N233" s="48"/>
      <c r="O233" s="48">
        <f t="shared" si="153"/>
        <v>200.006842</v>
      </c>
      <c r="P233" s="32"/>
      <c r="R233" s="46">
        <f t="shared" si="132"/>
        <v>200.006842</v>
      </c>
      <c r="S233" s="46">
        <f t="shared" si="133"/>
        <v>142.86203</v>
      </c>
      <c r="T233" s="46" t="b">
        <f t="shared" si="134"/>
        <v>0</v>
      </c>
      <c r="U233" s="46" t="b">
        <f t="shared" si="135"/>
        <v>1</v>
      </c>
    </row>
    <row r="234" s="46" customFormat="1" ht="56.25" outlineLevel="1" spans="1:21">
      <c r="A234" s="32">
        <v>200</v>
      </c>
      <c r="B234" s="32" t="s">
        <v>480</v>
      </c>
      <c r="C234" s="32" t="s">
        <v>501</v>
      </c>
      <c r="D234" s="32" t="s">
        <v>88</v>
      </c>
      <c r="E234" s="32">
        <v>1</v>
      </c>
      <c r="F234" s="32">
        <f t="shared" ref="F234:J234" si="157">F233</f>
        <v>35</v>
      </c>
      <c r="G234" s="48">
        <f t="shared" si="152"/>
        <v>85.85</v>
      </c>
      <c r="H234" s="32">
        <f t="shared" si="157"/>
        <v>85</v>
      </c>
      <c r="I234" s="49">
        <f t="shared" si="157"/>
        <v>0.01</v>
      </c>
      <c r="J234" s="30">
        <f t="shared" si="157"/>
        <v>10</v>
      </c>
      <c r="K234" s="31">
        <f>(F234+G234+J234)*$K$5</f>
        <v>7.851</v>
      </c>
      <c r="L234" s="31">
        <f>(F234+G234+J234+K234)*$L$5</f>
        <v>4.16103</v>
      </c>
      <c r="M234" s="48">
        <f t="shared" si="131"/>
        <v>200.006842</v>
      </c>
      <c r="N234" s="48"/>
      <c r="O234" s="48">
        <f t="shared" si="153"/>
        <v>200.006842</v>
      </c>
      <c r="P234" s="32"/>
      <c r="R234" s="46">
        <f t="shared" si="132"/>
        <v>200.006842</v>
      </c>
      <c r="S234" s="46">
        <f t="shared" si="133"/>
        <v>142.86203</v>
      </c>
      <c r="T234" s="46" t="b">
        <f t="shared" si="134"/>
        <v>0</v>
      </c>
      <c r="U234" s="46" t="b">
        <f t="shared" si="135"/>
        <v>1</v>
      </c>
    </row>
    <row r="235" s="46" customFormat="1" ht="56.25" outlineLevel="1" spans="1:21">
      <c r="A235" s="32">
        <v>201</v>
      </c>
      <c r="B235" s="32" t="s">
        <v>480</v>
      </c>
      <c r="C235" s="32" t="s">
        <v>531</v>
      </c>
      <c r="D235" s="32" t="s">
        <v>88</v>
      </c>
      <c r="E235" s="32">
        <v>2</v>
      </c>
      <c r="F235" s="32">
        <f t="shared" ref="F235:J235" si="158">F233</f>
        <v>35</v>
      </c>
      <c r="G235" s="48">
        <f t="shared" si="152"/>
        <v>85.85</v>
      </c>
      <c r="H235" s="48">
        <f t="shared" si="158"/>
        <v>85</v>
      </c>
      <c r="I235" s="49">
        <f t="shared" si="158"/>
        <v>0.01</v>
      </c>
      <c r="J235" s="30">
        <f t="shared" si="158"/>
        <v>10</v>
      </c>
      <c r="K235" s="31">
        <f>(F235+G235+J235)*$K$5</f>
        <v>7.851</v>
      </c>
      <c r="L235" s="31">
        <f>(F235+G235+J235+K235)*$L$5</f>
        <v>4.16103</v>
      </c>
      <c r="M235" s="48">
        <f t="shared" si="131"/>
        <v>200.006842</v>
      </c>
      <c r="N235" s="48"/>
      <c r="O235" s="48">
        <f t="shared" si="153"/>
        <v>400.013684</v>
      </c>
      <c r="P235" s="32"/>
      <c r="R235" s="46">
        <f t="shared" si="132"/>
        <v>400.013684</v>
      </c>
      <c r="S235" s="46">
        <f t="shared" si="133"/>
        <v>142.86203</v>
      </c>
      <c r="T235" s="46" t="b">
        <f t="shared" si="134"/>
        <v>0</v>
      </c>
      <c r="U235" s="46" t="b">
        <f t="shared" si="135"/>
        <v>1</v>
      </c>
    </row>
    <row r="236" s="46" customFormat="1" ht="56.25" outlineLevel="1" spans="1:21">
      <c r="A236" s="32">
        <v>202</v>
      </c>
      <c r="B236" s="32" t="s">
        <v>503</v>
      </c>
      <c r="C236" s="32" t="s">
        <v>504</v>
      </c>
      <c r="D236" s="32" t="s">
        <v>505</v>
      </c>
      <c r="E236" s="32">
        <v>0.05</v>
      </c>
      <c r="F236" s="32">
        <f t="shared" ref="F236:J236" si="159">F156</f>
        <v>700</v>
      </c>
      <c r="G236" s="48">
        <f t="shared" si="152"/>
        <v>1545</v>
      </c>
      <c r="H236" s="48">
        <f t="shared" si="159"/>
        <v>1500</v>
      </c>
      <c r="I236" s="49">
        <f t="shared" si="159"/>
        <v>0.03</v>
      </c>
      <c r="J236" s="31">
        <f t="shared" si="159"/>
        <v>160</v>
      </c>
      <c r="K236" s="31">
        <f>(F236+G236+J236)*$K$5</f>
        <v>144.3</v>
      </c>
      <c r="L236" s="31">
        <f>(F236+G236+J236+K236)*$L$5</f>
        <v>76.479</v>
      </c>
      <c r="M236" s="48">
        <f t="shared" si="131"/>
        <v>3676.0906</v>
      </c>
      <c r="N236" s="48"/>
      <c r="O236" s="48">
        <f t="shared" si="153"/>
        <v>183.80453</v>
      </c>
      <c r="P236" s="32"/>
      <c r="R236" s="46">
        <f t="shared" si="132"/>
        <v>183.80453</v>
      </c>
      <c r="S236" s="46">
        <f t="shared" si="133"/>
        <v>2625.779</v>
      </c>
      <c r="T236" s="46" t="b">
        <f t="shared" si="134"/>
        <v>0</v>
      </c>
      <c r="U236" s="46" t="b">
        <f t="shared" si="135"/>
        <v>1</v>
      </c>
    </row>
    <row r="237" s="46" customFormat="1" ht="56.25" outlineLevel="1" spans="1:21">
      <c r="A237" s="32">
        <v>203</v>
      </c>
      <c r="B237" s="32" t="s">
        <v>503</v>
      </c>
      <c r="C237" s="32" t="s">
        <v>506</v>
      </c>
      <c r="D237" s="32" t="s">
        <v>505</v>
      </c>
      <c r="E237" s="32">
        <v>0.37</v>
      </c>
      <c r="F237" s="32">
        <f t="shared" ref="F237:J237" si="160">F156</f>
        <v>700</v>
      </c>
      <c r="G237" s="48">
        <f t="shared" si="152"/>
        <v>1545</v>
      </c>
      <c r="H237" s="48">
        <f t="shared" si="160"/>
        <v>1500</v>
      </c>
      <c r="I237" s="49">
        <f t="shared" si="160"/>
        <v>0.03</v>
      </c>
      <c r="J237" s="31">
        <f t="shared" si="160"/>
        <v>160</v>
      </c>
      <c r="K237" s="31">
        <f>(F237+G237+J237)*$K$5</f>
        <v>144.3</v>
      </c>
      <c r="L237" s="31">
        <f>(F237+G237+J237+K237)*$L$5</f>
        <v>76.479</v>
      </c>
      <c r="M237" s="48">
        <f t="shared" si="131"/>
        <v>3676.0906</v>
      </c>
      <c r="N237" s="48"/>
      <c r="O237" s="48">
        <f t="shared" si="153"/>
        <v>1360.153522</v>
      </c>
      <c r="P237" s="32"/>
      <c r="R237" s="46">
        <f t="shared" si="132"/>
        <v>1360.153522</v>
      </c>
      <c r="S237" s="46">
        <f t="shared" si="133"/>
        <v>2625.779</v>
      </c>
      <c r="T237" s="46" t="b">
        <f t="shared" si="134"/>
        <v>0</v>
      </c>
      <c r="U237" s="46" t="b">
        <f t="shared" si="135"/>
        <v>1</v>
      </c>
    </row>
    <row r="238" s="46" customFormat="1" outlineLevel="1" spans="1:18">
      <c r="A238" s="32"/>
      <c r="B238" s="32"/>
      <c r="C238" s="32"/>
      <c r="D238" s="32"/>
      <c r="E238" s="32"/>
      <c r="F238" s="32"/>
      <c r="G238" s="48"/>
      <c r="H238" s="48"/>
      <c r="I238" s="49"/>
      <c r="J238" s="31"/>
      <c r="K238" s="31"/>
      <c r="L238" s="31"/>
      <c r="M238" s="48"/>
      <c r="N238" s="67">
        <f>SUM(O8:O237)</f>
        <v>1151508.31590933</v>
      </c>
      <c r="O238" s="68"/>
      <c r="P238" s="32"/>
      <c r="R238" s="46">
        <f>SUM(R8:R237)</f>
        <v>1151508.31590933</v>
      </c>
    </row>
    <row r="239" ht="59" customHeight="1" spans="1:16">
      <c r="A239" s="35" t="s">
        <v>321</v>
      </c>
      <c r="B239" s="36" t="s">
        <v>322</v>
      </c>
      <c r="C239" s="36"/>
      <c r="D239" s="36"/>
      <c r="E239" s="36"/>
      <c r="F239" s="36"/>
      <c r="G239" s="36"/>
      <c r="H239" s="36"/>
      <c r="I239" s="36"/>
      <c r="J239" s="35"/>
      <c r="K239" s="35"/>
      <c r="L239" s="35"/>
      <c r="M239" s="36"/>
      <c r="N239" s="36"/>
      <c r="O239" s="36"/>
      <c r="P239" s="36"/>
    </row>
  </sheetData>
  <autoFilter ref="A5:P239">
    <extLst/>
  </autoFilter>
  <mergeCells count="453">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7:N117"/>
    <mergeCell ref="M118:N118"/>
    <mergeCell ref="M119:N119"/>
    <mergeCell ref="M120:N120"/>
    <mergeCell ref="M121:N121"/>
    <mergeCell ref="M122:N122"/>
    <mergeCell ref="M123:N123"/>
    <mergeCell ref="M124:N124"/>
    <mergeCell ref="M125:N125"/>
    <mergeCell ref="M126:N126"/>
    <mergeCell ref="M127:N127"/>
    <mergeCell ref="M134:N134"/>
    <mergeCell ref="M135:N135"/>
    <mergeCell ref="M136:N136"/>
    <mergeCell ref="M137:N137"/>
    <mergeCell ref="M138:N138"/>
    <mergeCell ref="M139:N139"/>
    <mergeCell ref="M140:N140"/>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M160:N160"/>
    <mergeCell ref="M161:N161"/>
    <mergeCell ref="M162:N162"/>
    <mergeCell ref="M163:N163"/>
    <mergeCell ref="M164:N164"/>
    <mergeCell ref="M165:N165"/>
    <mergeCell ref="M166:N166"/>
    <mergeCell ref="M167:N167"/>
    <mergeCell ref="M168:N168"/>
    <mergeCell ref="M169:N169"/>
    <mergeCell ref="M170:N170"/>
    <mergeCell ref="M171:N171"/>
    <mergeCell ref="M172:N172"/>
    <mergeCell ref="M173:N173"/>
    <mergeCell ref="M174:N174"/>
    <mergeCell ref="M175:N175"/>
    <mergeCell ref="M176:N176"/>
    <mergeCell ref="M177:N177"/>
    <mergeCell ref="M178:N178"/>
    <mergeCell ref="M179:N179"/>
    <mergeCell ref="M180:N180"/>
    <mergeCell ref="M181:N181"/>
    <mergeCell ref="M182:N182"/>
    <mergeCell ref="M183:N183"/>
    <mergeCell ref="M184:N184"/>
    <mergeCell ref="M185:N185"/>
    <mergeCell ref="M186:N186"/>
    <mergeCell ref="M187:N187"/>
    <mergeCell ref="M188:N188"/>
    <mergeCell ref="M189:N189"/>
    <mergeCell ref="M190:N190"/>
    <mergeCell ref="M191:N191"/>
    <mergeCell ref="M192:N192"/>
    <mergeCell ref="M193:N193"/>
    <mergeCell ref="M194:N194"/>
    <mergeCell ref="M195:N195"/>
    <mergeCell ref="M196:N196"/>
    <mergeCell ref="M197:N197"/>
    <mergeCell ref="M198:N198"/>
    <mergeCell ref="M199:N199"/>
    <mergeCell ref="M200:N200"/>
    <mergeCell ref="M201:N201"/>
    <mergeCell ref="M202:N202"/>
    <mergeCell ref="M203:N203"/>
    <mergeCell ref="M204:N204"/>
    <mergeCell ref="M205:N205"/>
    <mergeCell ref="M206:N206"/>
    <mergeCell ref="M207:N207"/>
    <mergeCell ref="M208:N208"/>
    <mergeCell ref="M209:N209"/>
    <mergeCell ref="M210:N210"/>
    <mergeCell ref="M211:N211"/>
    <mergeCell ref="M216:N216"/>
    <mergeCell ref="M217:N217"/>
    <mergeCell ref="M218:N218"/>
    <mergeCell ref="M219:N219"/>
    <mergeCell ref="M220:N220"/>
    <mergeCell ref="M221:N221"/>
    <mergeCell ref="M222:N222"/>
    <mergeCell ref="M223:N223"/>
    <mergeCell ref="M224:N224"/>
    <mergeCell ref="M231:N231"/>
    <mergeCell ref="M232:N232"/>
    <mergeCell ref="M233:N233"/>
    <mergeCell ref="M234:N234"/>
    <mergeCell ref="M235:N235"/>
    <mergeCell ref="M236:N236"/>
    <mergeCell ref="M237:N237"/>
    <mergeCell ref="N238:O238"/>
    <mergeCell ref="B239:P239"/>
    <mergeCell ref="A3:A5"/>
    <mergeCell ref="A81:A82"/>
    <mergeCell ref="A83:A84"/>
    <mergeCell ref="A85:A86"/>
    <mergeCell ref="A87:A88"/>
    <mergeCell ref="A89:A90"/>
    <mergeCell ref="A91:A92"/>
    <mergeCell ref="A93:A94"/>
    <mergeCell ref="A111:A112"/>
    <mergeCell ref="A113:A114"/>
    <mergeCell ref="A115:A116"/>
    <mergeCell ref="A128:A130"/>
    <mergeCell ref="A131:A133"/>
    <mergeCell ref="A212:A213"/>
    <mergeCell ref="A214:A215"/>
    <mergeCell ref="A225:A227"/>
    <mergeCell ref="A228:A230"/>
    <mergeCell ref="B3:B5"/>
    <mergeCell ref="B81:B82"/>
    <mergeCell ref="B83:B84"/>
    <mergeCell ref="B85:B86"/>
    <mergeCell ref="B87:B88"/>
    <mergeCell ref="B89:B90"/>
    <mergeCell ref="B91:B92"/>
    <mergeCell ref="B93:B94"/>
    <mergeCell ref="B111:B112"/>
    <mergeCell ref="B113:B114"/>
    <mergeCell ref="B115:B116"/>
    <mergeCell ref="B128:B130"/>
    <mergeCell ref="B131:B133"/>
    <mergeCell ref="B212:B213"/>
    <mergeCell ref="B214:B215"/>
    <mergeCell ref="B225:B227"/>
    <mergeCell ref="B228:B230"/>
    <mergeCell ref="C3:C5"/>
    <mergeCell ref="C81:C82"/>
    <mergeCell ref="C83:C84"/>
    <mergeCell ref="C85:C86"/>
    <mergeCell ref="C87:C88"/>
    <mergeCell ref="C89:C90"/>
    <mergeCell ref="C91:C92"/>
    <mergeCell ref="C93:C94"/>
    <mergeCell ref="C111:C112"/>
    <mergeCell ref="C113:C114"/>
    <mergeCell ref="C115:C116"/>
    <mergeCell ref="C128:C130"/>
    <mergeCell ref="C131:C133"/>
    <mergeCell ref="C212:C213"/>
    <mergeCell ref="C214:C215"/>
    <mergeCell ref="C225:C227"/>
    <mergeCell ref="C228:C230"/>
    <mergeCell ref="D3:D5"/>
    <mergeCell ref="D81:D82"/>
    <mergeCell ref="D83:D84"/>
    <mergeCell ref="D85:D86"/>
    <mergeCell ref="D87:D88"/>
    <mergeCell ref="D89:D90"/>
    <mergeCell ref="D91:D92"/>
    <mergeCell ref="D93:D94"/>
    <mergeCell ref="D111:D112"/>
    <mergeCell ref="D113:D114"/>
    <mergeCell ref="D115:D116"/>
    <mergeCell ref="D128:D130"/>
    <mergeCell ref="D131:D133"/>
    <mergeCell ref="D212:D213"/>
    <mergeCell ref="D214:D215"/>
    <mergeCell ref="D225:D227"/>
    <mergeCell ref="D228:D230"/>
    <mergeCell ref="E3:E5"/>
    <mergeCell ref="E81:E82"/>
    <mergeCell ref="E83:E84"/>
    <mergeCell ref="E85:E86"/>
    <mergeCell ref="E87:E88"/>
    <mergeCell ref="E89:E90"/>
    <mergeCell ref="E91:E92"/>
    <mergeCell ref="E93:E94"/>
    <mergeCell ref="E111:E112"/>
    <mergeCell ref="E113:E114"/>
    <mergeCell ref="E115:E116"/>
    <mergeCell ref="E128:E130"/>
    <mergeCell ref="E131:E133"/>
    <mergeCell ref="E212:E213"/>
    <mergeCell ref="E214:E215"/>
    <mergeCell ref="E225:E227"/>
    <mergeCell ref="E228:E230"/>
    <mergeCell ref="F4:F5"/>
    <mergeCell ref="F81:F82"/>
    <mergeCell ref="F83:F84"/>
    <mergeCell ref="F85:F86"/>
    <mergeCell ref="F87:F88"/>
    <mergeCell ref="F89:F90"/>
    <mergeCell ref="F91:F92"/>
    <mergeCell ref="F93:F94"/>
    <mergeCell ref="F111:F112"/>
    <mergeCell ref="F113:F114"/>
    <mergeCell ref="F115:F116"/>
    <mergeCell ref="F128:F130"/>
    <mergeCell ref="F131:F133"/>
    <mergeCell ref="F212:F213"/>
    <mergeCell ref="F214:F215"/>
    <mergeCell ref="F225:F227"/>
    <mergeCell ref="F228:F230"/>
    <mergeCell ref="G81:G82"/>
    <mergeCell ref="G83:G84"/>
    <mergeCell ref="G85:G86"/>
    <mergeCell ref="G87:G88"/>
    <mergeCell ref="G89:G90"/>
    <mergeCell ref="G91:G92"/>
    <mergeCell ref="G93:G94"/>
    <mergeCell ref="G111:G112"/>
    <mergeCell ref="G113:G114"/>
    <mergeCell ref="G115:G116"/>
    <mergeCell ref="G128:G130"/>
    <mergeCell ref="G131:G133"/>
    <mergeCell ref="G212:G213"/>
    <mergeCell ref="G214:G215"/>
    <mergeCell ref="G225:G227"/>
    <mergeCell ref="G228:G230"/>
    <mergeCell ref="H81:H82"/>
    <mergeCell ref="H83:H84"/>
    <mergeCell ref="H85:H86"/>
    <mergeCell ref="H87:H88"/>
    <mergeCell ref="H89:H90"/>
    <mergeCell ref="H91:H92"/>
    <mergeCell ref="H93:H94"/>
    <mergeCell ref="H111:H112"/>
    <mergeCell ref="H113:H114"/>
    <mergeCell ref="H115:H116"/>
    <mergeCell ref="H128:H130"/>
    <mergeCell ref="H131:H133"/>
    <mergeCell ref="H212:H213"/>
    <mergeCell ref="H214:H215"/>
    <mergeCell ref="H225:H227"/>
    <mergeCell ref="H228:H230"/>
    <mergeCell ref="I81:I82"/>
    <mergeCell ref="I83:I84"/>
    <mergeCell ref="I85:I86"/>
    <mergeCell ref="I87:I88"/>
    <mergeCell ref="I89:I90"/>
    <mergeCell ref="I91:I92"/>
    <mergeCell ref="I93:I94"/>
    <mergeCell ref="I111:I112"/>
    <mergeCell ref="I113:I114"/>
    <mergeCell ref="I115:I116"/>
    <mergeCell ref="I128:I130"/>
    <mergeCell ref="I131:I133"/>
    <mergeCell ref="I212:I213"/>
    <mergeCell ref="I214:I215"/>
    <mergeCell ref="I225:I227"/>
    <mergeCell ref="I228:I230"/>
    <mergeCell ref="J4:J5"/>
    <mergeCell ref="J81:J82"/>
    <mergeCell ref="J83:J84"/>
    <mergeCell ref="J85:J86"/>
    <mergeCell ref="J87:J88"/>
    <mergeCell ref="J89:J90"/>
    <mergeCell ref="J91:J92"/>
    <mergeCell ref="J93:J94"/>
    <mergeCell ref="J111:J112"/>
    <mergeCell ref="J113:J114"/>
    <mergeCell ref="J115:J116"/>
    <mergeCell ref="J128:J130"/>
    <mergeCell ref="J131:J133"/>
    <mergeCell ref="J212:J213"/>
    <mergeCell ref="J214:J215"/>
    <mergeCell ref="J225:J227"/>
    <mergeCell ref="J228:J230"/>
    <mergeCell ref="K81:K82"/>
    <mergeCell ref="K83:K84"/>
    <mergeCell ref="K85:K86"/>
    <mergeCell ref="K87:K88"/>
    <mergeCell ref="K89:K90"/>
    <mergeCell ref="K91:K92"/>
    <mergeCell ref="K93:K94"/>
    <mergeCell ref="K111:K112"/>
    <mergeCell ref="K113:K114"/>
    <mergeCell ref="K115:K116"/>
    <mergeCell ref="K128:K130"/>
    <mergeCell ref="K131:K133"/>
    <mergeCell ref="K212:K213"/>
    <mergeCell ref="K214:K215"/>
    <mergeCell ref="K225:K227"/>
    <mergeCell ref="K228:K230"/>
    <mergeCell ref="L81:L82"/>
    <mergeCell ref="L83:L84"/>
    <mergeCell ref="L85:L86"/>
    <mergeCell ref="L87:L88"/>
    <mergeCell ref="L89:L90"/>
    <mergeCell ref="L91:L92"/>
    <mergeCell ref="L93:L94"/>
    <mergeCell ref="L111:L112"/>
    <mergeCell ref="L113:L114"/>
    <mergeCell ref="L115:L116"/>
    <mergeCell ref="L128:L130"/>
    <mergeCell ref="L131:L133"/>
    <mergeCell ref="L212:L213"/>
    <mergeCell ref="L214:L215"/>
    <mergeCell ref="L225:L227"/>
    <mergeCell ref="L228:L230"/>
    <mergeCell ref="O3:O5"/>
    <mergeCell ref="O81:O82"/>
    <mergeCell ref="O83:O84"/>
    <mergeCell ref="O85:O86"/>
    <mergeCell ref="O87:O88"/>
    <mergeCell ref="O89:O90"/>
    <mergeCell ref="O91:O92"/>
    <mergeCell ref="O93:O94"/>
    <mergeCell ref="O111:O112"/>
    <mergeCell ref="O113:O114"/>
    <mergeCell ref="O115:O116"/>
    <mergeCell ref="O128:O130"/>
    <mergeCell ref="O131:O133"/>
    <mergeCell ref="O212:O213"/>
    <mergeCell ref="O214:O215"/>
    <mergeCell ref="O225:O227"/>
    <mergeCell ref="O228:O230"/>
    <mergeCell ref="P3:P5"/>
    <mergeCell ref="P81:P82"/>
    <mergeCell ref="P83:P84"/>
    <mergeCell ref="P85:P86"/>
    <mergeCell ref="P87:P88"/>
    <mergeCell ref="P89:P90"/>
    <mergeCell ref="P91:P92"/>
    <mergeCell ref="P93:P94"/>
    <mergeCell ref="P111:P112"/>
    <mergeCell ref="P113:P114"/>
    <mergeCell ref="P115:P116"/>
    <mergeCell ref="P128:P130"/>
    <mergeCell ref="P131:P133"/>
    <mergeCell ref="P212:P213"/>
    <mergeCell ref="P214:P215"/>
    <mergeCell ref="P225:P227"/>
    <mergeCell ref="P228:P230"/>
    <mergeCell ref="M3:N5"/>
    <mergeCell ref="M225:N227"/>
    <mergeCell ref="M228:N230"/>
    <mergeCell ref="M212:N213"/>
    <mergeCell ref="M214:N215"/>
    <mergeCell ref="M131:N133"/>
    <mergeCell ref="M128:N130"/>
    <mergeCell ref="M111:N112"/>
    <mergeCell ref="M113:N114"/>
    <mergeCell ref="M115:N116"/>
    <mergeCell ref="M93:N94"/>
    <mergeCell ref="M91:N92"/>
    <mergeCell ref="M89:N90"/>
    <mergeCell ref="M87:N88"/>
    <mergeCell ref="M85:N86"/>
    <mergeCell ref="M83:N84"/>
    <mergeCell ref="M81:N82"/>
  </mergeCells>
  <pageMargins left="0.751388888888889" right="0.751388888888889" top="1" bottom="1" header="0.5" footer="0.5"/>
  <pageSetup paperSize="9" scale="96"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zoomScale="115" zoomScaleNormal="115" workbookViewId="0">
      <pane ySplit="5" topLeftCell="A17" activePane="bottomLeft" state="frozen"/>
      <selection/>
      <selection pane="bottomLeft" activeCell="L5" sqref="L5"/>
    </sheetView>
  </sheetViews>
  <sheetFormatPr defaultColWidth="7.71428571428571" defaultRowHeight="11.25"/>
  <cols>
    <col min="1" max="1" width="5.92380952380952" style="22" customWidth="1"/>
    <col min="2" max="2" width="15.2857142857143" style="19" customWidth="1"/>
    <col min="3" max="3" width="32.1428571428571" style="19" customWidth="1"/>
    <col min="4" max="4" width="5.04761904761905" style="19" customWidth="1"/>
    <col min="5" max="5" width="12.2857142857143" style="23" customWidth="1"/>
    <col min="6" max="6" width="7.71428571428571" style="23" customWidth="1"/>
    <col min="7" max="7" width="7.42857142857143" style="23" customWidth="1"/>
    <col min="8" max="8" width="9.78095238095238" style="23" customWidth="1"/>
    <col min="9" max="9" width="6.71428571428571" style="24" customWidth="1"/>
    <col min="10" max="10" width="8.42857142857143" style="23" customWidth="1"/>
    <col min="11" max="11" width="10.2857142857143" style="23" customWidth="1"/>
    <col min="12" max="12" width="11.7142857142857" style="23" customWidth="1"/>
    <col min="13" max="13" width="7" style="23" customWidth="1"/>
    <col min="14" max="14" width="3.73333333333333" style="23" customWidth="1"/>
    <col min="15" max="15" width="11.8571428571429" style="23" customWidth="1"/>
    <col min="16" max="16" width="7.24761904761905" style="20" customWidth="1"/>
    <col min="17" max="29" width="7.71428571428571" style="19"/>
    <col min="30" max="16382" width="40.1428571428571" style="19"/>
    <col min="16383" max="16384" width="7.71428571428571" style="19"/>
  </cols>
  <sheetData>
    <row r="1" s="19" customFormat="1" ht="25.5" spans="1:16">
      <c r="A1" s="25" t="s">
        <v>532</v>
      </c>
      <c r="B1" s="25"/>
      <c r="C1" s="25"/>
      <c r="D1" s="25"/>
      <c r="E1" s="26"/>
      <c r="F1" s="26"/>
      <c r="G1" s="26"/>
      <c r="H1" s="26"/>
      <c r="I1" s="37"/>
      <c r="J1" s="26"/>
      <c r="K1" s="26"/>
      <c r="L1" s="26"/>
      <c r="M1" s="26"/>
      <c r="N1" s="26"/>
      <c r="O1" s="26"/>
      <c r="P1" s="25"/>
    </row>
    <row r="2" s="19" customFormat="1" ht="20" customHeight="1" spans="1:16">
      <c r="A2" s="27" t="s">
        <v>533</v>
      </c>
      <c r="B2" s="27"/>
      <c r="C2" s="27"/>
      <c r="D2" s="27"/>
      <c r="E2" s="28"/>
      <c r="F2" s="28"/>
      <c r="G2" s="29"/>
      <c r="H2" s="29"/>
      <c r="I2" s="38"/>
      <c r="J2" s="29"/>
      <c r="K2" s="29"/>
      <c r="L2" s="29"/>
      <c r="M2" s="29"/>
      <c r="N2" s="29"/>
      <c r="O2" s="29"/>
      <c r="P2" s="39"/>
    </row>
    <row r="3" s="19" customFormat="1" spans="1:16">
      <c r="A3" s="30" t="s">
        <v>38</v>
      </c>
      <c r="B3" s="30" t="s">
        <v>39</v>
      </c>
      <c r="C3" s="30" t="s">
        <v>40</v>
      </c>
      <c r="D3" s="30" t="s">
        <v>25</v>
      </c>
      <c r="E3" s="31" t="s">
        <v>41</v>
      </c>
      <c r="F3" s="31" t="s">
        <v>42</v>
      </c>
      <c r="G3" s="31"/>
      <c r="H3" s="31"/>
      <c r="I3" s="40"/>
      <c r="J3" s="31"/>
      <c r="K3" s="31"/>
      <c r="L3" s="31"/>
      <c r="M3" s="31" t="s">
        <v>43</v>
      </c>
      <c r="N3" s="31"/>
      <c r="O3" s="31" t="s">
        <v>44</v>
      </c>
      <c r="P3" s="30" t="s">
        <v>45</v>
      </c>
    </row>
    <row r="4" s="19" customFormat="1" ht="45" spans="1:16">
      <c r="A4" s="30"/>
      <c r="B4" s="30"/>
      <c r="C4" s="30"/>
      <c r="D4" s="30"/>
      <c r="E4" s="31"/>
      <c r="F4" s="31" t="s">
        <v>46</v>
      </c>
      <c r="G4" s="31" t="s">
        <v>47</v>
      </c>
      <c r="H4" s="31" t="s">
        <v>48</v>
      </c>
      <c r="I4" s="40" t="s">
        <v>49</v>
      </c>
      <c r="J4" s="31" t="s">
        <v>50</v>
      </c>
      <c r="K4" s="31" t="s">
        <v>51</v>
      </c>
      <c r="L4" s="31" t="s">
        <v>52</v>
      </c>
      <c r="M4" s="31"/>
      <c r="N4" s="31"/>
      <c r="O4" s="31"/>
      <c r="P4" s="30"/>
    </row>
    <row r="5" s="19" customFormat="1" ht="22.5" spans="1:16">
      <c r="A5" s="30"/>
      <c r="B5" s="30"/>
      <c r="C5" s="30"/>
      <c r="D5" s="30"/>
      <c r="E5" s="31"/>
      <c r="F5" s="31"/>
      <c r="G5" s="31" t="s">
        <v>53</v>
      </c>
      <c r="H5" s="31" t="s">
        <v>54</v>
      </c>
      <c r="I5" s="40" t="s">
        <v>55</v>
      </c>
      <c r="J5" s="31"/>
      <c r="K5" s="41">
        <f>'02、装饰工程'!K5</f>
        <v>0.06</v>
      </c>
      <c r="L5" s="41">
        <f>'02、装饰工程'!L5</f>
        <v>0.03</v>
      </c>
      <c r="M5" s="31"/>
      <c r="N5" s="31"/>
      <c r="O5" s="31"/>
      <c r="P5" s="30"/>
    </row>
    <row r="6" s="19" customFormat="1" ht="45" spans="1:16">
      <c r="A6" s="30">
        <v>1</v>
      </c>
      <c r="B6" s="32" t="s">
        <v>406</v>
      </c>
      <c r="C6" s="32" t="s">
        <v>534</v>
      </c>
      <c r="D6" s="32" t="s">
        <v>328</v>
      </c>
      <c r="E6" s="31">
        <v>14</v>
      </c>
      <c r="F6" s="31">
        <v>95</v>
      </c>
      <c r="G6" s="31">
        <f>H6+H6*I6</f>
        <v>336</v>
      </c>
      <c r="H6" s="31">
        <v>320</v>
      </c>
      <c r="I6" s="40">
        <v>0.05</v>
      </c>
      <c r="J6" s="31">
        <v>235</v>
      </c>
      <c r="K6" s="31">
        <f>(F6+G6+J6)*$K$5</f>
        <v>39.96</v>
      </c>
      <c r="L6" s="31">
        <f>(F6+G6+J6+K6)*$L$5</f>
        <v>21.1788</v>
      </c>
      <c r="M6" s="31">
        <f>(L6+K6+J6+G6+F6)*1.4</f>
        <v>1017.99432</v>
      </c>
      <c r="N6" s="31"/>
      <c r="O6" s="31">
        <f>M6*E6</f>
        <v>14251.92048</v>
      </c>
      <c r="P6" s="30" t="s">
        <v>535</v>
      </c>
    </row>
    <row r="7" s="19" customFormat="1" ht="45" spans="1:16">
      <c r="A7" s="30">
        <v>2</v>
      </c>
      <c r="B7" s="32" t="s">
        <v>406</v>
      </c>
      <c r="C7" s="32" t="s">
        <v>536</v>
      </c>
      <c r="D7" s="32" t="s">
        <v>328</v>
      </c>
      <c r="E7" s="31">
        <v>1</v>
      </c>
      <c r="F7" s="31">
        <f t="shared" ref="F7:J7" si="0">F6</f>
        <v>95</v>
      </c>
      <c r="G7" s="31">
        <f t="shared" ref="G7:G24" si="1">H7*I7+H7</f>
        <v>267.75</v>
      </c>
      <c r="H7" s="31">
        <v>255</v>
      </c>
      <c r="I7" s="40">
        <f t="shared" si="0"/>
        <v>0.05</v>
      </c>
      <c r="J7" s="31">
        <f t="shared" si="0"/>
        <v>235</v>
      </c>
      <c r="K7" s="31">
        <f t="shared" ref="K7:K24" si="2">(F7+G7+J7)*$K$5</f>
        <v>35.865</v>
      </c>
      <c r="L7" s="31">
        <f t="shared" ref="L7:L24" si="3">(F7+G7+J7+K7)*$L$5</f>
        <v>19.00845</v>
      </c>
      <c r="M7" s="31">
        <f t="shared" ref="M7:M24" si="4">(L7+K7+J7+G7+F7)*1.4</f>
        <v>913.67283</v>
      </c>
      <c r="N7" s="31"/>
      <c r="O7" s="31">
        <f t="shared" ref="O6:O24" si="5">M7*E7</f>
        <v>913.67283</v>
      </c>
      <c r="P7" s="30" t="s">
        <v>535</v>
      </c>
    </row>
    <row r="8" s="19" customFormat="1" ht="45" spans="1:16">
      <c r="A8" s="30">
        <v>3</v>
      </c>
      <c r="B8" s="32" t="s">
        <v>406</v>
      </c>
      <c r="C8" s="32" t="s">
        <v>537</v>
      </c>
      <c r="D8" s="32" t="s">
        <v>328</v>
      </c>
      <c r="E8" s="31">
        <v>1</v>
      </c>
      <c r="F8" s="31">
        <f>F7</f>
        <v>95</v>
      </c>
      <c r="G8" s="31">
        <f t="shared" si="1"/>
        <v>299.25</v>
      </c>
      <c r="H8" s="31">
        <v>285</v>
      </c>
      <c r="I8" s="40">
        <f t="shared" ref="I8:I24" si="6">I7</f>
        <v>0.05</v>
      </c>
      <c r="J8" s="31">
        <v>35</v>
      </c>
      <c r="K8" s="31">
        <f t="shared" si="2"/>
        <v>25.755</v>
      </c>
      <c r="L8" s="31">
        <f t="shared" si="3"/>
        <v>13.65015</v>
      </c>
      <c r="M8" s="31">
        <f t="shared" si="4"/>
        <v>656.11721</v>
      </c>
      <c r="N8" s="31"/>
      <c r="O8" s="31">
        <f t="shared" si="5"/>
        <v>656.11721</v>
      </c>
      <c r="P8" s="30" t="s">
        <v>535</v>
      </c>
    </row>
    <row r="9" s="19" customFormat="1" ht="45" spans="1:16">
      <c r="A9" s="30">
        <v>4</v>
      </c>
      <c r="B9" s="32" t="s">
        <v>538</v>
      </c>
      <c r="C9" s="32" t="s">
        <v>539</v>
      </c>
      <c r="D9" s="32" t="s">
        <v>265</v>
      </c>
      <c r="E9" s="31">
        <v>8</v>
      </c>
      <c r="F9" s="31">
        <v>50</v>
      </c>
      <c r="G9" s="31">
        <f t="shared" si="1"/>
        <v>577.5</v>
      </c>
      <c r="H9" s="31">
        <v>550</v>
      </c>
      <c r="I9" s="40">
        <f t="shared" si="6"/>
        <v>0.05</v>
      </c>
      <c r="J9" s="31">
        <v>5</v>
      </c>
      <c r="K9" s="31">
        <f t="shared" si="2"/>
        <v>37.95</v>
      </c>
      <c r="L9" s="31">
        <f t="shared" si="3"/>
        <v>20.1135</v>
      </c>
      <c r="M9" s="31">
        <f t="shared" si="4"/>
        <v>966.7889</v>
      </c>
      <c r="N9" s="31"/>
      <c r="O9" s="31">
        <f t="shared" si="5"/>
        <v>7734.3112</v>
      </c>
      <c r="P9" s="30" t="s">
        <v>540</v>
      </c>
    </row>
    <row r="10" s="19" customFormat="1" ht="78.75" spans="1:16">
      <c r="A10" s="30">
        <v>5</v>
      </c>
      <c r="B10" s="32" t="s">
        <v>394</v>
      </c>
      <c r="C10" s="32" t="s">
        <v>541</v>
      </c>
      <c r="D10" s="32" t="s">
        <v>328</v>
      </c>
      <c r="E10" s="31">
        <v>2</v>
      </c>
      <c r="F10" s="31">
        <v>260</v>
      </c>
      <c r="G10" s="31">
        <f t="shared" si="1"/>
        <v>1417.5</v>
      </c>
      <c r="H10" s="31">
        <v>1350</v>
      </c>
      <c r="I10" s="40">
        <f t="shared" si="6"/>
        <v>0.05</v>
      </c>
      <c r="J10" s="31">
        <v>50</v>
      </c>
      <c r="K10" s="31">
        <f t="shared" si="2"/>
        <v>103.65</v>
      </c>
      <c r="L10" s="31">
        <f t="shared" si="3"/>
        <v>54.9345</v>
      </c>
      <c r="M10" s="31">
        <f t="shared" si="4"/>
        <v>2640.5183</v>
      </c>
      <c r="N10" s="31"/>
      <c r="O10" s="31">
        <f t="shared" si="5"/>
        <v>5281.0366</v>
      </c>
      <c r="P10" s="30" t="s">
        <v>542</v>
      </c>
    </row>
    <row r="11" s="19" customFormat="1" ht="67.5" spans="1:16">
      <c r="A11" s="30">
        <v>6</v>
      </c>
      <c r="B11" s="32" t="s">
        <v>398</v>
      </c>
      <c r="C11" s="32" t="s">
        <v>543</v>
      </c>
      <c r="D11" s="32" t="s">
        <v>328</v>
      </c>
      <c r="E11" s="31">
        <v>7</v>
      </c>
      <c r="F11" s="31">
        <v>50</v>
      </c>
      <c r="G11" s="31">
        <f t="shared" si="1"/>
        <v>194.25</v>
      </c>
      <c r="H11" s="31">
        <v>185</v>
      </c>
      <c r="I11" s="40">
        <f t="shared" si="6"/>
        <v>0.05</v>
      </c>
      <c r="J11" s="31">
        <v>20</v>
      </c>
      <c r="K11" s="31">
        <f t="shared" si="2"/>
        <v>15.855</v>
      </c>
      <c r="L11" s="31">
        <f t="shared" si="3"/>
        <v>8.40315</v>
      </c>
      <c r="M11" s="31">
        <f t="shared" si="4"/>
        <v>403.91141</v>
      </c>
      <c r="N11" s="31"/>
      <c r="O11" s="31">
        <f t="shared" si="5"/>
        <v>2827.37987</v>
      </c>
      <c r="P11" s="30" t="s">
        <v>544</v>
      </c>
    </row>
    <row r="12" s="19" customFormat="1" ht="45" spans="1:16">
      <c r="A12" s="30">
        <v>7</v>
      </c>
      <c r="B12" s="32" t="s">
        <v>545</v>
      </c>
      <c r="C12" s="32" t="s">
        <v>546</v>
      </c>
      <c r="D12" s="32" t="s">
        <v>88</v>
      </c>
      <c r="E12" s="31">
        <v>5</v>
      </c>
      <c r="F12" s="31">
        <v>300</v>
      </c>
      <c r="G12" s="31">
        <f t="shared" si="1"/>
        <v>210</v>
      </c>
      <c r="H12" s="31">
        <v>200</v>
      </c>
      <c r="I12" s="40">
        <f t="shared" si="6"/>
        <v>0.05</v>
      </c>
      <c r="J12" s="31">
        <v>49.9</v>
      </c>
      <c r="K12" s="31">
        <f t="shared" si="2"/>
        <v>33.594</v>
      </c>
      <c r="L12" s="31">
        <f t="shared" si="3"/>
        <v>17.80482</v>
      </c>
      <c r="M12" s="31">
        <f t="shared" si="4"/>
        <v>855.818348</v>
      </c>
      <c r="N12" s="31"/>
      <c r="O12" s="31">
        <f t="shared" si="5"/>
        <v>4279.09174</v>
      </c>
      <c r="P12" s="30" t="s">
        <v>540</v>
      </c>
    </row>
    <row r="13" s="19" customFormat="1" ht="45" spans="1:16">
      <c r="A13" s="30">
        <v>8</v>
      </c>
      <c r="B13" s="32" t="s">
        <v>545</v>
      </c>
      <c r="C13" s="32" t="s">
        <v>547</v>
      </c>
      <c r="D13" s="32" t="s">
        <v>88</v>
      </c>
      <c r="E13" s="31">
        <v>1</v>
      </c>
      <c r="F13" s="31">
        <v>650</v>
      </c>
      <c r="G13" s="31">
        <f t="shared" si="1"/>
        <v>787.5</v>
      </c>
      <c r="H13" s="31">
        <v>750</v>
      </c>
      <c r="I13" s="40">
        <f t="shared" si="6"/>
        <v>0.05</v>
      </c>
      <c r="J13" s="31">
        <v>120</v>
      </c>
      <c r="K13" s="31">
        <f t="shared" si="2"/>
        <v>93.45</v>
      </c>
      <c r="L13" s="31">
        <f t="shared" si="3"/>
        <v>49.5285</v>
      </c>
      <c r="M13" s="31">
        <f t="shared" si="4"/>
        <v>2380.6699</v>
      </c>
      <c r="N13" s="31"/>
      <c r="O13" s="31">
        <f t="shared" si="5"/>
        <v>2380.6699</v>
      </c>
      <c r="P13" s="30" t="str">
        <f>P12</f>
        <v>定制</v>
      </c>
    </row>
    <row r="14" s="19" customFormat="1" ht="56.25" spans="1:16">
      <c r="A14" s="30">
        <v>9</v>
      </c>
      <c r="B14" s="32" t="s">
        <v>410</v>
      </c>
      <c r="C14" s="32" t="s">
        <v>548</v>
      </c>
      <c r="D14" s="32" t="s">
        <v>328</v>
      </c>
      <c r="E14" s="31">
        <v>1</v>
      </c>
      <c r="F14" s="31">
        <v>260</v>
      </c>
      <c r="G14" s="31">
        <f t="shared" si="1"/>
        <v>1575</v>
      </c>
      <c r="H14" s="31">
        <v>1500</v>
      </c>
      <c r="I14" s="40">
        <f t="shared" si="6"/>
        <v>0.05</v>
      </c>
      <c r="J14" s="31">
        <v>120</v>
      </c>
      <c r="K14" s="31">
        <f t="shared" si="2"/>
        <v>117.3</v>
      </c>
      <c r="L14" s="31">
        <f t="shared" si="3"/>
        <v>62.169</v>
      </c>
      <c r="M14" s="31">
        <f t="shared" si="4"/>
        <v>2988.2566</v>
      </c>
      <c r="N14" s="31"/>
      <c r="O14" s="31">
        <f t="shared" si="5"/>
        <v>2988.2566</v>
      </c>
      <c r="P14" s="30" t="s">
        <v>549</v>
      </c>
    </row>
    <row r="15" s="19" customFormat="1" ht="45" spans="1:16">
      <c r="A15" s="30">
        <v>10</v>
      </c>
      <c r="B15" s="32" t="s">
        <v>338</v>
      </c>
      <c r="C15" s="32" t="s">
        <v>550</v>
      </c>
      <c r="D15" s="32" t="s">
        <v>94</v>
      </c>
      <c r="E15" s="31">
        <v>344.23</v>
      </c>
      <c r="F15" s="31">
        <v>5</v>
      </c>
      <c r="G15" s="31">
        <f t="shared" si="1"/>
        <v>4.725</v>
      </c>
      <c r="H15" s="31">
        <v>4.5</v>
      </c>
      <c r="I15" s="40">
        <f t="shared" si="6"/>
        <v>0.05</v>
      </c>
      <c r="J15" s="31">
        <v>1</v>
      </c>
      <c r="K15" s="31">
        <f t="shared" si="2"/>
        <v>0.6435</v>
      </c>
      <c r="L15" s="31">
        <f t="shared" si="3"/>
        <v>0.341055</v>
      </c>
      <c r="M15" s="31">
        <f t="shared" si="4"/>
        <v>16.393377</v>
      </c>
      <c r="N15" s="31"/>
      <c r="O15" s="31">
        <f t="shared" si="5"/>
        <v>5643.09216471</v>
      </c>
      <c r="P15" s="30" t="s">
        <v>551</v>
      </c>
    </row>
    <row r="16" s="19" customFormat="1" ht="45" spans="1:16">
      <c r="A16" s="30">
        <v>11</v>
      </c>
      <c r="B16" s="32" t="s">
        <v>338</v>
      </c>
      <c r="C16" s="32" t="s">
        <v>552</v>
      </c>
      <c r="D16" s="32" t="s">
        <v>94</v>
      </c>
      <c r="E16" s="31">
        <v>12.97</v>
      </c>
      <c r="F16" s="31">
        <f t="shared" ref="F16:F22" si="7">F15</f>
        <v>5</v>
      </c>
      <c r="G16" s="31">
        <f t="shared" si="1"/>
        <v>6.825</v>
      </c>
      <c r="H16" s="31">
        <v>6.5</v>
      </c>
      <c r="I16" s="40">
        <f t="shared" si="6"/>
        <v>0.05</v>
      </c>
      <c r="J16" s="31">
        <v>1</v>
      </c>
      <c r="K16" s="31">
        <f t="shared" si="2"/>
        <v>0.7695</v>
      </c>
      <c r="L16" s="31">
        <f t="shared" si="3"/>
        <v>0.407835</v>
      </c>
      <c r="M16" s="31">
        <f t="shared" si="4"/>
        <v>19.603269</v>
      </c>
      <c r="N16" s="31"/>
      <c r="O16" s="31">
        <f t="shared" si="5"/>
        <v>254.25439893</v>
      </c>
      <c r="P16" s="30" t="str">
        <f>P15</f>
        <v>联塑</v>
      </c>
    </row>
    <row r="17" s="19" customFormat="1" ht="45" spans="1:16">
      <c r="A17" s="30">
        <v>12</v>
      </c>
      <c r="B17" s="32" t="s">
        <v>338</v>
      </c>
      <c r="C17" s="32" t="s">
        <v>553</v>
      </c>
      <c r="D17" s="32" t="s">
        <v>94</v>
      </c>
      <c r="E17" s="31">
        <v>370.35</v>
      </c>
      <c r="F17" s="31">
        <v>15</v>
      </c>
      <c r="G17" s="31">
        <f t="shared" si="1"/>
        <v>23.1</v>
      </c>
      <c r="H17" s="31">
        <v>22</v>
      </c>
      <c r="I17" s="40">
        <f t="shared" si="6"/>
        <v>0.05</v>
      </c>
      <c r="J17" s="31">
        <v>3</v>
      </c>
      <c r="K17" s="31">
        <f t="shared" si="2"/>
        <v>2.466</v>
      </c>
      <c r="L17" s="31">
        <f t="shared" si="3"/>
        <v>1.30698</v>
      </c>
      <c r="M17" s="31">
        <f t="shared" si="4"/>
        <v>62.822172</v>
      </c>
      <c r="N17" s="31"/>
      <c r="O17" s="31">
        <f t="shared" si="5"/>
        <v>23266.1914002</v>
      </c>
      <c r="P17" s="30"/>
    </row>
    <row r="18" s="19" customFormat="1" ht="45" spans="1:16">
      <c r="A18" s="30">
        <v>13</v>
      </c>
      <c r="B18" s="32" t="s">
        <v>348</v>
      </c>
      <c r="C18" s="32" t="s">
        <v>554</v>
      </c>
      <c r="D18" s="32" t="s">
        <v>94</v>
      </c>
      <c r="E18" s="31">
        <v>567.37</v>
      </c>
      <c r="F18" s="31">
        <f>F16</f>
        <v>5</v>
      </c>
      <c r="G18" s="31">
        <f t="shared" si="1"/>
        <v>3.36</v>
      </c>
      <c r="H18" s="31">
        <v>3.2</v>
      </c>
      <c r="I18" s="40">
        <f t="shared" si="6"/>
        <v>0.05</v>
      </c>
      <c r="J18" s="31">
        <v>0.2</v>
      </c>
      <c r="K18" s="31">
        <f t="shared" si="2"/>
        <v>0.5136</v>
      </c>
      <c r="L18" s="31">
        <f t="shared" si="3"/>
        <v>0.272208</v>
      </c>
      <c r="M18" s="31">
        <f t="shared" si="4"/>
        <v>13.0841312</v>
      </c>
      <c r="N18" s="31"/>
      <c r="O18" s="31">
        <f t="shared" si="5"/>
        <v>7423.543518944</v>
      </c>
      <c r="P18" s="30" t="s">
        <v>340</v>
      </c>
    </row>
    <row r="19" s="19" customFormat="1" ht="45" spans="1:16">
      <c r="A19" s="30">
        <v>14</v>
      </c>
      <c r="B19" s="32" t="s">
        <v>348</v>
      </c>
      <c r="C19" s="32" t="s">
        <v>555</v>
      </c>
      <c r="D19" s="32" t="s">
        <v>94</v>
      </c>
      <c r="E19" s="31">
        <v>176.04</v>
      </c>
      <c r="F19" s="31">
        <f t="shared" si="7"/>
        <v>5</v>
      </c>
      <c r="G19" s="31">
        <f t="shared" si="1"/>
        <v>3.99</v>
      </c>
      <c r="H19" s="31">
        <v>3.8</v>
      </c>
      <c r="I19" s="40">
        <f t="shared" si="6"/>
        <v>0.05</v>
      </c>
      <c r="J19" s="31">
        <f t="shared" ref="J19:J22" si="8">J18</f>
        <v>0.2</v>
      </c>
      <c r="K19" s="31">
        <f t="shared" si="2"/>
        <v>0.5514</v>
      </c>
      <c r="L19" s="31">
        <f t="shared" si="3"/>
        <v>0.292242</v>
      </c>
      <c r="M19" s="31">
        <f t="shared" si="4"/>
        <v>14.0470988</v>
      </c>
      <c r="N19" s="31"/>
      <c r="O19" s="31">
        <f t="shared" si="5"/>
        <v>2472.851272752</v>
      </c>
      <c r="P19" s="30" t="s">
        <v>340</v>
      </c>
    </row>
    <row r="20" s="19" customFormat="1" ht="45" spans="1:16">
      <c r="A20" s="30">
        <v>15</v>
      </c>
      <c r="B20" s="32" t="s">
        <v>348</v>
      </c>
      <c r="C20" s="32" t="s">
        <v>556</v>
      </c>
      <c r="D20" s="32" t="s">
        <v>94</v>
      </c>
      <c r="E20" s="31">
        <v>50</v>
      </c>
      <c r="F20" s="31">
        <f t="shared" si="7"/>
        <v>5</v>
      </c>
      <c r="G20" s="31">
        <f t="shared" si="1"/>
        <v>5.775</v>
      </c>
      <c r="H20" s="31">
        <v>5.5</v>
      </c>
      <c r="I20" s="40">
        <f t="shared" si="6"/>
        <v>0.05</v>
      </c>
      <c r="J20" s="31">
        <f t="shared" si="8"/>
        <v>0.2</v>
      </c>
      <c r="K20" s="31">
        <f t="shared" si="2"/>
        <v>0.6585</v>
      </c>
      <c r="L20" s="31">
        <f t="shared" si="3"/>
        <v>0.349005</v>
      </c>
      <c r="M20" s="31">
        <f t="shared" si="4"/>
        <v>16.775507</v>
      </c>
      <c r="N20" s="31"/>
      <c r="O20" s="31">
        <f t="shared" si="5"/>
        <v>838.77535</v>
      </c>
      <c r="P20" s="30" t="s">
        <v>340</v>
      </c>
    </row>
    <row r="21" s="19" customFormat="1" ht="45" spans="1:16">
      <c r="A21" s="30">
        <v>16</v>
      </c>
      <c r="B21" s="32" t="s">
        <v>391</v>
      </c>
      <c r="C21" s="32" t="s">
        <v>392</v>
      </c>
      <c r="D21" s="32" t="s">
        <v>94</v>
      </c>
      <c r="E21" s="31">
        <v>567.37</v>
      </c>
      <c r="F21" s="31">
        <f t="shared" si="7"/>
        <v>5</v>
      </c>
      <c r="G21" s="31">
        <f t="shared" si="1"/>
        <v>5.04</v>
      </c>
      <c r="H21" s="31">
        <v>4.8</v>
      </c>
      <c r="I21" s="40">
        <f t="shared" si="6"/>
        <v>0.05</v>
      </c>
      <c r="J21" s="31">
        <f t="shared" si="8"/>
        <v>0.2</v>
      </c>
      <c r="K21" s="31">
        <f t="shared" si="2"/>
        <v>0.6144</v>
      </c>
      <c r="L21" s="31">
        <f t="shared" si="3"/>
        <v>0.325632</v>
      </c>
      <c r="M21" s="31">
        <f t="shared" si="4"/>
        <v>15.6520448</v>
      </c>
      <c r="N21" s="31"/>
      <c r="O21" s="31">
        <f t="shared" si="5"/>
        <v>8880.500658176</v>
      </c>
      <c r="P21" s="30" t="s">
        <v>340</v>
      </c>
    </row>
    <row r="22" s="19" customFormat="1" ht="45" spans="1:16">
      <c r="A22" s="30">
        <v>17</v>
      </c>
      <c r="B22" s="32" t="s">
        <v>557</v>
      </c>
      <c r="C22" s="32" t="s">
        <v>558</v>
      </c>
      <c r="D22" s="32" t="s">
        <v>94</v>
      </c>
      <c r="E22" s="31">
        <v>191.53</v>
      </c>
      <c r="F22" s="31">
        <f t="shared" si="7"/>
        <v>5</v>
      </c>
      <c r="G22" s="31">
        <f t="shared" si="1"/>
        <v>3.99</v>
      </c>
      <c r="H22" s="31">
        <v>3.8</v>
      </c>
      <c r="I22" s="40">
        <f t="shared" si="6"/>
        <v>0.05</v>
      </c>
      <c r="J22" s="31">
        <f t="shared" si="8"/>
        <v>0.2</v>
      </c>
      <c r="K22" s="31">
        <f t="shared" si="2"/>
        <v>0.5514</v>
      </c>
      <c r="L22" s="31">
        <f t="shared" si="3"/>
        <v>0.292242</v>
      </c>
      <c r="M22" s="31">
        <f t="shared" si="4"/>
        <v>14.0470988</v>
      </c>
      <c r="N22" s="31"/>
      <c r="O22" s="31">
        <f t="shared" si="5"/>
        <v>2690.440833164</v>
      </c>
      <c r="P22" s="30" t="s">
        <v>340</v>
      </c>
    </row>
    <row r="23" s="19" customFormat="1" ht="45" spans="1:16">
      <c r="A23" s="30">
        <v>18</v>
      </c>
      <c r="B23" s="32" t="s">
        <v>559</v>
      </c>
      <c r="C23" s="32" t="s">
        <v>560</v>
      </c>
      <c r="D23" s="32" t="s">
        <v>505</v>
      </c>
      <c r="E23" s="31">
        <v>218.82</v>
      </c>
      <c r="F23" s="31">
        <v>40</v>
      </c>
      <c r="G23" s="31">
        <f t="shared" si="1"/>
        <v>0</v>
      </c>
      <c r="H23" s="31">
        <v>0</v>
      </c>
      <c r="I23" s="40">
        <f t="shared" si="6"/>
        <v>0.05</v>
      </c>
      <c r="J23" s="31">
        <v>1</v>
      </c>
      <c r="K23" s="31">
        <f t="shared" si="2"/>
        <v>2.46</v>
      </c>
      <c r="L23" s="31">
        <f t="shared" si="3"/>
        <v>1.3038</v>
      </c>
      <c r="M23" s="31">
        <f t="shared" si="4"/>
        <v>62.66932</v>
      </c>
      <c r="N23" s="31"/>
      <c r="O23" s="31">
        <f t="shared" si="5"/>
        <v>13713.3006024</v>
      </c>
      <c r="P23" s="30"/>
    </row>
    <row r="24" s="19" customFormat="1" ht="45" spans="1:16">
      <c r="A24" s="30">
        <v>19</v>
      </c>
      <c r="B24" s="32" t="s">
        <v>561</v>
      </c>
      <c r="C24" s="32" t="s">
        <v>562</v>
      </c>
      <c r="D24" s="32" t="s">
        <v>505</v>
      </c>
      <c r="E24" s="31">
        <v>218.82</v>
      </c>
      <c r="F24" s="31">
        <v>35</v>
      </c>
      <c r="G24" s="31">
        <f t="shared" si="1"/>
        <v>0</v>
      </c>
      <c r="H24" s="31">
        <v>0</v>
      </c>
      <c r="I24" s="40">
        <f t="shared" si="6"/>
        <v>0.05</v>
      </c>
      <c r="J24" s="31">
        <v>1</v>
      </c>
      <c r="K24" s="31">
        <f t="shared" si="2"/>
        <v>2.16</v>
      </c>
      <c r="L24" s="31">
        <f t="shared" si="3"/>
        <v>1.1448</v>
      </c>
      <c r="M24" s="31">
        <f t="shared" si="4"/>
        <v>55.02672</v>
      </c>
      <c r="N24" s="31"/>
      <c r="O24" s="31">
        <f t="shared" si="5"/>
        <v>12040.9468704</v>
      </c>
      <c r="P24" s="30"/>
    </row>
    <row r="25" s="20" customFormat="1" ht="26" customHeight="1" spans="1:16">
      <c r="A25" s="33">
        <v>20</v>
      </c>
      <c r="B25" s="33" t="s">
        <v>320</v>
      </c>
      <c r="C25" s="33"/>
      <c r="D25" s="33"/>
      <c r="E25" s="34"/>
      <c r="F25" s="34"/>
      <c r="G25" s="34"/>
      <c r="H25" s="34"/>
      <c r="I25" s="42"/>
      <c r="J25" s="34"/>
      <c r="K25" s="34"/>
      <c r="L25" s="34"/>
      <c r="M25" s="43"/>
      <c r="N25" s="44"/>
      <c r="O25" s="34">
        <f>O24+O23+O22+O21+O20+O19+O18+O17+O16+O15+O14+O13+O12+O11+O10+O9+O8+O7+O6</f>
        <v>118536.353499676</v>
      </c>
      <c r="P25" s="30"/>
    </row>
    <row r="26" s="21" customFormat="1" ht="40" customHeight="1" spans="1:17">
      <c r="A26" s="35" t="s">
        <v>321</v>
      </c>
      <c r="B26" s="36" t="s">
        <v>322</v>
      </c>
      <c r="C26" s="36"/>
      <c r="D26" s="36"/>
      <c r="E26" s="36"/>
      <c r="F26" s="36"/>
      <c r="G26" s="36"/>
      <c r="H26" s="36"/>
      <c r="I26" s="36"/>
      <c r="J26" s="36"/>
      <c r="K26" s="36"/>
      <c r="L26" s="36"/>
      <c r="M26" s="36"/>
      <c r="N26" s="36"/>
      <c r="O26" s="36"/>
      <c r="P26" s="36"/>
      <c r="Q26" s="45"/>
    </row>
  </sheetData>
  <mergeCells count="36">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B26:P26"/>
    <mergeCell ref="A3:A5"/>
    <mergeCell ref="B3:B5"/>
    <mergeCell ref="C3:C5"/>
    <mergeCell ref="D3:D5"/>
    <mergeCell ref="E3:E5"/>
    <mergeCell ref="F4:F5"/>
    <mergeCell ref="J4:J5"/>
    <mergeCell ref="O3:O5"/>
    <mergeCell ref="P3:P5"/>
    <mergeCell ref="M3:N5"/>
  </mergeCells>
  <pageMargins left="0.751388888888889" right="0.751388888888889" top="1" bottom="1" header="0.5" footer="0.5"/>
  <pageSetup paperSize="9" scale="8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563</v>
      </c>
      <c r="B1" s="6"/>
      <c r="C1" s="5"/>
      <c r="D1" s="5"/>
      <c r="E1" s="5"/>
      <c r="F1" s="5"/>
      <c r="G1" s="5"/>
      <c r="I1" s="18" t="s">
        <v>564</v>
      </c>
      <c r="J1" s="6"/>
      <c r="K1" s="5"/>
      <c r="L1" s="5"/>
      <c r="M1" s="5"/>
      <c r="N1" s="5"/>
      <c r="O1" s="5"/>
      <c r="Q1" s="18" t="s">
        <v>565</v>
      </c>
      <c r="R1" s="6"/>
      <c r="S1" s="5"/>
      <c r="T1" s="5"/>
      <c r="U1" s="5"/>
      <c r="V1" s="5"/>
      <c r="W1" s="5"/>
      <c r="Y1" s="18" t="s">
        <v>566</v>
      </c>
      <c r="Z1" s="6"/>
      <c r="AA1" s="5"/>
      <c r="AB1" s="5"/>
      <c r="AC1" s="5"/>
      <c r="AD1" s="5"/>
      <c r="AE1" s="5"/>
    </row>
    <row r="2" s="1" customFormat="1" ht="38.1" customHeight="1" spans="1:31">
      <c r="A2" s="7" t="s">
        <v>38</v>
      </c>
      <c r="B2" s="8" t="s">
        <v>24</v>
      </c>
      <c r="C2" s="7" t="s">
        <v>25</v>
      </c>
      <c r="D2" s="7" t="s">
        <v>567</v>
      </c>
      <c r="E2" s="7" t="s">
        <v>568</v>
      </c>
      <c r="F2" s="7" t="s">
        <v>320</v>
      </c>
      <c r="G2" s="7" t="s">
        <v>28</v>
      </c>
      <c r="I2" s="7" t="s">
        <v>38</v>
      </c>
      <c r="J2" s="8" t="s">
        <v>24</v>
      </c>
      <c r="K2" s="7" t="s">
        <v>25</v>
      </c>
      <c r="L2" s="7" t="s">
        <v>567</v>
      </c>
      <c r="M2" s="7" t="s">
        <v>568</v>
      </c>
      <c r="N2" s="7" t="s">
        <v>320</v>
      </c>
      <c r="O2" s="7" t="s">
        <v>28</v>
      </c>
      <c r="Q2" s="7" t="s">
        <v>38</v>
      </c>
      <c r="R2" s="8" t="s">
        <v>24</v>
      </c>
      <c r="S2" s="7" t="s">
        <v>25</v>
      </c>
      <c r="T2" s="7" t="s">
        <v>567</v>
      </c>
      <c r="U2" s="7" t="s">
        <v>568</v>
      </c>
      <c r="V2" s="7" t="s">
        <v>320</v>
      </c>
      <c r="W2" s="7" t="s">
        <v>28</v>
      </c>
      <c r="Y2" s="7" t="s">
        <v>38</v>
      </c>
      <c r="Z2" s="8" t="s">
        <v>24</v>
      </c>
      <c r="AA2" s="7" t="s">
        <v>25</v>
      </c>
      <c r="AB2" s="7" t="s">
        <v>567</v>
      </c>
      <c r="AC2" s="7" t="s">
        <v>568</v>
      </c>
      <c r="AD2" s="7" t="s">
        <v>320</v>
      </c>
      <c r="AE2" s="7" t="s">
        <v>28</v>
      </c>
    </row>
    <row r="3" s="2" customFormat="1" ht="38.1" customHeight="1" spans="1:31">
      <c r="A3" s="7"/>
      <c r="B3" s="9" t="s">
        <v>569</v>
      </c>
      <c r="C3" s="10"/>
      <c r="D3" s="10"/>
      <c r="E3" s="10"/>
      <c r="F3" s="10"/>
      <c r="G3" s="10"/>
      <c r="I3" s="7"/>
      <c r="J3" s="9" t="s">
        <v>569</v>
      </c>
      <c r="K3" s="10"/>
      <c r="L3" s="10"/>
      <c r="M3" s="10"/>
      <c r="N3" s="10"/>
      <c r="O3" s="10"/>
      <c r="Q3" s="7"/>
      <c r="R3" s="9" t="s">
        <v>569</v>
      </c>
      <c r="S3" s="10"/>
      <c r="T3" s="10"/>
      <c r="U3" s="10"/>
      <c r="V3" s="10"/>
      <c r="W3" s="10"/>
      <c r="Y3" s="7"/>
      <c r="Z3" s="9" t="s">
        <v>569</v>
      </c>
      <c r="AA3" s="10"/>
      <c r="AB3" s="10"/>
      <c r="AC3" s="10"/>
      <c r="AD3" s="10"/>
      <c r="AE3" s="10"/>
    </row>
    <row r="4" ht="48.95" customHeight="1" spans="1:31">
      <c r="A4" s="11">
        <v>1</v>
      </c>
      <c r="B4" s="12" t="s">
        <v>570</v>
      </c>
      <c r="C4" s="13" t="s">
        <v>571</v>
      </c>
      <c r="D4" s="14">
        <v>2</v>
      </c>
      <c r="E4" s="14"/>
      <c r="F4" s="14"/>
      <c r="G4" s="14"/>
      <c r="I4" s="11">
        <v>1</v>
      </c>
      <c r="J4" s="12" t="s">
        <v>570</v>
      </c>
      <c r="K4" s="13" t="s">
        <v>571</v>
      </c>
      <c r="L4" s="14">
        <v>2</v>
      </c>
      <c r="M4" s="14"/>
      <c r="N4" s="14"/>
      <c r="O4" s="14"/>
      <c r="Q4" s="11">
        <v>1</v>
      </c>
      <c r="R4" s="12" t="s">
        <v>570</v>
      </c>
      <c r="S4" s="13" t="s">
        <v>571</v>
      </c>
      <c r="T4" s="14">
        <v>2</v>
      </c>
      <c r="U4" s="14"/>
      <c r="V4" s="14"/>
      <c r="W4" s="14"/>
      <c r="Y4" s="11">
        <v>1</v>
      </c>
      <c r="Z4" s="12" t="s">
        <v>570</v>
      </c>
      <c r="AA4" s="13" t="s">
        <v>571</v>
      </c>
      <c r="AB4" s="14">
        <v>2</v>
      </c>
      <c r="AC4" s="14"/>
      <c r="AD4" s="14"/>
      <c r="AE4" s="14"/>
    </row>
    <row r="5" ht="48.95" customHeight="1" spans="1:31">
      <c r="A5" s="11">
        <v>3</v>
      </c>
      <c r="B5" s="15" t="s">
        <v>572</v>
      </c>
      <c r="C5" s="14" t="s">
        <v>94</v>
      </c>
      <c r="D5" s="14">
        <f>5.17*2</f>
        <v>10.34</v>
      </c>
      <c r="E5" s="14">
        <v>30.62</v>
      </c>
      <c r="F5" s="14">
        <f>E5*D5</f>
        <v>316.6108</v>
      </c>
      <c r="G5" s="14"/>
      <c r="I5" s="11">
        <v>3</v>
      </c>
      <c r="J5" s="15" t="s">
        <v>572</v>
      </c>
      <c r="K5" s="14" t="s">
        <v>94</v>
      </c>
      <c r="L5" s="14">
        <f>5.17*2</f>
        <v>10.34</v>
      </c>
      <c r="M5" s="14">
        <v>30.62</v>
      </c>
      <c r="N5" s="14">
        <f>M5*L5</f>
        <v>316.6108</v>
      </c>
      <c r="O5" s="14"/>
      <c r="Q5" s="11">
        <v>3</v>
      </c>
      <c r="R5" s="15" t="s">
        <v>572</v>
      </c>
      <c r="S5" s="14" t="s">
        <v>94</v>
      </c>
      <c r="T5" s="14">
        <f>5.17*2</f>
        <v>10.34</v>
      </c>
      <c r="U5" s="14">
        <v>30.62</v>
      </c>
      <c r="V5" s="14">
        <f>U5*T5</f>
        <v>316.6108</v>
      </c>
      <c r="W5" s="14"/>
      <c r="Y5" s="11">
        <v>3</v>
      </c>
      <c r="Z5" s="15" t="s">
        <v>572</v>
      </c>
      <c r="AA5" s="14" t="s">
        <v>94</v>
      </c>
      <c r="AB5" s="14">
        <f>5.17*2</f>
        <v>10.34</v>
      </c>
      <c r="AC5" s="14">
        <v>30.62</v>
      </c>
      <c r="AD5" s="14">
        <f>AC5*AB5</f>
        <v>316.6108</v>
      </c>
      <c r="AE5" s="14"/>
    </row>
    <row r="6" ht="48.95" customHeight="1" spans="1:31">
      <c r="A6" s="11">
        <v>4</v>
      </c>
      <c r="B6" s="15" t="s">
        <v>573</v>
      </c>
      <c r="C6" s="14" t="s">
        <v>94</v>
      </c>
      <c r="D6" s="14">
        <f>5.17*8</f>
        <v>41.36</v>
      </c>
      <c r="E6" s="14">
        <v>8</v>
      </c>
      <c r="F6" s="14">
        <f>E6*D6</f>
        <v>330.88</v>
      </c>
      <c r="G6" s="14"/>
      <c r="I6" s="11">
        <v>4</v>
      </c>
      <c r="J6" s="15" t="s">
        <v>573</v>
      </c>
      <c r="K6" s="14" t="s">
        <v>94</v>
      </c>
      <c r="L6" s="14">
        <f>5.17*8</f>
        <v>41.36</v>
      </c>
      <c r="M6" s="14">
        <v>8</v>
      </c>
      <c r="N6" s="14">
        <f>M6*L6</f>
        <v>330.88</v>
      </c>
      <c r="O6" s="14"/>
      <c r="Q6" s="11">
        <v>4</v>
      </c>
      <c r="R6" s="15" t="s">
        <v>573</v>
      </c>
      <c r="S6" s="14" t="s">
        <v>94</v>
      </c>
      <c r="T6" s="14">
        <f>5.17*8</f>
        <v>41.36</v>
      </c>
      <c r="U6" s="14">
        <v>8</v>
      </c>
      <c r="V6" s="14">
        <f>U6*T6</f>
        <v>330.88</v>
      </c>
      <c r="W6" s="14"/>
      <c r="Y6" s="11">
        <v>4</v>
      </c>
      <c r="Z6" s="15" t="s">
        <v>573</v>
      </c>
      <c r="AA6" s="14" t="s">
        <v>94</v>
      </c>
      <c r="AB6" s="14">
        <f>5.17*8</f>
        <v>41.36</v>
      </c>
      <c r="AC6" s="14">
        <v>8</v>
      </c>
      <c r="AD6" s="14">
        <f>AC6*AB6</f>
        <v>330.88</v>
      </c>
      <c r="AE6" s="14"/>
    </row>
    <row r="7" ht="48.95" customHeight="1" spans="1:31">
      <c r="A7" s="11">
        <v>5</v>
      </c>
      <c r="B7" s="15" t="s">
        <v>574</v>
      </c>
      <c r="C7" s="14" t="s">
        <v>94</v>
      </c>
      <c r="D7" s="14">
        <f>(0.575+0.495+0.858+0.11+0.19+0.787+0.148+0.148+0.475+0.675+0.495+0.855)*6</f>
        <v>34.866</v>
      </c>
      <c r="E7" s="14">
        <v>3.06</v>
      </c>
      <c r="F7" s="14">
        <f t="shared" ref="F7:F21" si="0">E7*D7</f>
        <v>106.68996</v>
      </c>
      <c r="G7" s="14"/>
      <c r="I7" s="11">
        <v>5</v>
      </c>
      <c r="J7" s="15" t="s">
        <v>574</v>
      </c>
      <c r="K7" s="14" t="s">
        <v>94</v>
      </c>
      <c r="L7" s="14">
        <f>(0.575+0.495+0.858+0.11+0.19+0.787+0.148+0.148+0.475+0.675+0.495+0.855)*6</f>
        <v>34.866</v>
      </c>
      <c r="M7" s="14">
        <v>3.06</v>
      </c>
      <c r="N7" s="14">
        <f t="shared" ref="N7:N16" si="1">M7*L7</f>
        <v>106.68996</v>
      </c>
      <c r="O7" s="14"/>
      <c r="Q7" s="11">
        <v>5</v>
      </c>
      <c r="R7" s="15" t="s">
        <v>574</v>
      </c>
      <c r="S7" s="14" t="s">
        <v>94</v>
      </c>
      <c r="T7" s="14">
        <f>(0.575+0.495+0.858+0.11+0.19+0.787+0.148+0.148+0.475+0.675+0.495+0.855)*6</f>
        <v>34.866</v>
      </c>
      <c r="U7" s="14">
        <v>3.06</v>
      </c>
      <c r="V7" s="14">
        <f t="shared" ref="V7:V16" si="2">U7*T7</f>
        <v>106.68996</v>
      </c>
      <c r="W7" s="14"/>
      <c r="Y7" s="11">
        <v>5</v>
      </c>
      <c r="Z7" s="15" t="s">
        <v>574</v>
      </c>
      <c r="AA7" s="14" t="s">
        <v>94</v>
      </c>
      <c r="AB7" s="14">
        <f>(0.575+0.495+0.858+0.11+0.19+0.787+0.148+0.148+0.475+0.675+0.495+0.855)*6</f>
        <v>34.866</v>
      </c>
      <c r="AC7" s="14">
        <v>3.06</v>
      </c>
      <c r="AD7" s="14">
        <f t="shared" ref="AD7:AD16" si="3">AC7*AB7</f>
        <v>106.68996</v>
      </c>
      <c r="AE7" s="14"/>
    </row>
    <row r="8" ht="48.95" customHeight="1" spans="1:31">
      <c r="A8" s="11">
        <v>6</v>
      </c>
      <c r="B8" s="15" t="s">
        <v>575</v>
      </c>
      <c r="C8" s="14" t="s">
        <v>94</v>
      </c>
      <c r="D8" s="14">
        <f>(0.185*2+0.085*2+0.11*2+0.135+0.11*2+0.185*2+0.085*2+0.135)*6</f>
        <v>10.74</v>
      </c>
      <c r="E8" s="14">
        <v>10</v>
      </c>
      <c r="F8" s="14">
        <f t="shared" si="0"/>
        <v>107.4</v>
      </c>
      <c r="G8" s="14"/>
      <c r="I8" s="11">
        <v>6</v>
      </c>
      <c r="J8" s="15" t="s">
        <v>575</v>
      </c>
      <c r="K8" s="14" t="s">
        <v>94</v>
      </c>
      <c r="L8" s="14">
        <f>(0.185*2+0.085*2+0.11*2+0.135+0.11*2+0.185*2+0.085*2+0.135)*6</f>
        <v>10.74</v>
      </c>
      <c r="M8" s="14">
        <v>10</v>
      </c>
      <c r="N8" s="14">
        <f t="shared" si="1"/>
        <v>107.4</v>
      </c>
      <c r="O8" s="14"/>
      <c r="Q8" s="11">
        <v>6</v>
      </c>
      <c r="R8" s="15" t="s">
        <v>575</v>
      </c>
      <c r="S8" s="14" t="s">
        <v>94</v>
      </c>
      <c r="T8" s="14">
        <f>(0.185*2+0.085*2+0.11*2+0.135+0.11*2+0.185*2+0.085*2+0.135)*6</f>
        <v>10.74</v>
      </c>
      <c r="U8" s="14">
        <v>10</v>
      </c>
      <c r="V8" s="14">
        <f t="shared" si="2"/>
        <v>107.4</v>
      </c>
      <c r="W8" s="14"/>
      <c r="Y8" s="11">
        <v>6</v>
      </c>
      <c r="Z8" s="15" t="s">
        <v>575</v>
      </c>
      <c r="AA8" s="14" t="s">
        <v>94</v>
      </c>
      <c r="AB8" s="14">
        <f>(0.185*2+0.085*2+0.11*2+0.135+0.11*2+0.185*2+0.085*2+0.135)*6</f>
        <v>10.74</v>
      </c>
      <c r="AC8" s="14">
        <v>10</v>
      </c>
      <c r="AD8" s="14">
        <f t="shared" si="3"/>
        <v>107.4</v>
      </c>
      <c r="AE8" s="14"/>
    </row>
    <row r="9" ht="78" customHeight="1" spans="1:31">
      <c r="A9" s="11">
        <v>7</v>
      </c>
      <c r="B9" s="12" t="s">
        <v>576</v>
      </c>
      <c r="C9" s="13" t="s">
        <v>571</v>
      </c>
      <c r="D9" s="14">
        <f>6*6</f>
        <v>36</v>
      </c>
      <c r="E9" s="14"/>
      <c r="F9" s="14">
        <f t="shared" si="0"/>
        <v>0</v>
      </c>
      <c r="G9" s="14"/>
      <c r="I9" s="11">
        <v>7</v>
      </c>
      <c r="J9" s="12" t="s">
        <v>576</v>
      </c>
      <c r="K9" s="13" t="s">
        <v>571</v>
      </c>
      <c r="L9" s="14">
        <f>6*6</f>
        <v>36</v>
      </c>
      <c r="M9" s="14"/>
      <c r="N9" s="14">
        <f t="shared" si="1"/>
        <v>0</v>
      </c>
      <c r="O9" s="14"/>
      <c r="Q9" s="11">
        <v>7</v>
      </c>
      <c r="R9" s="12" t="s">
        <v>576</v>
      </c>
      <c r="S9" s="13" t="s">
        <v>571</v>
      </c>
      <c r="T9" s="14">
        <f>6*6</f>
        <v>36</v>
      </c>
      <c r="U9" s="14"/>
      <c r="V9" s="14">
        <f t="shared" si="2"/>
        <v>0</v>
      </c>
      <c r="W9" s="14"/>
      <c r="Y9" s="11">
        <v>7</v>
      </c>
      <c r="Z9" s="12" t="s">
        <v>576</v>
      </c>
      <c r="AA9" s="13" t="s">
        <v>571</v>
      </c>
      <c r="AB9" s="14">
        <f>6*6</f>
        <v>36</v>
      </c>
      <c r="AC9" s="14"/>
      <c r="AD9" s="14">
        <f t="shared" si="3"/>
        <v>0</v>
      </c>
      <c r="AE9" s="14"/>
    </row>
    <row r="10" ht="78" customHeight="1" spans="1:31">
      <c r="A10" s="11"/>
      <c r="B10" s="12" t="s">
        <v>577</v>
      </c>
      <c r="C10" s="13"/>
      <c r="D10" s="14">
        <f>0.21*7</f>
        <v>1.47</v>
      </c>
      <c r="E10" s="14">
        <v>3.06</v>
      </c>
      <c r="F10" s="14">
        <f t="shared" si="0"/>
        <v>4.4982</v>
      </c>
      <c r="G10" s="14"/>
      <c r="I10" s="11"/>
      <c r="J10" s="12" t="s">
        <v>577</v>
      </c>
      <c r="K10" s="13"/>
      <c r="L10" s="14">
        <f>0.21*7</f>
        <v>1.47</v>
      </c>
      <c r="M10" s="14">
        <v>3.06</v>
      </c>
      <c r="N10" s="14">
        <f t="shared" si="1"/>
        <v>4.4982</v>
      </c>
      <c r="O10" s="14"/>
      <c r="Q10" s="11"/>
      <c r="R10" s="12" t="s">
        <v>577</v>
      </c>
      <c r="S10" s="13"/>
      <c r="T10" s="14">
        <f>0.21*7</f>
        <v>1.47</v>
      </c>
      <c r="U10" s="14">
        <v>3.06</v>
      </c>
      <c r="V10" s="14">
        <f t="shared" si="2"/>
        <v>4.4982</v>
      </c>
      <c r="W10" s="14"/>
      <c r="Y10" s="11"/>
      <c r="Z10" s="12" t="s">
        <v>577</v>
      </c>
      <c r="AA10" s="13"/>
      <c r="AB10" s="14">
        <f>0.21*7</f>
        <v>1.47</v>
      </c>
      <c r="AC10" s="14">
        <v>3.06</v>
      </c>
      <c r="AD10" s="14">
        <f t="shared" si="3"/>
        <v>4.4982</v>
      </c>
      <c r="AE10" s="14"/>
    </row>
    <row r="11" ht="42" customHeight="1" spans="1:31">
      <c r="A11" s="11"/>
      <c r="B11" s="16" t="s">
        <v>578</v>
      </c>
      <c r="C11" s="13"/>
      <c r="D11" s="14"/>
      <c r="E11" s="14"/>
      <c r="F11" s="14">
        <f t="shared" si="0"/>
        <v>0</v>
      </c>
      <c r="G11" s="14"/>
      <c r="I11" s="11"/>
      <c r="J11" s="16" t="s">
        <v>578</v>
      </c>
      <c r="K11" s="13"/>
      <c r="L11" s="14"/>
      <c r="M11" s="14"/>
      <c r="N11" s="14">
        <f t="shared" si="1"/>
        <v>0</v>
      </c>
      <c r="O11" s="14"/>
      <c r="Q11" s="11"/>
      <c r="R11" s="16" t="s">
        <v>578</v>
      </c>
      <c r="S11" s="13"/>
      <c r="T11" s="14"/>
      <c r="U11" s="14"/>
      <c r="V11" s="14">
        <f t="shared" si="2"/>
        <v>0</v>
      </c>
      <c r="W11" s="14"/>
      <c r="Y11" s="11"/>
      <c r="Z11" s="16" t="s">
        <v>578</v>
      </c>
      <c r="AA11" s="13"/>
      <c r="AB11" s="14"/>
      <c r="AC11" s="14"/>
      <c r="AD11" s="14">
        <f t="shared" si="3"/>
        <v>0</v>
      </c>
      <c r="AE11" s="14"/>
    </row>
    <row r="12" ht="48.95" customHeight="1" spans="1:31">
      <c r="A12" s="11">
        <v>1</v>
      </c>
      <c r="B12" s="15" t="s">
        <v>574</v>
      </c>
      <c r="C12" s="14" t="s">
        <v>94</v>
      </c>
      <c r="D12" s="14">
        <f>(0.547+0.156+0.686+1.112+1.137)*2+1.13*4+(0.547+0.156+0.686)*3*2+(1.55+1.7+1.055)*3</f>
        <v>33.045</v>
      </c>
      <c r="E12" s="14"/>
      <c r="F12" s="14">
        <f t="shared" si="0"/>
        <v>0</v>
      </c>
      <c r="G12" s="14"/>
      <c r="I12" s="11">
        <v>1</v>
      </c>
      <c r="J12" s="15" t="s">
        <v>574</v>
      </c>
      <c r="K12" s="14" t="s">
        <v>94</v>
      </c>
      <c r="L12" s="14">
        <f>(0.547+0.156+0.686+1.112+1.137)*2+1.13*4+(0.547+0.156+0.686)*3*2+(1.55+1.7+1.055)*3</f>
        <v>33.045</v>
      </c>
      <c r="M12" s="14">
        <f>M10</f>
        <v>3.06</v>
      </c>
      <c r="N12" s="14">
        <f t="shared" si="1"/>
        <v>101.1177</v>
      </c>
      <c r="O12" s="14"/>
      <c r="Q12" s="11">
        <v>1</v>
      </c>
      <c r="R12" s="15" t="s">
        <v>574</v>
      </c>
      <c r="S12" s="14" t="s">
        <v>94</v>
      </c>
      <c r="T12" s="14">
        <f>(0.547+0.156+0.686+1.112+1.137)*2+1.13*4+(0.547+0.156+0.686)*3*2+(1.55+1.7+1.055)*3</f>
        <v>33.045</v>
      </c>
      <c r="U12" s="14">
        <f>U10</f>
        <v>3.06</v>
      </c>
      <c r="V12" s="14">
        <f t="shared" si="2"/>
        <v>101.1177</v>
      </c>
      <c r="W12" s="14"/>
      <c r="Y12" s="11">
        <v>1</v>
      </c>
      <c r="Z12" s="15" t="s">
        <v>574</v>
      </c>
      <c r="AA12" s="14" t="s">
        <v>94</v>
      </c>
      <c r="AB12" s="14">
        <f>(0.547+0.156+0.686+1.112)*2+(0.547+0.156+0.686)*3*2+(1.55+1.055)*3</f>
        <v>21.151</v>
      </c>
      <c r="AC12" s="14">
        <f>AC10</f>
        <v>3.06</v>
      </c>
      <c r="AD12" s="14">
        <f t="shared" si="3"/>
        <v>64.72206</v>
      </c>
      <c r="AE12" s="14"/>
    </row>
    <row r="13" ht="48.95" customHeight="1" spans="1:31">
      <c r="A13" s="11"/>
      <c r="B13" s="12" t="s">
        <v>579</v>
      </c>
      <c r="C13" s="13" t="s">
        <v>571</v>
      </c>
      <c r="D13" s="14">
        <f>3*2</f>
        <v>6</v>
      </c>
      <c r="E13" s="14"/>
      <c r="F13" s="14">
        <f t="shared" si="0"/>
        <v>0</v>
      </c>
      <c r="G13" s="14"/>
      <c r="I13" s="11"/>
      <c r="J13" s="12" t="s">
        <v>579</v>
      </c>
      <c r="K13" s="13" t="s">
        <v>571</v>
      </c>
      <c r="L13" s="14">
        <f>3*2</f>
        <v>6</v>
      </c>
      <c r="M13" s="14"/>
      <c r="N13" s="14">
        <f t="shared" si="1"/>
        <v>0</v>
      </c>
      <c r="O13" s="14"/>
      <c r="Q13" s="11"/>
      <c r="R13" s="12" t="s">
        <v>579</v>
      </c>
      <c r="S13" s="13" t="s">
        <v>571</v>
      </c>
      <c r="T13" s="14">
        <f>3*2</f>
        <v>6</v>
      </c>
      <c r="U13" s="14"/>
      <c r="V13" s="14">
        <f t="shared" si="2"/>
        <v>0</v>
      </c>
      <c r="W13" s="14"/>
      <c r="Y13" s="11"/>
      <c r="Z13" s="12" t="s">
        <v>579</v>
      </c>
      <c r="AA13" s="13" t="s">
        <v>571</v>
      </c>
      <c r="AB13" s="14">
        <f>3*2</f>
        <v>6</v>
      </c>
      <c r="AC13" s="14"/>
      <c r="AD13" s="14">
        <f t="shared" si="3"/>
        <v>0</v>
      </c>
      <c r="AE13" s="14"/>
    </row>
    <row r="14" ht="48.95" customHeight="1" spans="1:31">
      <c r="A14" s="11"/>
      <c r="B14" s="16" t="s">
        <v>580</v>
      </c>
      <c r="C14" s="14"/>
      <c r="D14" s="14"/>
      <c r="E14" s="14"/>
      <c r="F14" s="14">
        <f t="shared" si="0"/>
        <v>0</v>
      </c>
      <c r="G14" s="14"/>
      <c r="I14" s="11"/>
      <c r="J14" s="16" t="s">
        <v>580</v>
      </c>
      <c r="K14" s="14"/>
      <c r="L14" s="14"/>
      <c r="M14" s="14"/>
      <c r="N14" s="14">
        <f t="shared" si="1"/>
        <v>0</v>
      </c>
      <c r="O14" s="14"/>
      <c r="Q14" s="11"/>
      <c r="R14" s="16" t="s">
        <v>580</v>
      </c>
      <c r="S14" s="14"/>
      <c r="T14" s="14"/>
      <c r="U14" s="14"/>
      <c r="V14" s="14">
        <f t="shared" si="2"/>
        <v>0</v>
      </c>
      <c r="W14" s="14"/>
      <c r="Y14" s="11"/>
      <c r="Z14" s="16" t="s">
        <v>580</v>
      </c>
      <c r="AA14" s="14"/>
      <c r="AB14" s="14"/>
      <c r="AC14" s="14"/>
      <c r="AD14" s="14">
        <f t="shared" si="3"/>
        <v>0</v>
      </c>
      <c r="AE14" s="14"/>
    </row>
    <row r="15" ht="48.95" customHeight="1" spans="1:31">
      <c r="A15" s="11"/>
      <c r="B15" s="15" t="s">
        <v>574</v>
      </c>
      <c r="C15" s="14" t="s">
        <v>94</v>
      </c>
      <c r="D15" s="14">
        <f>(0.543+0.156+0.686+1.112+1.133*2+0.296*3)*3+3.98*3+(1.55+1.7+1.055)*3</f>
        <v>41.808</v>
      </c>
      <c r="E15" s="14">
        <v>3.06</v>
      </c>
      <c r="F15" s="14">
        <f t="shared" si="0"/>
        <v>127.93248</v>
      </c>
      <c r="G15" s="14"/>
      <c r="I15" s="11"/>
      <c r="J15" s="15" t="s">
        <v>574</v>
      </c>
      <c r="K15" s="14" t="s">
        <v>94</v>
      </c>
      <c r="L15" s="14">
        <f>(0.543+0.156+0.686+1.112+1.133*2+0.296*3)*3+3.98*3+(1.55+1.7+1.055)*3</f>
        <v>41.808</v>
      </c>
      <c r="M15" s="14">
        <v>3.06</v>
      </c>
      <c r="N15" s="14">
        <f t="shared" si="1"/>
        <v>127.93248</v>
      </c>
      <c r="O15" s="14"/>
      <c r="Q15" s="11"/>
      <c r="R15" s="15" t="s">
        <v>574</v>
      </c>
      <c r="S15" s="14" t="s">
        <v>94</v>
      </c>
      <c r="T15" s="14">
        <f>(0.543+0.156+0.686+1.112+1.133*2+0.296*3)*3+3.98*3+(1.55+1.7+1.055)*3</f>
        <v>41.808</v>
      </c>
      <c r="U15" s="14">
        <v>3.06</v>
      </c>
      <c r="V15" s="14">
        <f t="shared" si="2"/>
        <v>127.93248</v>
      </c>
      <c r="W15" s="14"/>
      <c r="Y15" s="11"/>
      <c r="Z15" s="15" t="s">
        <v>574</v>
      </c>
      <c r="AA15" s="14" t="s">
        <v>94</v>
      </c>
      <c r="AB15" s="14">
        <f>(0.543+0.156+0.686+1.112+1.133*2+0.296*3)*3+3.98*3+(1.55+1.7+1.055)*3</f>
        <v>41.808</v>
      </c>
      <c r="AC15" s="14">
        <v>3.06</v>
      </c>
      <c r="AD15" s="14">
        <f t="shared" si="3"/>
        <v>127.93248</v>
      </c>
      <c r="AE15" s="14"/>
    </row>
    <row r="16" ht="48.95" customHeight="1" spans="1:31">
      <c r="A16" s="11"/>
      <c r="B16" s="12" t="s">
        <v>581</v>
      </c>
      <c r="C16" s="13" t="s">
        <v>571</v>
      </c>
      <c r="D16" s="14">
        <f>5*3</f>
        <v>15</v>
      </c>
      <c r="E16" s="14"/>
      <c r="F16" s="14">
        <f t="shared" si="0"/>
        <v>0</v>
      </c>
      <c r="G16" s="14"/>
      <c r="I16" s="11"/>
      <c r="J16" s="12" t="s">
        <v>581</v>
      </c>
      <c r="K16" s="13" t="s">
        <v>571</v>
      </c>
      <c r="L16" s="14">
        <f>5*3</f>
        <v>15</v>
      </c>
      <c r="M16" s="14"/>
      <c r="N16" s="14">
        <f t="shared" si="1"/>
        <v>0</v>
      </c>
      <c r="O16" s="14"/>
      <c r="Q16" s="11"/>
      <c r="R16" s="12" t="s">
        <v>581</v>
      </c>
      <c r="S16" s="13" t="s">
        <v>571</v>
      </c>
      <c r="T16" s="14">
        <f>5*3</f>
        <v>15</v>
      </c>
      <c r="U16" s="14"/>
      <c r="V16" s="14">
        <f t="shared" si="2"/>
        <v>0</v>
      </c>
      <c r="W16" s="14"/>
      <c r="Y16" s="11"/>
      <c r="Z16" s="12" t="s">
        <v>581</v>
      </c>
      <c r="AA16" s="13" t="s">
        <v>571</v>
      </c>
      <c r="AB16" s="14">
        <f>5*3</f>
        <v>15</v>
      </c>
      <c r="AC16" s="14"/>
      <c r="AD16" s="14">
        <f t="shared" si="3"/>
        <v>0</v>
      </c>
      <c r="AE16" s="14"/>
    </row>
    <row r="17" ht="48.95" customHeight="1" spans="1:31">
      <c r="A17" s="11"/>
      <c r="B17" s="17" t="s">
        <v>582</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583</v>
      </c>
      <c r="C18" s="14" t="s">
        <v>94</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584</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585</v>
      </c>
      <c r="C20" s="13" t="s">
        <v>571</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586</v>
      </c>
      <c r="C21" s="14" t="s">
        <v>94</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320</v>
      </c>
      <c r="C22" s="14" t="s">
        <v>337</v>
      </c>
      <c r="D22" s="14"/>
      <c r="E22" s="14"/>
      <c r="F22" s="14">
        <f>SUM(F3:F21)</f>
        <v>1343.13132</v>
      </c>
      <c r="G22" s="14"/>
      <c r="I22" s="11"/>
      <c r="J22" s="17" t="s">
        <v>320</v>
      </c>
      <c r="K22" s="14" t="s">
        <v>337</v>
      </c>
      <c r="L22" s="14"/>
      <c r="M22" s="14"/>
      <c r="N22" s="14">
        <f>SUM(N3:N21)</f>
        <v>1095.12914</v>
      </c>
      <c r="O22" s="14"/>
      <c r="Q22" s="11"/>
      <c r="R22" s="17" t="s">
        <v>320</v>
      </c>
      <c r="S22" s="14" t="s">
        <v>337</v>
      </c>
      <c r="T22" s="14"/>
      <c r="U22" s="14"/>
      <c r="V22" s="14">
        <f>SUM(V3:V21)</f>
        <v>1095.12914</v>
      </c>
      <c r="W22" s="14"/>
      <c r="Y22" s="11"/>
      <c r="Z22" s="17" t="s">
        <v>320</v>
      </c>
      <c r="AA22" s="14" t="s">
        <v>337</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03、安装工程</vt:lpstr>
      <vt:lpstr>04、增加示范区弱电工程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不要总是（圈a）我</cp:lastModifiedBy>
  <dcterms:created xsi:type="dcterms:W3CDTF">2020-11-19T09:45:00Z</dcterms:created>
  <dcterms:modified xsi:type="dcterms:W3CDTF">2023-03-25T00:56:55Z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D361E06B9E2044BBB3D574A4DC48573F</vt:lpwstr>
  </property>
</Properties>
</file>