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30" firstSheet="1" activeTab="4"/>
  </bookViews>
  <sheets>
    <sheet name="Sheet2" sheetId="20" state="hidden" r:id="rId1"/>
    <sheet name="清单报价说明" sheetId="7" r:id="rId2"/>
    <sheet name="01、汇总表" sheetId="9" r:id="rId3"/>
    <sheet name="Sheet1" sheetId="19" state="hidden" r:id="rId4"/>
    <sheet name="02、装饰工程" sheetId="12" r:id="rId5"/>
    <sheet name="03、安装工程" sheetId="11" r:id="rId6"/>
    <sheet name="04、增加示范区弱电工程" sheetId="14" r:id="rId7"/>
    <sheet name="门头钢结构工程量计算" sheetId="13" state="hidden" r:id="rId8"/>
  </sheets>
  <definedNames>
    <definedName name="_xlnm._FilterDatabase" localSheetId="4" hidden="1">'02、装饰工程'!$A$5:$Q$281</definedName>
    <definedName name="_xlnm._FilterDatabase" localSheetId="5" hidden="1">'03、安装工程'!$A$5:$P$230</definedName>
    <definedName name="_xlnm._FilterDatabase" localSheetId="7" hidden="1">门头钢结构工程量计算!$A$2:$G$22</definedName>
    <definedName name="_xlnm.Print_Area" localSheetId="1">清单报价说明!$A$1:$B$22</definedName>
    <definedName name="_xlnm.Print_Titles" localSheetId="4">'02、装饰工程'!$1:$5</definedName>
    <definedName name="_xlnm.Print_Titles" localSheetId="5">'03、安装工程'!$1:$5</definedName>
    <definedName name="_xlnm.Print_Area" localSheetId="6">'04、增加示范区弱电工程'!$A$1:$P$26</definedName>
    <definedName name="_xlnm.Print_Area" localSheetId="4">'02、装饰工程'!$A$1:$P$281</definedName>
    <definedName name="_xlnm.Print_Area" localSheetId="2">'01、汇总表'!$A$1:$F$15</definedName>
    <definedName name="_xlnm.Print_Area" localSheetId="5">'03、安装工程'!$A$1:$P$230</definedName>
    <definedName name="_xlnm.Print_Area" localSheetId="3">Sheet1!$A$1:$I$53</definedName>
    <definedName name="_xlnm.Print_Area" localSheetId="0">Sheet2!$A$1:$I$55</definedName>
  </definedNames>
  <calcPr calcId="144525"/>
</workbook>
</file>

<file path=xl/sharedStrings.xml><?xml version="1.0" encoding="utf-8"?>
<sst xmlns="http://schemas.openxmlformats.org/spreadsheetml/2006/main" count="1736" uniqueCount="592">
  <si>
    <t>工程量清单报价说明</t>
  </si>
  <si>
    <t>一、工程概况:</t>
  </si>
  <si>
    <t>工程概况:河南省洛阳市浩德地产伊河湾营销中心装饰工程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</si>
  <si>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</si>
  <si>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</si>
  <si>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</si>
  <si>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</si>
  <si>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</si>
  <si>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</si>
  <si>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</si>
  <si>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</si>
  <si>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</si>
  <si>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</si>
  <si>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</si>
  <si>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</si>
  <si>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</si>
  <si>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</si>
  <si>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</si>
  <si>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</si>
  <si>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精装修施工范围：一层及负一层墙面地面天棚装修，不含成品装饰摆件</t>
  </si>
  <si>
    <t>精装修安装部分施工范围：
1、总配电箱ZAP-10#进线不在本次招标范围，总配电箱及N1、N2、N4、N7回路配管及电缆在本次招标范围
2、强电部分包含精装电气图纸范围内的照明配电箱（含）出线回路配管、配线、接线盒、灯具、开关、插座、温控开关以及营销中心所有强电线槽
3、弱电部分包含相应图纸范围内的弱电箱（含）之后综合布线系统、监控门禁系统、背景音乐系统全部配管、配线、设备以及营销中心所有弱电线槽
4、给排水部分包含相应图纸范围内的给排水管线及洁具，图中注明原土建预留部分不在本次招标范围
5、通风空调部分包含相应图纸范围内的空调室内外机、冷媒管系统、冷凝管系统以及卫生间排气扇、挡烟垂壁等
6、火灾报警与应急照明系统不在本次招标范围</t>
  </si>
  <si>
    <t>以下内容为空白。</t>
  </si>
  <si>
    <t>河南省洛阳市浩德地产伊河湾营销中心装饰工程造价汇总表</t>
  </si>
  <si>
    <t>序 号</t>
  </si>
  <si>
    <t>项目名称</t>
  </si>
  <si>
    <t>单位</t>
  </si>
  <si>
    <t>金额 (元)</t>
  </si>
  <si>
    <t>合计(元)</t>
  </si>
  <si>
    <t>备注</t>
  </si>
  <si>
    <t>一</t>
  </si>
  <si>
    <t>一层</t>
  </si>
  <si>
    <t>一层地面</t>
  </si>
  <si>
    <t>项</t>
  </si>
  <si>
    <t>一层天棚</t>
  </si>
  <si>
    <t>一层墙面</t>
  </si>
  <si>
    <t>二</t>
  </si>
  <si>
    <t>负一层</t>
  </si>
  <si>
    <t>负一层地面</t>
  </si>
  <si>
    <t>负一层天棚</t>
  </si>
  <si>
    <t>负一层墙面</t>
  </si>
  <si>
    <t>三</t>
  </si>
  <si>
    <t>安装工程</t>
  </si>
  <si>
    <t>四</t>
  </si>
  <si>
    <t>示范区弱电工程</t>
  </si>
  <si>
    <t>价格清单（伊河湾项目售楼部室内精装工程）（装饰部分）</t>
  </si>
  <si>
    <t>工程名称：河南省洛阳市浩德地产伊河湾营销中心装饰工程--装饰工程</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</si>
  <si>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</si>
  <si>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</si>
  <si>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</si>
  <si>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</si>
  <si>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</si>
  <si>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</si>
  <si>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</si>
  <si>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</si>
  <si>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</si>
  <si>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</si>
  <si>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</si>
  <si>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</si>
  <si>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</si>
  <si>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</si>
  <si>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</si>
  <si>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</si>
  <si>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</si>
  <si>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</si>
  <si>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1层地面</t>
  </si>
  <si>
    <t>平面砂浆找平层</t>
  </si>
  <si>
    <t>1.30mm厚（最薄处）M20水泥砂浆找坡兼找平层。
2.部位：景观区一、景观区二
3.其它说明：满足规范和设计图纸要求</t>
  </si>
  <si>
    <t>m2</t>
  </si>
  <si>
    <t>按答疑修改了清单描述，工程量未变。</t>
  </si>
  <si>
    <t>石材楼地面</t>
  </si>
  <si>
    <t>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t>
  </si>
  <si>
    <t>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t>
  </si>
  <si>
    <t>瓷砖楼地面（无防水）</t>
  </si>
  <si>
    <t>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t>
  </si>
  <si>
    <t>广东产</t>
  </si>
  <si>
    <t>1.50*50*5镀锌方钢龙骨
2.9mm厚阻燃板基层
3.ST02+ST07石材地面+MT03不锈钢饰面
4.部位：大堂、景观区一
5.详见1F-DT-06节点10、11
6.其它满足规范和设计图纸要求</t>
  </si>
  <si>
    <t>1层天棚</t>
  </si>
  <si>
    <t>吊顶天棚</t>
  </si>
  <si>
    <t>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t>
  </si>
  <si>
    <t>龙骨驰龙、石膏板泰山</t>
  </si>
  <si>
    <t>吊顶天棚（跌级）</t>
  </si>
  <si>
    <t>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t>
  </si>
  <si>
    <t>格栅吊顶</t>
  </si>
  <si>
    <t>1.木纹铝格栅
2.部位：景观区一、景观区二
3.作法详见1F-TH-01节点03
4.其它说明：满足规范和设计图纸要求</t>
  </si>
  <si>
    <t>1层墙面</t>
  </si>
  <si>
    <t>东立面</t>
  </si>
  <si>
    <t>墙面装饰板</t>
  </si>
  <si>
    <t>1.50*50*5镀锌方钢龙骨+20*40*3镀锌方钢龙骨@600*600
2.12厚阻燃板基层
3.WD-01木饰面面层
4.作法详见1F-DT-0节点01
5.其它说明：满足规范和设计图纸要求</t>
  </si>
  <si>
    <t>厂家定制</t>
  </si>
  <si>
    <t>1.45*25*4镀锌方钢龙骨+30*10*4镀锌方钢龙骨@600*600
2.12厚阻燃板基层
3.WD-01木饰面面层
4.作法详见1F-DT-02节点03
5.其它说明：满足规范和设计图纸要求</t>
  </si>
  <si>
    <t>1.12厚阻燃板基层
2.MT-03不锈钢饰面面层
3.作法详见1F-DT-02节点02
4.其它说明：满足规范和设计图纸要求</t>
  </si>
  <si>
    <t>1.9.5mm厚石膏板基层
2.12厚阻燃板基层
3.WD-01木饰面面层
4.作法详见详见MB-07/08
5.其它说明：满足规范和设计图纸要求</t>
  </si>
  <si>
    <t>石材踢脚线</t>
  </si>
  <si>
    <t>1.12mm厚阻燃板基层
2.ST-05踢脚线
3.作法详见1F-DT-03节点05
4.其它说明：满足规范和设计图纸要求</t>
  </si>
  <si>
    <t>金属字</t>
  </si>
  <si>
    <t>1.发光字
2.详见1F-DT-02节点02
3.其它满足规范和设计图纸要求</t>
  </si>
  <si>
    <t>个</t>
  </si>
  <si>
    <t>钢化玻璃双开门</t>
  </si>
  <si>
    <t>1.GL-01钢化玻璃双开门
2.作法详见MB-07/08
3.含定制不锈钢拉手、五金配件
4.其它说明：满足规范和设计图纸要求</t>
  </si>
  <si>
    <t>樘</t>
  </si>
  <si>
    <t>玻璃栏板</t>
  </si>
  <si>
    <t>1.楼梯玻璃栏杆，含五金配件
2.作法详见1F-DT-08
3.其它说明：满足规范和设计图纸要求</t>
  </si>
  <si>
    <t>m</t>
  </si>
  <si>
    <t>西立面</t>
  </si>
  <si>
    <t>屏风</t>
  </si>
  <si>
    <t>1.屏风
2.部位：大堂西侧
3.作法详见1F-DT-05节点07
4.其它说明：满足规范和设计图纸要求</t>
  </si>
  <si>
    <t>1.50*50*5镀锌方钢龙骨@600*600
2.12厚双层阻燃板基层
3.WD-01木饰面面层
4.作法详见1F-DT-03节点04
5.其它说明：满足规范和设计图纸要求</t>
  </si>
  <si>
    <t>1.45*25*4镀锌方钢龙骨+30*10*4镀锌方钢龙骨@600*600
2.12厚双层阻燃板基层
3.WD-01木饰面面层
4.作法详见1F-DT-02节点03
5.其它说明：满足规范和设计图纸要求</t>
  </si>
  <si>
    <t>1.50*50*5镀锌方钢龙骨+30*40*4镀锌方钢龙骨@600*600
2.12厚双层阻燃板基层
3.WD-01木饰面面层
4.作法详见1F-DT-03节点04a
5.其它说明：满足规范和设计图纸要求</t>
  </si>
  <si>
    <t>南立面</t>
  </si>
  <si>
    <t>1.屏风
2.部位：大堂南侧
3.做法详见1F-DT-05节点08
4.其它说明：满足规范和设计图纸要求</t>
  </si>
  <si>
    <t>1.50*50*5镀锌方钢竖向龙骨，@600*600
2.12厚阻燃板基层
3.WD-01木饰面面层
4.作法详见1F-DT-03节点04
5.其它说明：满足规范和设计图纸要求</t>
  </si>
  <si>
    <t>1.12mm厚阻燃板基层
2.ST-05踢脚线
3.作法详见1F-DT-03节点05
3.其它说明：满足规范和设计图纸要求</t>
  </si>
  <si>
    <t>北立面</t>
  </si>
  <si>
    <t>1.45*25*4镀锌方钢竖向龙骨+30*10*4横向龙骨，@600*600
2.12厚阻燃板基层
3.WD-01木饰面面层
4.作法详见1F-DT-02节点03
5.其它说明：满足规范和设计图纸要求</t>
  </si>
  <si>
    <t>1.屏风
2.部位：大堂北侧
3.做法详见1F-DT-04节点06
4.其它说明：满足规范和设计图纸要求</t>
  </si>
  <si>
    <t>电动卷帘</t>
  </si>
  <si>
    <t>1.成品电动卷帘
2.含电动装置
3.其它说明：满足规范和设计图纸要求</t>
  </si>
  <si>
    <t>景观区一</t>
  </si>
  <si>
    <t>1.GL-01钢化玻璃双开门
2.详见MB-07/08
3.含定制不锈钢拉手，五金配件
4.其它说明：满足规范和设计图纸要求</t>
  </si>
  <si>
    <t>1.50*50*5镀锌方钢龙骨，@600*600
2.双层12厚阻燃板基层
3.WD-01木饰面面层
4.其它说明：满足规范和设计图纸要求</t>
  </si>
  <si>
    <t>1.屏风
2.部位：景观区一
3.做法详见1F-DT-07节点12
4.其它说明：满足规范和设计图纸要求</t>
  </si>
  <si>
    <t>1.ST-01踢脚线
2.其它说明：满足规范和设计图纸要求</t>
  </si>
  <si>
    <t>景观区二</t>
  </si>
  <si>
    <t>1.屏风
2.部位：景观区二
3.做法详见1F-DT-07
4.其它说明：满足规范和设计图纸要求</t>
  </si>
  <si>
    <t>1.GL-01钢化玻璃双开门
2.详见MB-07/08
3.含定制不锈钢拉手、五金配件
4.其它说明：满足规范和设计图纸要求</t>
  </si>
  <si>
    <t>1.50*50*5镀锌方钢龙骨/45*25*4镀锌方钢龙骨，@600*600
2.12厚阻燃板基层
3.WD-01木饰面面层
4.其它说明：满足规范和设计图纸要求</t>
  </si>
  <si>
    <t>石材墙面</t>
  </si>
  <si>
    <t>1.ST-03 石材
2.50*50*5镀锌角铁（预埋件）+M12膨胀螺栓+不锈钢石材干挂件+石材
3.作法详见1F-DT-08节点13
4.其它说明：满足规范和设计图纸要求</t>
  </si>
  <si>
    <t>金属扶手、栏杆、栏板</t>
  </si>
  <si>
    <t>1.不锈钢扶手，含五金配件
2.作法详见1F-DT-08节点13
3.其它说明：满足规范和设计图纸要求</t>
  </si>
  <si>
    <t>1.12mm厚阻燃板基层
2.ST-01踢脚线
3.其它说明：满足规范和设计图纸要求</t>
  </si>
  <si>
    <t>1.GL-01钢化玻璃
2.热镀锌U型槽+MT-03不锈钢（间距1600一根不锈钢立柱）+钢化玻璃+不锈钢扶手
3.其它说明：满足规范和设计图纸要求</t>
  </si>
  <si>
    <t>MT-03不锈钢线条</t>
  </si>
  <si>
    <t>1.MT-03不锈钢线条
2.其它满足规范和设计图纸要求</t>
  </si>
  <si>
    <t>1.ST-01石材
2.其它说明：详见相关设计、要求及规范</t>
  </si>
  <si>
    <t>1层家具</t>
  </si>
  <si>
    <t>服务台</t>
  </si>
  <si>
    <t>1.接待前台
2.部位：大堂南侧
3.做法详见01/1F-JJ-01
4.其它说明：满足规范和设计图纸要求</t>
  </si>
  <si>
    <t>-1层地面</t>
  </si>
  <si>
    <t>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t>
  </si>
  <si>
    <t>过门石</t>
  </si>
  <si>
    <t>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t>
  </si>
  <si>
    <t>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t>
  </si>
  <si>
    <t>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t>
  </si>
  <si>
    <t>瓷砖楼地面（有防水）</t>
  </si>
  <si>
    <t>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t>
  </si>
  <si>
    <t>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t>
  </si>
  <si>
    <t>细石楼地面</t>
  </si>
  <si>
    <t>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t>
  </si>
  <si>
    <t>鹅卵石楼地面</t>
  </si>
  <si>
    <t>1.鹅卵石楼地面
2.鹅卵石
3.20mm厚1:3干硬性水泥砂浆调平层
4.界面剂、水泥砂浆一道
5.15mm厚1:2.5水泥砂浆找平层
6.钢筋混凝土楼板
7.部位：休息区、儿童区一侧
8.其它说明：满足规范和设计图纸要求</t>
  </si>
  <si>
    <t>实木地板楼地面</t>
  </si>
  <si>
    <t>1.FL01木地板
2.双层9mm阻燃板（防火涂料三度）
3.40*40*2镀锌方通，双层，1000*1000间距
4.3mm厚铝膜防潮层
5.10mm厚1:2.5水泥砂浆找平层
6.钢筋混凝土楼板
7.部位：健身区
8.其它说明：满足规范和设计图纸要求</t>
  </si>
  <si>
    <t>木饰面地板楼地面</t>
  </si>
  <si>
    <t>1.WD01木饰面
2.双层12mm阻燃板
3.40*40*2镀锌方通，双层
4.10mm厚1:2.5水泥砂浆找平层
5.钢筋混凝土楼板
6.部位：水吧总台
7.其它说明：满足规范和设计图纸要求</t>
  </si>
  <si>
    <t>1.FL01木地板(含3mm金属条）
2.3厚铝膜防潮垫
3.5mm自流平面层
4.20mm厚1:3水泥沙浆找平
5.界面剂、水泥砂浆一道
6.10mm厚1:2.5水泥砂浆找平层
7.钢筋混凝土楼板
8.部位：展示区
9.其它说明：满足规范和设计图纸要求</t>
  </si>
  <si>
    <t>绿植皮楼地面</t>
  </si>
  <si>
    <t>1.SP01绿植皮
2.20mm厚1:3干硬性水泥砂浆调平层
3.界面剂、水泥砂浆一道
5.10mm厚1:2.5水泥砂浆找平层
6.钢筋混凝土楼板
7.部位：沙盘区一侧
8.其它说明：满足规范和设计图纸要求</t>
  </si>
  <si>
    <t>皮革楼地面</t>
  </si>
  <si>
    <t>1.UP01 皮革地面
2.双层9mm阻燃板
3.40*40*2镀锌方通，双层，1000*1000间距
4.10mm厚1:2.5水泥砂浆找平层
5.钢筋混凝土楼板
6.部位：泡泡池
7.其它说明：满足规范和设计图纸要求</t>
  </si>
  <si>
    <t>-1层天棚</t>
  </si>
  <si>
    <t>1.米白色防水肌理漆吊顶（各种颜色）
2.部位：卫生间
3.膨胀螺栓,10钢筋吊杆,双向吊点,900~1200
4.轻钢主龙骨(金属吊件连接)
5.轻钢次龙骨、收边轻钢龙骨(专用连接挂件)
6.9.5mm厚防水石膏板基层+12mm阻燃板基层
7.钉眼防锈处理,石膏板接缝处理,阴、阳角护角收边
8.刮专用腻子找平二遍、打磨
9.刷抗碱度漆一道
10.刷肌理漆一道
11.喷肌理漆一道
12.含风口、灯孔等
13.作法详见-1F-TH-04节点12
14.其它说明：满足规范和设计图纸要求</t>
  </si>
  <si>
    <t>按答疑，更衣室、储藏室及办公室等非展示区改为乳胶漆。原肌理漆部分工程量减小。乳胶漆在清单最后进行了增加分项。工程量有修改</t>
  </si>
  <si>
    <t>1.木饰面吊顶
2.部位：休息区
3.膨胀螺栓,10钢筋吊杆,双向吊点,900~1200
4.轻钢主龙骨(金属吊件连接)
5.轻钢次龙骨、收边轻钢龙骨(专用连接挂件)转换层可以取消，采用反支撑
6.双层12mm厚阻燃板基层
7.木饰面
8.含风口、灯孔等
9.作法详见-1F-TH-04节点09、10、15
10.其它说明：满足规范和设计图纸要求</t>
  </si>
  <si>
    <t>按答疑回复修改了描述，工程量未修改。</t>
  </si>
  <si>
    <t>1.木饰面吊顶
2.部位：水吧台、休闲区
3.膨胀螺栓,10钢筋吊杆,双向吊点,900~1200
4.轻钢主龙骨(金属吊件连接)
5.轻钢次龙骨、收边轻钢龙骨(专用连接挂件)转换层可以取消，采用反支撑
6.双层12mm厚阻燃板基层
7.木饰面
8.含风口、灯孔等
9.作法详见-1F-TH-02节点03、04
10.其它说明：满足规范和设计图纸要求</t>
  </si>
  <si>
    <t>1.哑光色铝板+米白色肌理漆（各种颜色）+木饰面
2.部位：健身区
3.40*40*2镀锌方通骨架
4.12mm厚阻燃板基层+9.5mm石膏板基层，含专用腻子等
5.哑光色铝板+米白色肌理漆+木饰面
6.含风口、灯孔等
7.作法详见-1F-TH-03节点07、08
8.其它说明：满足规范和设计图纸要求</t>
  </si>
  <si>
    <t>按图纸对描述进行了完善，工程量未修改。</t>
  </si>
  <si>
    <t>1.深橙色肌理漆天棚
2.部位：休息区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12.作法详见-1F-TH-04节点10
13.其它说明：满足规范和设计图纸要求</t>
  </si>
  <si>
    <t>1.深橙色肌理漆天棚
2.部位：走廊
3.膨胀螺栓,10钢筋吊杆,双向吊点,900~1200
4.轻钢主龙骨(金属吊件连接)
5.轻钢次龙骨、收边轻钢龙骨(专用连接挂件)转换层可以取消，采用反支撑
6.双层9.5mm厚石膏板基层
7.钉眼防锈处理,石膏板接缝处理,阴、阳角护角收边
8.刮专用腻子找平二遍、打磨
9.刷抗碱度漆一道
10.刷肌理漆一道
11.喷肌理漆一道
12.含风口、灯孔等
13.其它说明：满足规范和设计图纸要求</t>
  </si>
  <si>
    <t>1.红色夯土肌理漆天棚
2.部位：走廊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12.含风口、灯孔等
13.作法详见-1F-TH-03节点06
14.其它说明：满足规范和设计图纸要求</t>
  </si>
  <si>
    <t>1.米白色肌理漆天棚（各种颜色）
2.部位：走廊、麻将室、乒乓球室、台球室、3D影音室、VIP室、签约财务室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8.刮专用腻子找平二遍、打磨
9.刷抗碱度漆一道
10.刷肌理漆一道
11.喷肌理漆一道
12.含风口、灯孔等
13.作法详见-1F-TH-04节点05、11
14.其它说明：满足规范和设计图纸要求</t>
  </si>
  <si>
    <t>楼梯踏步天棚</t>
  </si>
  <si>
    <t>1.MT02 金属天棚+ST01 石材
2.部位：楼梯踏步底面天棚
3.作法详见-1F-DF-02节点07
4.其它说明：满足规范和设计图纸要求</t>
  </si>
  <si>
    <t>1.白色哑光漆铝板检修口
2.40*40*2镀锌角钢骨架
3.白色哑光漆铝板
4.做法详见-1F-TH-04节点14、15
5.其它说明：满足规范和设计图纸要求</t>
  </si>
  <si>
    <t>-1层墙面</t>
  </si>
  <si>
    <t>健身区</t>
  </si>
  <si>
    <t>木门窗套</t>
  </si>
  <si>
    <t>1.WD-01木饰面
2.具体做法详见-1F-DT-06节点17
3.其它说明：满足规范和设计图纸要求</t>
  </si>
  <si>
    <t>玻璃隔断</t>
  </si>
  <si>
    <t>1.GL01 玻璃隔断
2.详见-1F-DT-10节点27
3.其它说明：满足规范和设计图纸要求</t>
  </si>
  <si>
    <t>隔墙</t>
  </si>
  <si>
    <t>1.40*40*2镀锌方通骨架
2.12厚阻燃板基层
3.WD-01木饰面+AL-01哑光铝材面层
4.作法详见-1F-DT-06节点17
5.其它说明：满足规范和设计图纸要求</t>
  </si>
  <si>
    <t>杜邦纸木饰面隔墙</t>
  </si>
  <si>
    <t>1.40*40*2镀锌方通骨架
2.12厚阻燃板基层
3.WC杜邦纸+木饰面+木装饰条
4.作法详见-1F-DT-08节点20
5.其它说明：满足规范和设计图纸要求</t>
  </si>
  <si>
    <t>木质装饰线</t>
  </si>
  <si>
    <t>1.30*30木质装饰条
2.详见-1F-DT-04节点10 
3.其它说明：满足规范和设计图纸要求</t>
  </si>
  <si>
    <t>1.30*15木质装饰条
2.详见-1F-DT-05节点10
3.其它说明：满足规范和设计图纸要求</t>
  </si>
  <si>
    <t>休息区</t>
  </si>
  <si>
    <t>儿童区18/-1F-DT-07</t>
  </si>
  <si>
    <t>科技区造型隔墙</t>
  </si>
  <si>
    <t>1.75系列轻钢龙骨，壁厚1.2mm骨架
2.12厚阻燃板基层+9厚石膏板基层，含专用腻子等
3.UP02软包+PT05 深橙色肌理漆+WD-01木饰面
4.作法详见-1F-DT-07节点18
5.其它说明：满足规范和设计图纸要求</t>
  </si>
  <si>
    <t>泡泡池19/-1F-DT-06</t>
  </si>
  <si>
    <t>休息区16/-1F-DT-06</t>
  </si>
  <si>
    <t>抹灰面油漆</t>
  </si>
  <si>
    <t>1.米白色肌理漆（各种颜色），含专用腻子、打磨等
2.阴阳角护角收边
3.3-5mm厚薄抹灰砂浆层
4.界面剂，接缝处网格布处理
5.其它说明：满足规范和设计图纸要求</t>
  </si>
  <si>
    <t>金属踢脚线</t>
  </si>
  <si>
    <t>1.12mm厚阻燃板基层
2.MT01金属（踢脚线）
3.其它说明：满足规范和设计图纸要求</t>
  </si>
  <si>
    <t>1.9mm石膏板基层
2.12mm厚阻燃板基层，含专用腻子等
3.PT05 深橙色肌理漆
4.其它说明：满足规范和设计图纸要求</t>
  </si>
  <si>
    <t>走廊</t>
  </si>
  <si>
    <t>木饰面隔墙</t>
  </si>
  <si>
    <t>1.40*40*2镀锌方通骨架
2.12厚阻燃板基层
3.WD-01木饰面
4.作法详见-1F-DT-05节点13
5.其它说明：满足规范和设计图纸要求</t>
  </si>
  <si>
    <t>1.40*40*2镀锌方通骨架
2.12厚阻燃板基层
3.WD-01木饰面
4.作法详见-1F-DT-05节点14
5.其它说明：满足规范和设计图纸要求</t>
  </si>
  <si>
    <t>1.40*40*2镀锌方通骨架
2.12厚阻燃板基层
3.WD-01木饰面
4.作法详见-1F-DT-01节点02b
5.其它说明：满足规范和设计图纸要求</t>
  </si>
  <si>
    <t>1.米白色肌理漆（各种颜色），含专用腻子等
2.阴阳角护角收边
3.3-5mm厚薄抹灰砂浆层
4.界面剂，接缝处网格布处理
5.其它说明：满足规范和设计图纸要求</t>
  </si>
  <si>
    <t>1.12mm厚阻燃板基层
2.MT01金属（踢脚线）30高
3.其它说明：满足规范和设计图纸要求</t>
  </si>
  <si>
    <t>1.成品电动卷帘
2.电动装置
3.其它说明：满足规范和设计图纸要求</t>
  </si>
  <si>
    <t>木质门</t>
  </si>
  <si>
    <t>1.M-03
2.具体做法详-1F-MB-03
3.其它说明：满足规范和设计图纸要求</t>
  </si>
  <si>
    <t>总台区</t>
  </si>
  <si>
    <t>南立面04/-1F-1E-02</t>
  </si>
  <si>
    <t>东立面03/-1F-1E-02</t>
  </si>
  <si>
    <t>1.1:3水泥砂浆找平层
2.12mm厚阻燃板基层
3.WD-01木饰面
4.其它说明：满足规范和设计图纸要求</t>
  </si>
  <si>
    <t>1.30*30木质装饰条
2.详见-1F-DT-04节点10
3.其它说明：满足规范和设计图纸要求</t>
  </si>
  <si>
    <t>1.30*35木质装饰条
2.详见-1F-DT-05节点10
3.其它说明：满足规范和设计图纸要求</t>
  </si>
  <si>
    <t>1.发光字
2.详见-1F-DT-05节点10 
3.其它说明：满足规范和设计图纸要求</t>
  </si>
  <si>
    <t>1.40*40*2镀锌方通骨架
2.12厚阻燃板+12厚埃特板
3.WD-01木饰面+白色乳胶漆
4.作法详见-1F-DT-05节点12
5.其它说明：满足规范和设计图纸要求</t>
  </si>
  <si>
    <t>立邦</t>
  </si>
  <si>
    <t>正立面01/-1F-1E-01</t>
  </si>
  <si>
    <t>1.1:3水泥砂浆找平层
2.9mm厚阻燃夹板基层
3.SP-03毛石饰面板
4.其它说明：满足规范和设计图纸要求</t>
  </si>
  <si>
    <t>1.40*40*2镀锌方通骨架
2.12厚阻燃板基层
3.作法详见-1F-DT-02节点03
4.其它说明：满足规范和设计图纸要求</t>
  </si>
  <si>
    <t>LED显示屏</t>
  </si>
  <si>
    <t>1.LED显示屏
2.参数：P2.5级别
3.其它说明：满足规范和设计图纸要求</t>
  </si>
  <si>
    <t>1.LED显示屏（甲供）
2.参数：P2.5级别 
3.品牌：亮彩
4.其它说明：满足规范和设计图纸要求</t>
  </si>
  <si>
    <t>此项主材为甲供，主材费0，记取其他费用</t>
  </si>
  <si>
    <t>1.40*40*2镀锌方通骨架
2.12厚阻燃板基层
3.WD-01木饰面
4.作法详见-1F-DT-02节点03 
5.其它说明：满足规范和设计图纸要求</t>
  </si>
  <si>
    <t>1.40*40*2镀锌方通骨架
2.12厚阻燃板基层
3.MT01金属饰面
4.作法详见-1F-DT-02节点03 
5.其它说明：满足规范和设计图纸要求</t>
  </si>
  <si>
    <t>沙盘</t>
  </si>
  <si>
    <t>1.LED显示屏
2.LED显示屏金属边
3.其它说明：满足规范和设计图纸要求</t>
  </si>
  <si>
    <t>此项取消招标人另行更换电视机</t>
  </si>
  <si>
    <t>沙盘区造型隔墙</t>
  </si>
  <si>
    <t>1.75系列轻钢龙骨，壁厚1.2mm骨架
2.12厚阻燃板基层+9厚石膏板基层，含专用腻子等
3.PT01 米白色肌理漆
4.作法详见-1F-DT-01节点01、02
5.其它说明：满足规范和设计图纸要求</t>
  </si>
  <si>
    <t>1.75系列轻钢龙骨，壁厚1.2mm骨架
2.12厚阻燃板基层+9厚石膏板，含专用腻子等
3.PT01 米白色肌理漆
4.作法详见-1F-DT-03节点06，-1F-DT-04节点07
5.其它说明：满足规范和设计图纸要求</t>
  </si>
  <si>
    <t>1.LED显示屏
2.参数P2级别
3.其它说明：满足规范和设计图纸要求</t>
  </si>
  <si>
    <t>弧形</t>
  </si>
  <si>
    <t>消火栓隔板</t>
  </si>
  <si>
    <t>1.12厚阻燃板基层
2.9厚石膏板基层，含专用腻子等
3.PT-01米白色肌理漆
4.作法详见-1F-DT-01节点2a
5.其它说明：满足规范和设计图纸要求</t>
  </si>
  <si>
    <t>科技展示区</t>
  </si>
  <si>
    <t>1.40*40*2镀锌方通骨架
2.12厚阻燃板基层+9厚石膏板基层
3.MT01金属包台面+PT01 米白色肌理漆+PT05 深橙色肌理漆+SP-01艺术绿植，含专用腻子等
4.作法详见-1F-DT-04节点08、09
5.其它说明：满足规范和设计图纸要求</t>
  </si>
  <si>
    <t>金属装饰线</t>
  </si>
  <si>
    <t>1.12mm厚阻燃板基层
2.MT01金属30宽
3.其它说明：满足规范和设计图纸要求</t>
  </si>
  <si>
    <t>签约财务室</t>
  </si>
  <si>
    <t>挡板隔墙</t>
  </si>
  <si>
    <t>1.40*40*2镀锌方通骨架
2.12厚阻燃板基层+9厚石膏板基层
3.MT01金属包台面
4.作法详见-1F-DT-08节点21
5.其它说明：满足规范和设计图纸要求</t>
  </si>
  <si>
    <t>柜台顶部</t>
  </si>
  <si>
    <t>1.40*40*2镀锌方通骨架
2.12厚阻燃板/9厚石膏板
3.MT01金属
4.作法详见-1F-DT-09节点22
5.其它说明：满足规范和设计图纸要求</t>
  </si>
  <si>
    <t>柜台</t>
  </si>
  <si>
    <t>1.40*40*2镀锌方通骨架
2.12厚阻燃板/9厚石膏板
3.ST03a石材
4.作法详见-1F-DT-09节点22
5.其它说明：满足规范和设计图纸要求</t>
  </si>
  <si>
    <t>1.尺寸：800*2400
2.门锁及其他五金配件
3.其它说明：满足规范和设计图纸要求</t>
  </si>
  <si>
    <t>1.WD-01木饰面
2.具体做法详见-1F-MB-01
3.其它说明：满足规范和设计图纸要求</t>
  </si>
  <si>
    <t>1.WD-01木饰面
2.具体做法详-1F-MB-01
3.其它说明：满足规范和设计图纸要求</t>
  </si>
  <si>
    <t>VIP室</t>
  </si>
  <si>
    <t>1.双层12厚阻燃板基层
2.WD-01木饰面
3.其它说明：满足规范和设计图纸要求</t>
  </si>
  <si>
    <t>1.双层12厚阻燃板基层
2.UP02硬包
3.其它说明：满足规范和设计图纸要求</t>
  </si>
  <si>
    <t>1.双层12厚阻燃板基层
2.SP-03毛石饰面板
3.其它说明：满足规范和设计图纸要求</t>
  </si>
  <si>
    <t>壁柜</t>
  </si>
  <si>
    <t>1.40*40*2镀锌方通骨架
2. 双层12厚阻燃板基层
3.WD01木饰面
4.作法详见-1F-DT-09节点24
5.其它说明：满足规范和设计图纸要求</t>
  </si>
  <si>
    <t>台面</t>
  </si>
  <si>
    <t>1.40*40*2镀锌方通骨架
2. 双层12厚阻燃板基层
3.MT01金属包台面
4.作法详见-1F-DT-09节点23
5.其它说明：满足规范和设计图纸要求</t>
  </si>
  <si>
    <t>1.M-04
2.具体做法详见门表
3.其它说明：满足规范和设计图纸要求</t>
  </si>
  <si>
    <t>营销休息室/会议室</t>
  </si>
  <si>
    <t>1.喷乳胶漆一道
2.刷乳胶漆一道
3.刷抗碱底漆一道
4.刮白胶腻子找平二遍，打磨
5.阴阳角护角收边
6.3-5mm厚薄抹灰砂浆层
7.界面剂，接缝处网格布处理
8.其它说明：满足规范和设计图纸要求</t>
  </si>
  <si>
    <t>按揭办公室</t>
  </si>
  <si>
    <t>总经理办公室</t>
  </si>
  <si>
    <t>总监办公室</t>
  </si>
  <si>
    <t>储藏室</t>
  </si>
  <si>
    <t>物业储藏室</t>
  </si>
  <si>
    <t>3D影音室</t>
  </si>
  <si>
    <t>1.12mm钢化玻璃，U型玻璃槽钢固定于地面
2.详见-1F-DT-10节点27A
3.其它说明：满足规范和设计图纸要求</t>
  </si>
  <si>
    <t>1.12厚阻燃板基层
2.9厚石膏板基层，含专用腻子等
3.PT-01米白色肌理漆
4.作法详见-1F-DT-01节点02a
5.其它说明：满足规范和设计图纸要求</t>
  </si>
  <si>
    <t>投影</t>
  </si>
  <si>
    <t>1.3D影音投影(LED硬屏系统）
2.包含投影设备
3.其它说明：满足规范和设计图纸要求</t>
  </si>
  <si>
    <t>套</t>
  </si>
  <si>
    <t>台球室</t>
  </si>
  <si>
    <t>木隔断</t>
  </si>
  <si>
    <t>1.M-06
2.具体做法详见-1F-MB-06
3.其它说明：满足规范和设计图纸要求</t>
  </si>
  <si>
    <t>乒乓球室</t>
  </si>
  <si>
    <t>1.M-05
2.具体做法详见-1F-MB-05
3.其它说明：满足规范和设计图纸要求</t>
  </si>
  <si>
    <t>麻将室</t>
  </si>
  <si>
    <t>1.GL01 玻璃隔断
2.详见27/-1F-DT-10
3.其它说明：满足规范和设计图纸要求</t>
  </si>
  <si>
    <t>男更衣室</t>
  </si>
  <si>
    <t>女更衣室</t>
  </si>
  <si>
    <t>1.WD-01木饰面
2.具体做法详见门表
3.其它说明：满足规范和设计图纸要求</t>
  </si>
  <si>
    <t>保洁工作室</t>
  </si>
  <si>
    <t>1.喷乳胶漆一道
2.刷乳胶漆一道
3.刷抗碱底漆一道
4.刮白胶腻子找平二遍，打磨
5.阴阳角护角收边
6.3-5mm厚薄抹灰砂浆层
7.界面剂，接缝处网格布处理
8.其它说明：详见相关设计、要求及规范</t>
  </si>
  <si>
    <t>块料踢脚线</t>
  </si>
  <si>
    <t>1.水泥砂浆找平
2.100高CT02瓷砖踢脚线
3.其它说明：满足规范和设计图纸要求</t>
  </si>
  <si>
    <t>男卫生间</t>
  </si>
  <si>
    <t>块料墙面（卫生间）</t>
  </si>
  <si>
    <t>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t>
  </si>
  <si>
    <t>成品隔断</t>
  </si>
  <si>
    <t>1.抗倍特板隔断
2.其它说明：满足规范和设计图纸要求</t>
  </si>
  <si>
    <t>1.40*40*2镀锌方通骨架
2.12厚埃特板基层
3.ST-02石材墙面
4.其它说明：满足规范和设计图纸要求
5.部位：水景区</t>
  </si>
  <si>
    <t>1.40*40*2镀锌方通骨架
2.12厚埃特板基层
3.ST-06石材墙面
4.其它说明：满足规范和设计图纸要求
5.部位：坐便器背部</t>
  </si>
  <si>
    <t>镜面玻璃</t>
  </si>
  <si>
    <t>1.尺寸：1940*600
2.40*40*2镀锌方通骨架
3.12厚埃特板基层
4.MR01镜子
5.MT01金属包边（50宽）
6.其它说明：满足规范和设计图纸要求</t>
  </si>
  <si>
    <t>墙面涂膜防水</t>
  </si>
  <si>
    <t>1.部位：墙面
2.聚氨酯防水层1.5厚
3.其它说明：满足规范和设计图纸要求</t>
  </si>
  <si>
    <t>现场彩绘墙面</t>
  </si>
  <si>
    <t>1.现场预留水泥砂浆找平层
2.刷白色防水乳胶漆
3.其它说明：满足规范和设计图纸要求</t>
  </si>
  <si>
    <t>1.WD-01木饰面
2.具体做法详-1F-MB-02
3.其它说明：满足规范和设计图纸要求</t>
  </si>
  <si>
    <t>1.WD-01木饰面
2.具体做法详见-1F-MB-02
3.其它说明：满足规范和设计图纸要求</t>
  </si>
  <si>
    <t>1.WD-01木饰面（成品木隔断）
2.具体做法详见27/-1F-DT-10
3.其它说明：满足规范和设计图纸要求</t>
  </si>
  <si>
    <t>女卫生间</t>
  </si>
  <si>
    <t>楼梯间</t>
  </si>
  <si>
    <t>1.1:3水泥砂浆找平层
2.12mm厚阻燃夹板
3.WD-01木饰面
4.其它说明：满足规范和设计图纸要求</t>
  </si>
  <si>
    <t>1.1:3水泥砂浆找平层
2.9mm厚阻燃夹板
3.SP-03毛石饰面板
4.其它说明：满足规范和设计图纸要求</t>
  </si>
  <si>
    <t>-1层家具</t>
  </si>
  <si>
    <t>亚克力展示架</t>
  </si>
  <si>
    <t>亚克力置物架</t>
  </si>
  <si>
    <t>1.亚克力置物架
2.其它说明：满足规范和设计图纸要求</t>
  </si>
  <si>
    <t>沙盘底座</t>
  </si>
  <si>
    <t>1.40*40*2镀锌方通骨架
2.12mm厚阻燃板基层，含专用腻子等
3.PT-04木饰面油红色夯土肌理漆
4.GL-01玻璃
5.MT-01φ10实心金属
6.作法详见-1F-JJ-01
7.其它说明：满足规范和设计图纸要求</t>
  </si>
  <si>
    <t>户模平台-1F-JJ-02节点31</t>
  </si>
  <si>
    <t>展台</t>
  </si>
  <si>
    <t>1.40*40*2镀锌方通骨架
2.12mm厚阻燃板基层，含专用腻子等
3.MT02-金属面+木饰面油红色夯土肌理漆+木饰面白色油漆
4.GL-01玻璃
5.作法详见-1F-JJ-02节点31
6.其它说明：满足规范和设计图纸要求</t>
  </si>
  <si>
    <t>展示台1 -1F-JJ-02节点32</t>
  </si>
  <si>
    <t>1.40*40*2镀锌方通骨架
2.12mm厚阻燃板基层
3.MT02-金属面+木饰面白色油漆
4.GL-01玻璃
5.作法详见-1F-JJ-02节点32
6.其它说明：满足规范和设计图纸要求</t>
  </si>
  <si>
    <t>展示台2 -1F-JJ-04节点33</t>
  </si>
  <si>
    <t>1.40*40*2镀锌方通骨架
2.12mm厚阻燃板基层
3.MT02-金属面+木饰面白色油漆
4.SP02亚克力+GL01玻璃
5.做法详见-1F-JJ-04节点33
6.其它说明：满足规范和设计图纸要求</t>
  </si>
  <si>
    <t>展示台3 34/-1F-JJ-04</t>
  </si>
  <si>
    <t>1.40*40*2镀锌方通骨架
2.12mm厚阻燃板基层
3.MT02-金属面+木饰面白色油漆
4.SP02亚克力+GL01玻璃
5.作法详见-1F-JJ-04节点34
6.其它说明：满足规范和设计图纸要求</t>
  </si>
  <si>
    <t>1.40*40*2镀锌方通骨架
2.12mm厚阻燃板基层，含专用腻子等
3.MT02-金属面+WD-01木饰面+肌理漆+WD-01实木
4.SP02亚克力+GL01玻璃
5.作法详见-1F-JJ-05、-1F-JJ-06
6.其它说明：满足规范和设计图纸要求</t>
  </si>
  <si>
    <t>1.白色乳胶漆天棚（各种颜色）
2.部位：储藏室、总监办公室、经理办公室、按揭办公室、休息室、会议室、男、女更衣室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8.刮白胶腻子找平二遍、打磨
9.刷抗碱度漆一道
10.刷乳胶漆一道
11.喷乳胶漆一道
12.含风口、灯孔等
13.作法详见-1F-TH-04节点05、11
14.其它说明：满足规范和设计图纸要求</t>
  </si>
  <si>
    <t>新加项</t>
  </si>
  <si>
    <t>1.米白色防水乳胶漆吊顶（各种颜色）
2.部位：保洁室
3.膨胀螺栓,10钢筋吊杆,双向吊点,900~1200
4.轻钢主龙骨(金属吊件连接)
5.轻钢次龙骨、收边轻钢龙骨(专用连接挂件)
6.9.5mm厚防水石膏板基层+12mm阻燃板基层
7.钉眼防锈处理,石膏板接缝处理,阴、阳角护角收边
8.刮白胶腻子找平二遍、打磨
9.刷抗碱度漆一道
10.刷乳胶漆一道
11.喷乳胶漆一道
12.含风口、灯孔等
13.作法详见-1F-TH-04节点12
14.其它说明：满足规范和设计图纸要求</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</si>
  <si>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</si>
  <si>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</si>
  <si>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</si>
  <si>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工程名称：河南省洛阳市浩德地产伊河湾营销中心装饰工程--安装工程</t>
  </si>
  <si>
    <t>强电</t>
  </si>
  <si>
    <t>配电箱</t>
  </si>
  <si>
    <t>1.名称:售楼部照明配电箱
2.型号、规格:ZAL1-10#
3.安装方式:暗装,H+1.6m
4.含无端子接线</t>
  </si>
  <si>
    <t>台</t>
  </si>
  <si>
    <t>1.名称:售楼部总配电箱
2.型号、规格:ZAP-10#
3.安装方式:明装,H+1.1m
4.其它说明：满足规范和设计图纸要求</t>
  </si>
  <si>
    <t>桥架</t>
  </si>
  <si>
    <t>1.名称:强电线槽
2.规格:100x50
3.安装位置:室内
4.其它说明：满足规范和设计图纸要求</t>
  </si>
  <si>
    <t>1.名称:强电线槽
2.规格:150x100
3.安装位置:室内
4.其它说明：满足规范和设计图纸要求</t>
  </si>
  <si>
    <t>1.名称:强电线槽
2.规格:250x100
3.安装位置:室内
4.其它说明：满足规范和设计图纸要求</t>
  </si>
  <si>
    <t>1.名称:强电线槽
2.规格:300x150
3.安装位置:室内
4.其它说明：满足规范和设计图纸要求</t>
  </si>
  <si>
    <t>铁构件</t>
  </si>
  <si>
    <t>1.名称:桥架支架
2.材质、规格及除锈刷漆要求:详见图纸设计
3.安装部位:室内
4.其它说明：满足规范和设计图纸要求</t>
  </si>
  <si>
    <t>kg</t>
  </si>
  <si>
    <t>配管</t>
  </si>
  <si>
    <t>1.名称:电气配管
2.规格:JDG20
3.配置形式:吊顶内明敷
4.其它说明：满足规范和设计图纸要求</t>
  </si>
  <si>
    <t>郑州三厂</t>
  </si>
  <si>
    <t>1.名称:电气配管
2.规格:JDG20
3.配置形式:暗敷
4.其它说明：满足规范和设计图纸要求</t>
  </si>
  <si>
    <t>1.名称:电气配管
2.规格:JDG25
3.配置形式:吊顶内明敷
4.其它说明：满足规范和设计图纸要求</t>
  </si>
  <si>
    <t>1.名称:电气配管
2.规格:JDG25
3.配置形式:暗敷
4.其它说明：满足规范和设计图纸要求</t>
  </si>
  <si>
    <t>电力电缆</t>
  </si>
  <si>
    <t>1.名称:电力电缆
2.规格:WDZR-YJY-4X35+1X16
3.敷设方式、部位:综合考虑
4.其它说明：满足规范和设计图纸要求</t>
  </si>
  <si>
    <t>电力电缆头</t>
  </si>
  <si>
    <t>1.名称:电力电缆终端头
2.规格:五芯35mm2
3.材质、类型:铜芯
4.安装部位:室内
5.其它说明：满足规范和设计图纸要求</t>
  </si>
  <si>
    <t>配线</t>
  </si>
  <si>
    <t>1.名称:铜芯导线
2.规格、型号:WDZ-BYJ-1.0
3.敷设方式:穿管敷设
4.其它说明：满足规范和设计图纸要求</t>
  </si>
  <si>
    <t>1.名称:铜芯导线
2.规格、型号:WDZ-BYJ-2.5
3.敷设方式:穿管敷设
4.其它说明：满足规范和设计图纸要求</t>
  </si>
  <si>
    <t>1.名称:铜芯导线
2.规格、型号:WDZ-BYJ-2.5
3.敷设方式:桥架内敷设
4.其它说明：满足规范和设计图纸要求</t>
  </si>
  <si>
    <t>1.名称:铜芯导线
2.规格、型号:WDZ-BYJ-4
3.敷设方式:穿管敷设
4.其它说明：满足规范和设计图纸要求</t>
  </si>
  <si>
    <t>1.名称:铜芯导线
2.规格、型号:WDZ-BYJ-4
3.敷设方式:桥架内敷设
4.其它说明：满足规范和设计图纸要求</t>
  </si>
  <si>
    <t>装饰灯</t>
  </si>
  <si>
    <t>1.名称:石英圆形射灯
2.规格:详见图纸
3.安装方式:吸顶
4.其它说明：满足规范和设计图纸要求</t>
  </si>
  <si>
    <t>雷士或星发现</t>
  </si>
  <si>
    <t>1.名称:筒灯
2.规格:详见图纸
3.安装方式:嵌入式
4.其它说明：满足规范和设计图纸要求</t>
  </si>
  <si>
    <t>1.名称:艺术壁灯
2.规格:详见图纸
3.安装方式:壁装
4.其它说明：满足规范和设计图纸要求</t>
  </si>
  <si>
    <t>属于软装不报价格</t>
  </si>
  <si>
    <t>1.名称:LED灯带
2.规格:详见图纸
3.安装方式:天棚内
4.其它说明：满足规范和设计图纸要求</t>
  </si>
  <si>
    <t>1.名称:艺术吊灯1
2.规格:详见图纸
3.安装方式:吊装
4.其它说明：满足规范和设计图纸要求</t>
  </si>
  <si>
    <t>1.名称:艺术吊灯2
2.规格:详见图纸
3.安装方式:吊装
4.其它说明：满足规范和设计图纸要求</t>
  </si>
  <si>
    <t>照明开关</t>
  </si>
  <si>
    <t>1.名称:一位面板开关
2.规格:250V/10A
3.安装方式:暗装</t>
  </si>
  <si>
    <t>罗格朗</t>
  </si>
  <si>
    <t>1.名称:二位面板开关
2.规格:250V/10A
3.安装方式:暗装</t>
  </si>
  <si>
    <t>1.名称:三位面板开关
2.规格:250V/10A
3.安装方式:暗装</t>
  </si>
  <si>
    <t>1.名称:四位面板开关
2.规格:250V/10A
3.安装方式:暗装</t>
  </si>
  <si>
    <t>控制开关</t>
  </si>
  <si>
    <t>1.名称:温控开关
2.规格:250V/10A
3.安装方式:暗装</t>
  </si>
  <si>
    <t>插座</t>
  </si>
  <si>
    <t>1.名称：单相二、三极插座
2.规格：250V 10A
3.安装方式：暗装</t>
  </si>
  <si>
    <t>1.名称：单相二、三极地面插座
2.规格：250V 10A
3.安装方式：地面暗装</t>
  </si>
  <si>
    <t>1.名称：含开关防溅插座
2.规格：250V 10A
3.安装方式：暗装</t>
  </si>
  <si>
    <t>接线盒</t>
  </si>
  <si>
    <t>1.名称:开关（插座）盒
2.材质:详见图纸
3.安装形式:暗装</t>
  </si>
  <si>
    <t>1.名称:接线盒
2.材质:详见图纸
3.安装形式:暗装</t>
  </si>
  <si>
    <t>送配电装置系统</t>
  </si>
  <si>
    <t>1.名称:送配电装置系统调试</t>
  </si>
  <si>
    <t>系统</t>
  </si>
  <si>
    <t>弱电</t>
  </si>
  <si>
    <t>1.名称:弱电线槽
2.规格:(100+100)x100
3.安装位置:室内
4.其它说明：满足规范和设计图纸要求</t>
  </si>
  <si>
    <t>1.名称:弱电线槽
2.规格:(75+75)x100
3.安装位置:室内
4.其它说明：满足规范和设计图纸要求</t>
  </si>
  <si>
    <t>1.名称:多芯软导线
2.规格、型号:HYV-4x0.5
3.敷设方式:穿管敷设
4.其它说明：满足规范和设计图纸要求</t>
  </si>
  <si>
    <t>1.名称:多芯软导线
2.规格、型号:HYV-4x0.5
3.敷设方式:桥架内敷设
4.其它说明：满足规范和设计图纸要求</t>
  </si>
  <si>
    <t>1.名称:多芯软导线
2.规格、型号:RVV-2x0.75
3.敷设方式:穿管敷设
4.其它说明：满足规范和设计图纸要求</t>
  </si>
  <si>
    <t>1.名称:多芯软导线
2.规格、型号:RVV-2x1.5
3.敷设方式:穿管敷设
4.其它说明：满足规范和设计图纸要求</t>
  </si>
  <si>
    <t>1.名称:多芯软导线
2.规格、型号:RVV-3x1.5
3.敷设方式:桥架内敷设
4.其它说明：满足规范和设计图纸要求</t>
  </si>
  <si>
    <t>1.名称:多芯软导线
2.规格、型号:RVV-4x0.75
3.敷设方式:穿管敷设
4.其它说明：满足规范和设计图纸要求</t>
  </si>
  <si>
    <t>1.名称:多芯软导线
2.规格、型号:RVV-6x0.5
3.敷设方式:穿管敷设
4.其它说明：满足规范和设计图纸要求</t>
  </si>
  <si>
    <t>双绞线缆</t>
  </si>
  <si>
    <t>1.名称:双绞线缆
2.规格:UTP-CAT6
3.敷设方式:穿管敷设
4.其它说明：满足规范和设计图纸要求</t>
  </si>
  <si>
    <t>1.名称:双绞线缆
2.规格:UTP-CAT6
3.敷设方式:桥架内敷设
4.其它说明：满足规范和设计图纸要求</t>
  </si>
  <si>
    <t>机柜、机架</t>
  </si>
  <si>
    <t>1.名称:弱电机柜
2.规格:详见图纸
3.其它说明：满足规范和设计图纸要求</t>
  </si>
  <si>
    <t>背景音乐系统设备</t>
  </si>
  <si>
    <t>1.名称:背景音乐主机
2.规格:详见图纸
3.其它说明：满足规范和设计图纸要求</t>
  </si>
  <si>
    <t>扩声系统设备</t>
  </si>
  <si>
    <t>1.名称:背景音乐
2.规格:详见图纸
3.安装方式:天花安装
4.其它说明：满足规范和设计图纸要求</t>
  </si>
  <si>
    <t>1.名称:音量控制器
2.安装方式:暗装
3.其它说明：满足规范和设计图纸要求</t>
  </si>
  <si>
    <t>电视、电话插座</t>
  </si>
  <si>
    <t>1.名称:一位电视插座
2.安装方式:暗装
3.其它说明：满足规范和设计图纸要求</t>
  </si>
  <si>
    <t>1.名称:一位网络+电话插座
2.安装方式:暗装
3.其它说明：满足规范和设计图纸要求</t>
  </si>
  <si>
    <t>信息插座</t>
  </si>
  <si>
    <t>1.名称:一位网络插座
2.安装方式:暗装
3.其它说明：满足规范和设计图纸要求</t>
  </si>
  <si>
    <t>监控摄像设备</t>
  </si>
  <si>
    <t>1.名称:半球摄像机
2.安装方式:天花安装
3.其它说明：满足规范和设计图纸要求</t>
  </si>
  <si>
    <t>路由器</t>
  </si>
  <si>
    <t>1.名称:无线AP
2.安装方式:天花安装
3.其它说明：满足规范和设计图纸要求</t>
  </si>
  <si>
    <t>出入口目标识别设备</t>
  </si>
  <si>
    <t>1.名称:门禁读卡器
2.规格:详见图纸</t>
  </si>
  <si>
    <t>1.名称:开门按钮
2.规格:详见图纸</t>
  </si>
  <si>
    <t>出入口控制设备</t>
  </si>
  <si>
    <t>1.名称:门禁控制器
2.规格:详见图纸</t>
  </si>
  <si>
    <t>出入口执行机构设备</t>
  </si>
  <si>
    <t>1.名称:门禁锁
2.规格:详见图纸</t>
  </si>
  <si>
    <t>给排水</t>
  </si>
  <si>
    <t>洗脸盆</t>
  </si>
  <si>
    <t>1.名称:台式洗脸盆
2.组装形式:成套
3.附件名称、数量:含五金配件
4.安装后需满足使用要求
5.其它说明：满足规范和设计图纸要求</t>
  </si>
  <si>
    <t>组</t>
  </si>
  <si>
    <t>TOTO</t>
  </si>
  <si>
    <t>大便器</t>
  </si>
  <si>
    <t>1.名称:坐式大便器
2.组装形式:成套
3.附件名称、数量:含五金配件
4.安装后需满足使用要求
5.其它说明：满足规范和设计图纸要求</t>
  </si>
  <si>
    <t>小便器</t>
  </si>
  <si>
    <t>1.名称:小便器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</si>
  <si>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</si>
  <si>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</si>
  <si>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给、排水附(配)件</t>
  </si>
  <si>
    <t>1.名称:地漏
2.型号、规格:De63</t>
  </si>
  <si>
    <t>1.名称:地面清扫口
2.型号、规格:De90</t>
  </si>
  <si>
    <t>塑料管</t>
  </si>
  <si>
    <t>1.安装部位:室内
2.介质:污水
3.材质、规格:UPVC排水管De63
4.连接形式:粘接连接</t>
  </si>
  <si>
    <t>1.安装部位:室内
2.介质:污水
3.材质、规格:UPVC排水管De90
4.连接形式:粘接连接</t>
  </si>
  <si>
    <t>1.安装部位:室内
2.介质:污水
3.材质、规格:UPVC排水管De110
4.连接形式:粘接连接</t>
  </si>
  <si>
    <t>1.安装部位:室内
2.介质:给水
3.材质、规格:PP-R管De20
4.连接形式:热熔连接
5.压力试验及吹、洗设计要求:满足设计要求</t>
  </si>
  <si>
    <t>1.安装部位:室内
2.介质:给水
3.材质、规格:PP-R管De25
4.连接形式:热熔连接
5.压力试验及吹、洗设计要求:满足设计要求</t>
  </si>
  <si>
    <t>1.安装部位:室内
2.介质:给水
3.材质、规格:PP-R管De32
4.连接形式:热熔连接
5.压力试验及吹、洗设计要求:满足设计要求</t>
  </si>
  <si>
    <t>1.安装部位:室内
2.介质:给水
3.材质、规格:PP-R管De50
4.连接形式:热熔连接
5.压力试验及吹、洗设计要求:满足设计要求</t>
  </si>
  <si>
    <t>螺纹阀门</t>
  </si>
  <si>
    <t>1.名称:铜球阀
2.规格、压力等级:DN25
3.连接形式:螺纹连接</t>
  </si>
  <si>
    <t>1.名称:铜球阀
2.规格、压力等级:DN40
3.连接形式:螺纹连接</t>
  </si>
  <si>
    <t>通风空调</t>
  </si>
  <si>
    <t>小电器</t>
  </si>
  <si>
    <t>1.名称：BLD-1200
2.规格型号：Q=1200m3/h，P=115Pa， N=70W
3.备注：PQ-1，带止回装置
4.其它说明：满足规范和设计图纸要求</t>
  </si>
  <si>
    <t>防火玻璃挡烟垂壁</t>
  </si>
  <si>
    <t>1.名称:防火玻璃挡烟垂壁
2.安装方式:底距地3.0m
3.其它说明：满足规范和设计图纸要求</t>
  </si>
  <si>
    <t>空调器</t>
  </si>
  <si>
    <t>1.名称:室内机标准型薄型风管机 KF系列
2.型号、规格:HVR-71KF/G2FZBp 制冷量:7.1KW,制热量:8KW 输入功率:0.12KW
3.外形尺寸：1180x447x192
3.其它说明：满足规范和设计图纸要求</t>
  </si>
  <si>
    <t>海信</t>
  </si>
  <si>
    <t>1.名称:室内机标准型薄型风管机 KF系列
2.型号、规格:HVR-63KF/G2FZBp 制冷量:6.3KW,制热量:7.1KW 输入功率:0.12KW
3.外形尺寸：1180x447x192
4.其它说明：满足规范和设计图纸要求</t>
  </si>
  <si>
    <t>1.名称:室内机标准型薄型风管机 KF系列
2.型号、规格:HVR-50KF/G2FZBp 制冷量:5KW,制热量:5.6KW 输入功率:0.08KW
3.外形尺寸：910x447x192
4.其它说明：满足规范和设计图纸要求</t>
  </si>
  <si>
    <t>1.名称:室内机标准型薄型风管机 KF系列
2.型号、规格:HVR-45KF/G2FZBp 制冷量:4.5KW,制热量:5KW 输入功率:0.08KW
3.外形尺寸：910x447x192
4.其它说明：满足规范和设计图纸要求</t>
  </si>
  <si>
    <t>1.名称:室内机标准型薄型风管机 KF系列
2.型号、规格:HVR-40KF/G2FZBp 制冷量:4KW,制热量:4.5KW 输入功率:0.08KW
3.外形尺寸：910x447x192
4.其它说明：满足规范和设计图纸要求</t>
  </si>
  <si>
    <t>1.名称:室内机标准型薄型风管机 KF系列
2.型号、规格:HVR-32KF/G2FZBp 制冷量:3.2KW,制热量:3.6KW 输入功率:0.07KW
3.外形尺寸：700x447x192
4.其它说明：满足规范和设计图纸要求</t>
  </si>
  <si>
    <t>1.名称:室内机标准型薄型风管机 KF系列
2.型号、规格:HVR-28KF/G2FZBp 制冷量:2.8KW,制热量:3.2KW 输入功率:0.07KW
3.外形尺寸：700x447x192
4.其它说明：满足规范和设计图纸要求</t>
  </si>
  <si>
    <t>1.名称:室内机标准型薄型风管机 KF系列
2.型号、规格:HVR-25KF/G2FZBp 制冷量:2.5KW,制热量:2.8KW 输入功率:0.05KW
3.外形尺寸：700x447x192
4.其它说明：满足规范和设计图纸要求</t>
  </si>
  <si>
    <t>1.名称:室内机标准型薄型风管机 KF系列
2.型号、规格:HVR-22KF/G2FZBp 制冷量:2.2KW,制热量:2.5KW 输入功率:0.05KW
3.外形尺寸：700x447x192
4.其它说明：满足规范和设计图纸要求</t>
  </si>
  <si>
    <t>1.名称:室内机低静压风管机 F系列
2.型号、规格:HVR-36F/G2FZBp 制冷量:3.6KW,制热量:4KW 输入功率:0.11KW
3.外形尺寸：720x650x270
4.其它说明：满足规范和设计图纸要求</t>
  </si>
  <si>
    <t>1.名称:室内机低静压风管机 F系列
2.型号、规格:HVR-160F/G2FZBp 制冷量:2.216KW,制热量:18KW 输入功率:0.36KW
3.外形尺寸：800x1400x300
4.其它说明：满足规范和设计图纸要求</t>
  </si>
  <si>
    <t>复合型风管</t>
  </si>
  <si>
    <t>1.名称:空调管道
2.材质:GK-Ⅱ节能不燃型玻镁复合风管（含保温层）
3.形状:矩形
4.规格:长边长≤2000mm
5.板材厚度:δ=0.5mm
6.其它说明：满足规范和设计图纸要求</t>
  </si>
  <si>
    <t>1.名称:空调管道
2.材质:GK-Ⅱ节能不燃型玻镁复合风管（含保温层）
3.形状:矩形
4.规格:长边长≤1000mm
5.板材厚度:δ=0.5mm
6.其它说明：满足规范和设计图纸要求</t>
  </si>
  <si>
    <t>1.名称:空调管道
2.材质:GK-Ⅱ节能不燃型玻镁复合风管（含保温层）
3.形状:矩形
4.规格:长边长≤600mm
5.板材厚度:δ=0.5mm
6.其它说明：满足规范和设计图纸要求</t>
  </si>
  <si>
    <t>弯头导流叶片</t>
  </si>
  <si>
    <t>1.名称:风管软接头
2.其它说明：满足规范和设计图纸要求</t>
  </si>
  <si>
    <t>铜管</t>
  </si>
  <si>
    <t>1.安装部位:室内
2.介质:空调水
3.材质、规格:铜管φ41.3
4.连接形式:氧乙炔焊
5.含氮气置换
6.其它说明：满足规范和设计图纸要求</t>
  </si>
  <si>
    <t>金龙/华美</t>
  </si>
  <si>
    <t>1.安装部位:室内
2.介质:空调水
3.材质、规格:铜管φ38.1
4.连接形式:氧乙炔焊
5.含氮气置换
6.其它说明：满足规范和设计图纸要求</t>
  </si>
  <si>
    <t>1.安装部位:室内
2.介质:空调水
3.材质、规格:铜管φ31.75
4.连接形式:氧乙炔焊
5.含氮气置换
6.其它说明：满足规范和设计图纸要求</t>
  </si>
  <si>
    <t>1.安装部位:室内
2.介质:空调水
3.材质、规格:铜管φ28.6
4.连接形式:氧乙炔焊
5.含氮气置换
6.其它说明：满足规范和设计图纸要求</t>
  </si>
  <si>
    <t>1.安装部位:室内
2.介质:空调水
3.材质、规格:铜管φ25.4
4.连接形式:氧乙炔焊
5.含氮气置换
6.其它说明：满足规范和设计图纸要求</t>
  </si>
  <si>
    <t>1.安装部位:室内
2.介质:空调水
3.材质、规格:铜管φ22.2
4.连接形式:氧乙炔焊
5.含氮气置换
6.其它说明：满足规范和设计图纸要求</t>
  </si>
  <si>
    <t>1.安装部位:室内
2.介质:空调水
3.材质、规格:铜管φ19.05
4.连接形式:氧乙炔焊
5.含氮气置换
6.其它说明：满足规范和设计图纸要求</t>
  </si>
  <si>
    <t>1.安装部位:室内
2.介质:空调水
3.材质、规格:铜管φ15.88
4.连接形式:氧乙炔焊
5.含氮气置换
6.其它说明：满足规范和设计图纸要求</t>
  </si>
  <si>
    <t>1.安装部位:室内
2.介质:空调水
3.材质、规格:铜管φ12.7
4.连接形式:氧乙炔焊
5.含氮气置换
6.其它说明：满足规范和设计图纸要求</t>
  </si>
  <si>
    <t>1.安装部位:室内
2.介质:空调水
3.材质、规格:铜管φ9.53
4.连接形式:氧乙炔焊
5.含氮气置换
6.其它说明：满足规范和设计图纸要求</t>
  </si>
  <si>
    <t>1.安装部位:室内
2.介质:空调冷凝水
3.材质、规格:硬聚氯乙稀管PVC-U De63
4.连接形式:粘接连接
5.含成品管卡
6.其它说明：满足规范和设计图纸要求</t>
  </si>
  <si>
    <t>1.安装部位:室内
2.介质:空调冷凝水
3.材质、规格:硬聚氯乙稀管PVC-U De32
4.连接形式:粘接连接
5.含成品管卡
6.其它说明：满足规范和设计图纸要求</t>
  </si>
  <si>
    <t>铜管管件</t>
  </si>
  <si>
    <t>1.名称：分歧管
2.规格：41.3*41.3*28.6
3.介质：冷剂管
4.其它说明：满足规范和设计图纸要求</t>
  </si>
  <si>
    <t>1.名称：分歧管
2.规格：41.3*38.1*31.75
3.介质：冷剂管
4.其它说明：满足规范和设计图纸要求</t>
  </si>
  <si>
    <t>1.名称：分歧管
2.规格：41.3*28.6*15.88
3.介质：冷剂管
4.其它说明：满足规范和设计图纸要求</t>
  </si>
  <si>
    <t>1.名称：分歧管
2.规格：38.1*31.75*15.88
3.介质：冷剂管
4.其它说明：满足规范和设计图纸要求</t>
  </si>
  <si>
    <t>1.名称：分歧管
2.规格：31.75*31.75*15.88
3.介质：冷剂管
4.其它说明：满足规范和设计图纸要求</t>
  </si>
  <si>
    <t>1.名称：分歧管
2.规格：31.75*28.6*15.88
3.介质：冷剂管
4.其它说明：满足规范和设计图纸要求</t>
  </si>
  <si>
    <t>1.名称：分歧管
2.规格：28.6*28.6*15.88
3.介质：冷剂管
4.其它说明：满足规范和设计图纸要求</t>
  </si>
  <si>
    <t>1.名称：分歧管
2.规格：28.6*25.4*15.88
3.介质：冷剂管
4.其它说明：满足规范和设计图纸要求</t>
  </si>
  <si>
    <t>1.名称：分歧管
2.规格：25.4*19.05*15.88
3.介质：冷剂管
4.其它说明：满足规范和设计图纸要求</t>
  </si>
  <si>
    <t>1.名称：分歧管
2.规格：25.4*15.88*15.88
3.介质：冷剂管
4.其它说明：满足规范和设计图纸要求</t>
  </si>
  <si>
    <t>1.名称：分歧管
2.规格：22.2*22.2*19.05
3.介质：冷剂管
4.其它说明：满足规范和设计图纸要求</t>
  </si>
  <si>
    <t>1.名称：分歧管
2.规格：22.2*22.2*15.88
3.介质：冷剂管
4.其它说明：满足规范和设计图纸要求</t>
  </si>
  <si>
    <t>1.名称：分歧管
2.规格：22.2*19.05*9.53
3.介质：冷剂管
4.其它说明：满足规范和设计图纸要求</t>
  </si>
  <si>
    <t>1.名称：分歧管
2.规格：22.2*15.88*9.53
3.介质：冷剂管
4.其它说明：满足规范和设计图纸要求</t>
  </si>
  <si>
    <t>1.名称：分歧管
2.规格：19.05*19.05*9.53
3.介质：冷剂管
4.其它说明：满足规范和设计图纸要求</t>
  </si>
  <si>
    <t>1.名称：分歧管
2.规格：19.05*19.05*15.88
3.介质：冷剂管
4.其它说明：满足规范和设计图纸要求</t>
  </si>
  <si>
    <t>1.名称：分歧管
2.规格：19.05*15.88*9.53
3.介质：冷剂管
4.其它说明：满足规范和设计图纸要求</t>
  </si>
  <si>
    <t>1.名称：分歧管
2.规格：19.05*15.88*15.88
3.介质：冷剂管
4.其它说明：满足规范和设计图纸要求</t>
  </si>
  <si>
    <t>1.名称：分歧管
2.规格：15.88*15.88*9.53
3.介质：冷剂管
4.其它说明：满足规范和设计图纸要求</t>
  </si>
  <si>
    <t>1.名称：分歧管
2.规格：15.88*12.7*9.53
3.介质：冷剂管
4.其它说明：满足规范和设计图纸要求</t>
  </si>
  <si>
    <t>1.名称：分歧管
2.规格：12.7*12.7*9.53
3.介质：冷剂管
4.其它说明：满足规范和设计图纸要求</t>
  </si>
  <si>
    <t>1.名称：分歧管
2.规格：12.7*9.53*9.53
3.介质：冷剂管
4.其它说明：满足规范和设计图纸要求</t>
  </si>
  <si>
    <t>管道绝热</t>
  </si>
  <si>
    <t>1.绝热材料品种：闭孔带铝箔难燃B1级橡塑管壳
2.绝热厚度：10mm
3.其它说明：满足规范和设计图纸要求</t>
  </si>
  <si>
    <t>m3</t>
  </si>
  <si>
    <t>1.绝热材料品种：闭孔柔性泡沫难燃B1级橡塑管壳
2.绝热厚度：32mm
3.其它说明：满足规范和设计图纸要求</t>
  </si>
  <si>
    <t>通风工程检测、调试</t>
  </si>
  <si>
    <t>1.空调工程系统调试</t>
  </si>
  <si>
    <t>1.名称:一层售楼部照明配电箱
2.型号、规格:1AL1
3.安装方式:暗装,H+1.8m
4.含无端子接线</t>
  </si>
  <si>
    <t>1.名称:售楼部空调外机配电箱
2.型号、规格:AP-KT
3.安装方式:明装,支架安装
4.其它说明：满足规范和设计图纸要求</t>
  </si>
  <si>
    <t>1.名称:售楼部电梯电源箱
2.型号、规格:DTAT
3.安装方式:暗装,顶距地2.0m
4.其它说明：满足规范和设计图纸要求</t>
  </si>
  <si>
    <t>1.名称:电气配管
2.规格:焊接钢管 SC40
3.配置形式:明敷
4.其它说明：满足规范和设计图纸要求</t>
  </si>
  <si>
    <t>1.名称:电气配管
2.规格:焊接钢管 SC50
3.配置形式:明敷
4.其它说明：满足规范和设计图纸要求</t>
  </si>
  <si>
    <t>1.名称:电气配管
2.规格:焊接钢管 SC100
3.配置形式:明敷
4.其它说明：满足规范和设计图纸要求</t>
  </si>
  <si>
    <t>1.名称:电力电缆
2.规格:WDZR-YJY-5X10
3.敷设方式、部位:综合考虑
4.其它说明：满足规范和设计图纸要求</t>
  </si>
  <si>
    <t>1.名称:电力电缆
2.规格:WDZR-YJY-5X16
3.敷设方式、部位:综合考虑
4.其它说明：满足规范和设计图纸要求</t>
  </si>
  <si>
    <t>1.名称:电力电缆
2.规格:WDZR-YJY-4X95+1X50
3.敷设方式、部位:综合考虑
4.其它说明：满足规范和设计图纸要求</t>
  </si>
  <si>
    <t>1.名称:电力电缆终端头
2.规格:五芯10mm2
3.材质、类型:铜芯
4.安装部位:室内
5.其它说明：满足规范和设计图纸要求</t>
  </si>
  <si>
    <t>1.名称:电力电缆终端头
2.规格:五芯16mm2
3.材质、类型:铜芯
4.安装部位:室内
5.其它说明：满足规范和设计图纸要求</t>
  </si>
  <si>
    <t>1.名称:电力电缆终端头
2.规格:五芯95mm2
3.材质、类型:铜芯
4.安装部位:室内
5.其它说明：满足规范和设计图纸要求</t>
  </si>
  <si>
    <t>1.名称:双头射灯
2.规格:详见图纸
3.安装方式:吸顶
4.其它说明：满足规范和设计图纸要求</t>
  </si>
  <si>
    <t>1.名称:LED灯带
2.规格:详见图纸
3.安装方式:天棚内 
4.其它说明：满足规范和设计图纸要求</t>
  </si>
  <si>
    <t>1.名称:电动窗帘控制面板
2.规格:250V/10A
3.安装方式:暗装</t>
  </si>
  <si>
    <t>1.名称:空调控制开关
2.规格:250V/10A
3.安装方式:暗装</t>
  </si>
  <si>
    <t>1.名称:空调室外机HVR-1535W/SM2FZBph
2.外形尺寸:3200x750x1730
3.型号、规格:制冷量:153.5KW,制热量:172.5KW， 重量783kg
4.安装形式:落地安装
5.其它说明：满足规范和设计图纸要求</t>
  </si>
  <si>
    <t>1.名称:空调室外机HVR-800W/SM2FZBph
2.外形尺寸:3200x750x1730
3.型号、规格:制冷量:80KW,制热量:90KW， 重量392kg
4.安装形式:落地安装
5.其它说明：满足规范和设计图纸要求</t>
  </si>
  <si>
    <t>1.名称:空调室外机HVR-615W/SM2FZBph
2.外形尺寸:3200x750x1730
3.型号、规格:制冷量:61.5KW,制热量:69KW， 重量363kg
4.安装形式:落地安装
5.其它说明：满足规范和设计图纸要求</t>
  </si>
  <si>
    <t>1.安装部位:室内
2.介质:空调冷凝水
3.材质、规格:硬聚氯乙稀管PVC-U De40
4.连接形式:粘接连接
5.含成品管卡
6.其它说明：满足规范和设计图纸要求</t>
  </si>
  <si>
    <t>1.名称：分歧管
2.规格：15.88*15.88*15.88
3.介质：冷剂管
4.其它说明：满足规范和设计图纸要求</t>
  </si>
  <si>
    <t>1.名称：分歧管
2.规格：9.53*9.53*9.53
3.介质：冷剂管
4.其它说明：满足规范和设计图纸要求</t>
  </si>
  <si>
    <t>增加示范区弱电工程--清单工程程量清单</t>
  </si>
  <si>
    <t>工程名称：河南省洛阳市浩德地产伊河湾营销中心装饰工程--增加示范区弱电工程</t>
  </si>
  <si>
    <t>1.名称:摄像机
2.类别:网络一体化枪式摄像机
3.安装方式:立杆安装,颜色与园林结合
4.其它说明：满足规范和设计图纸要求</t>
  </si>
  <si>
    <t>大华</t>
  </si>
  <si>
    <t>1.名称:摄像机
2.类别:网络一体化球机
3.安装方式:立杆安装,颜色与园林结合
4.其它说明：满足规范和设计图纸要求</t>
  </si>
  <si>
    <t>1.名称:电梯轿厢摄像机
2.类别:详见图纸
3.安装方式:轿厢内安装
4.其它说明：满足规范和设计图纸要求</t>
  </si>
  <si>
    <t>监控立杆</t>
  </si>
  <si>
    <t>1.名称：监控立杆
2.型号、规格：镀锌烤漆 高3.5m
3.基础规格、浇筑材质：详见图纸
4.其它说明：满足规范和设计图纸要求</t>
  </si>
  <si>
    <t>定制</t>
  </si>
  <si>
    <t>1.名称:室外防水设备箱 ZP-RD-01/02
2.规格:600m*450mm*600mm
3.配置:含交换机、光纤收发器、光纤收发盒等
4.安装方式:落地
5.其它说明：满足规范和设计图纸要求</t>
  </si>
  <si>
    <t>机柜：定制
交换机、
收发器：普联</t>
  </si>
  <si>
    <t>1.名称:音箱
2.类别:室外防水
3.规格:15W 广音域
4.安装方式:选用现代样式音箱,与景观协调,并可对安装位置作微调
5.其它说明：满足规范和设计图纸要求</t>
  </si>
  <si>
    <t>菱声</t>
  </si>
  <si>
    <t>人(手）孔砌筑</t>
  </si>
  <si>
    <t>1.名称:弱电手孔井
2.规格:400m*400mm*800mm
3.做法详见图纸
4.其它说明：满足规范和设计图纸要求</t>
  </si>
  <si>
    <t>1.名称:弱电人孔井
2.规格:1000m*900mm*1200mm
3.做法详见图纸
4.其它说明：满足规范和设计图纸要求</t>
  </si>
  <si>
    <t>1.名称:单元门口机
2.规格:详见图纸
3.安装方式:嵌墙安装,安装高度底边距地1.3m
4.其它说明：满足规范和设计图纸要求</t>
  </si>
  <si>
    <t>海康威视</t>
  </si>
  <si>
    <t>1.名称:电气配管
2.材质、规格:PVC20
3.配置形式:埋地
4.其它说明：满足规范和设计图纸要求</t>
  </si>
  <si>
    <t>联塑</t>
  </si>
  <si>
    <t>1.名称:电气配管
2.材质、规格:PCV20
3.配置形式:暗配
4.其它说明：满足规范和设计图纸要求</t>
  </si>
  <si>
    <t>1.名称:电气配管
2.材质、规格:焊接钢管 SC50
3.配置形式:埋地
4.其它说明：满足规范和设计图纸要求</t>
  </si>
  <si>
    <t>1.名称:多芯软导线
2.规格、型号:RVV-2*1.0
3.敷设方式:穿管敷设
4.其它说明：满足规范和设计图纸要求</t>
  </si>
  <si>
    <t>1.名称:多芯软导线
2.规格、型号:RVS-2*1.5
3.敷设方式:穿管敷设
4.其它说明：满足规范和设计图纸要求</t>
  </si>
  <si>
    <t>1.名称:多芯软导线
2.规格、型号:RVV-3x2.5
3.敷设方式:管内敷设
4.其它说明：满足规范和设计图纸要求</t>
  </si>
  <si>
    <t>光缆</t>
  </si>
  <si>
    <t>1.名称：监控光缆
2.规格：4芯单模光纤
3.敷设方式：穿管敷设
4.其它说明：满足规范和设计图纸要求</t>
  </si>
  <si>
    <t>挖沟槽土方</t>
  </si>
  <si>
    <t>1.名称:土方开挖
2.土壤类别:综合考虑
3.挖土深度:详见图纸设计
4.其它说明：满足规范和设计图纸要求</t>
  </si>
  <si>
    <t>回填方</t>
  </si>
  <si>
    <t>1.名称:土方回填
2.密实度要求:夯填
3.填方材料品种:现场土
4填方粒径要求:满足图纸及规范要求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</si>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</sst>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45">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b/>
      <sz val="9"/>
      <name val="宋体"/>
      <charset val="134"/>
    </font>
    <font>
      <u/>
      <sz val="9"/>
      <name val="宋体"/>
      <charset val="134"/>
    </font>
    <font>
      <sz val="9"/>
      <name val="宋体"/>
      <charset val="134"/>
      <scheme val="minor"/>
    </font>
    <font>
      <sz val="12"/>
      <name val="宋体"/>
      <charset val="134"/>
    </font>
    <font>
      <b/>
      <sz val="16"/>
      <name val="宋体"/>
      <charset val="134"/>
    </font>
    <font>
      <sz val="10"/>
      <color theme="1"/>
      <name val="微软雅黑"/>
      <charset val="134"/>
    </font>
    <font>
      <sz val="10"/>
      <name val="微软雅黑"/>
      <charset val="134"/>
    </font>
    <font>
      <sz val="10"/>
      <color rgb="FFFF0000"/>
      <name val="微软雅黑"/>
      <charset val="134"/>
    </font>
    <font>
      <sz val="10"/>
      <color rgb="FFFF0000"/>
      <name val="宋体"/>
      <charset val="134"/>
    </font>
    <font>
      <b/>
      <sz val="10"/>
      <name val="宋体"/>
      <charset val="134"/>
    </font>
    <font>
      <b/>
      <sz val="16"/>
      <name val="楷体_GB2312"/>
      <charset val="134"/>
    </font>
    <font>
      <b/>
      <sz val="11"/>
      <name val="宋体"/>
      <charset val="134"/>
    </font>
    <font>
      <sz val="10.5"/>
      <name val="楷体_GB2312"/>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9"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0" fillId="0" borderId="0">
      <alignment vertical="center"/>
    </xf>
    <xf numFmtId="43" fontId="21" fillId="0" borderId="0" applyFont="0" applyFill="0" applyBorder="0" applyAlignment="0" applyProtection="0">
      <alignment vertical="center"/>
    </xf>
    <xf numFmtId="0" fontId="10" fillId="0" borderId="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8" borderId="10"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lignment vertical="center"/>
    </xf>
    <xf numFmtId="0" fontId="10" fillId="0" borderId="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0" borderId="11" applyNumberFormat="0" applyFill="0" applyAlignment="0" applyProtection="0">
      <alignment vertical="center"/>
    </xf>
    <xf numFmtId="0" fontId="21" fillId="0" borderId="0">
      <alignment vertical="center"/>
    </xf>
    <xf numFmtId="0" fontId="25" fillId="10" borderId="0" applyNumberFormat="0" applyBorder="0" applyAlignment="0" applyProtection="0">
      <alignment vertical="center"/>
    </xf>
    <xf numFmtId="0" fontId="28" fillId="0" borderId="12" applyNumberFormat="0" applyFill="0" applyAlignment="0" applyProtection="0">
      <alignment vertical="center"/>
    </xf>
    <xf numFmtId="0" fontId="25" fillId="11" borderId="0" applyNumberFormat="0" applyBorder="0" applyAlignment="0" applyProtection="0">
      <alignment vertical="center"/>
    </xf>
    <xf numFmtId="0" fontId="34" fillId="12" borderId="13" applyNumberFormat="0" applyAlignment="0" applyProtection="0">
      <alignment vertical="center"/>
    </xf>
    <xf numFmtId="0" fontId="10" fillId="0" borderId="0">
      <alignment vertical="center"/>
    </xf>
    <xf numFmtId="0" fontId="35" fillId="12" borderId="9" applyNumberFormat="0" applyAlignment="0" applyProtection="0">
      <alignment vertical="center"/>
    </xf>
    <xf numFmtId="0" fontId="36" fillId="13" borderId="14"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10" fillId="0" borderId="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0" fillId="0" borderId="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10" fillId="0" borderId="0">
      <alignment vertical="center"/>
    </xf>
    <xf numFmtId="0" fontId="10" fillId="0" borderId="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10" fillId="0" borderId="0">
      <alignment vertical="center"/>
    </xf>
    <xf numFmtId="0" fontId="10" fillId="0" borderId="0">
      <alignment vertical="center"/>
    </xf>
    <xf numFmtId="0" fontId="41" fillId="0" borderId="0">
      <alignment vertical="center"/>
    </xf>
    <xf numFmtId="176" fontId="42" fillId="0" borderId="1">
      <alignment horizontal="right" vertical="center" wrapText="1"/>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3" fillId="0" borderId="0"/>
    <xf numFmtId="0" fontId="21" fillId="0" borderId="0">
      <alignment vertical="center"/>
    </xf>
    <xf numFmtId="0" fontId="2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1" fillId="0" borderId="0">
      <alignment vertical="center"/>
    </xf>
    <xf numFmtId="176" fontId="42" fillId="0" borderId="1">
      <alignment horizontal="right" vertical="center" wrapText="1"/>
    </xf>
    <xf numFmtId="0" fontId="21" fillId="0" borderId="0">
      <alignment vertical="center"/>
    </xf>
    <xf numFmtId="0" fontId="10" fillId="0" borderId="0"/>
    <xf numFmtId="0" fontId="42" fillId="0" borderId="0" applyProtection="0">
      <alignment vertical="center"/>
    </xf>
    <xf numFmtId="0" fontId="4" fillId="0" borderId="0"/>
  </cellStyleXfs>
  <cellXfs count="110">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0" fontId="4" fillId="0" borderId="0" xfId="81" applyFont="1" applyFill="1" applyAlignment="1">
      <alignment horizontal="center"/>
    </xf>
    <xf numFmtId="0" fontId="4" fillId="0" borderId="0" xfId="81" applyFont="1" applyFill="1" applyAlignment="1">
      <alignment horizontal="left"/>
    </xf>
    <xf numFmtId="0" fontId="4" fillId="0" borderId="0" xfId="81" applyFont="1" applyFill="1" applyAlignment="1">
      <alignment horizontal="center" vertical="center"/>
    </xf>
    <xf numFmtId="176" fontId="4" fillId="0" borderId="0" xfId="81" applyNumberFormat="1" applyFont="1" applyFill="1" applyAlignment="1">
      <alignment horizontal="center" vertical="center"/>
    </xf>
    <xf numFmtId="10" fontId="4" fillId="0" borderId="0" xfId="81" applyNumberFormat="1" applyFont="1" applyFill="1" applyAlignment="1">
      <alignment horizontal="center" vertical="center"/>
    </xf>
    <xf numFmtId="0" fontId="5" fillId="0" borderId="0" xfId="81" applyFont="1" applyFill="1" applyAlignment="1">
      <alignment horizontal="center" vertical="center" wrapText="1"/>
    </xf>
    <xf numFmtId="176" fontId="5" fillId="0" borderId="0" xfId="81" applyNumberFormat="1" applyFont="1" applyFill="1" applyAlignment="1">
      <alignment horizontal="center"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left" vertical="center" wrapText="1"/>
    </xf>
    <xf numFmtId="176" fontId="6" fillId="0" borderId="0" xfId="81" applyNumberFormat="1" applyFont="1" applyFill="1" applyAlignment="1">
      <alignment horizontal="center" vertical="center" wrapText="1"/>
    </xf>
    <xf numFmtId="0" fontId="6" fillId="0" borderId="1" xfId="81" applyFont="1" applyFill="1" applyBorder="1" applyAlignment="1">
      <alignment horizontal="center" vertical="center" wrapText="1"/>
    </xf>
    <xf numFmtId="176" fontId="6" fillId="0" borderId="1" xfId="81" applyNumberFormat="1" applyFont="1" applyFill="1" applyBorder="1" applyAlignment="1">
      <alignment horizontal="center" vertical="center" wrapText="1"/>
    </xf>
    <xf numFmtId="0" fontId="6" fillId="0" borderId="1" xfId="81" applyFont="1" applyFill="1" applyBorder="1" applyAlignment="1">
      <alignment horizontal="left" vertical="center" wrapText="1"/>
    </xf>
    <xf numFmtId="0" fontId="7" fillId="0" borderId="1" xfId="81" applyFont="1" applyFill="1" applyBorder="1" applyAlignment="1">
      <alignment horizontal="center" vertical="center" wrapText="1"/>
    </xf>
    <xf numFmtId="176" fontId="7" fillId="0" borderId="1" xfId="8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0" fontId="5" fillId="0" borderId="0" xfId="81" applyNumberFormat="1" applyFont="1" applyFill="1" applyAlignment="1">
      <alignment horizontal="center" vertical="center" wrapText="1"/>
    </xf>
    <xf numFmtId="10" fontId="6" fillId="0" borderId="0" xfId="81" applyNumberFormat="1" applyFont="1" applyFill="1" applyAlignment="1">
      <alignment horizontal="center" vertical="center" wrapText="1"/>
    </xf>
    <xf numFmtId="0" fontId="6" fillId="0" borderId="0" xfId="81" applyFont="1" applyFill="1" applyAlignment="1">
      <alignment horizontal="center" vertical="center" wrapText="1"/>
    </xf>
    <xf numFmtId="10" fontId="6" fillId="0" borderId="1" xfId="81" applyNumberFormat="1" applyFont="1" applyFill="1" applyBorder="1" applyAlignment="1">
      <alignment horizontal="center" vertical="center" wrapText="1"/>
    </xf>
    <xf numFmtId="10" fontId="8" fillId="0" borderId="1" xfId="81" applyNumberFormat="1" applyFont="1" applyFill="1" applyBorder="1" applyAlignment="1">
      <alignment horizontal="center" vertical="center" wrapText="1"/>
    </xf>
    <xf numFmtId="10" fontId="7" fillId="0" borderId="1" xfId="81" applyNumberFormat="1" applyFont="1" applyFill="1" applyBorder="1" applyAlignment="1">
      <alignment horizontal="center" vertical="center" wrapText="1"/>
    </xf>
    <xf numFmtId="176" fontId="7" fillId="0" borderId="2" xfId="81" applyNumberFormat="1" applyFont="1" applyFill="1" applyBorder="1" applyAlignment="1">
      <alignment horizontal="center" vertical="center" wrapText="1"/>
    </xf>
    <xf numFmtId="176" fontId="7" fillId="0" borderId="3" xfId="81" applyNumberFormat="1" applyFont="1" applyFill="1" applyBorder="1" applyAlignment="1">
      <alignment horizontal="center" vertical="center" wrapText="1"/>
    </xf>
    <xf numFmtId="0" fontId="2" fillId="0" borderId="0" xfId="0" applyFont="1" applyFill="1" applyBorder="1" applyAlignment="1" applyProtection="1">
      <alignment vertical="center" wrapText="1"/>
    </xf>
    <xf numFmtId="0" fontId="9" fillId="0" borderId="0" xfId="81" applyFont="1" applyFill="1" applyAlignment="1">
      <alignment horizontal="left"/>
    </xf>
    <xf numFmtId="0" fontId="9" fillId="0" borderId="0" xfId="81" applyFont="1" applyFill="1" applyAlignment="1">
      <alignment horizontal="center"/>
    </xf>
    <xf numFmtId="176" fontId="6" fillId="0" borderId="1" xfId="81" applyNumberFormat="1" applyFont="1" applyFill="1" applyBorder="1" applyAlignment="1">
      <alignment horizontal="right" vertical="center" wrapText="1"/>
    </xf>
    <xf numFmtId="9" fontId="6" fillId="0" borderId="1" xfId="13" applyFont="1" applyFill="1" applyBorder="1" applyAlignment="1" applyProtection="1">
      <alignment horizontal="center" vertical="center" wrapText="1"/>
    </xf>
    <xf numFmtId="9" fontId="6" fillId="0" borderId="1" xfId="13" applyNumberFormat="1" applyFont="1" applyFill="1" applyBorder="1" applyAlignment="1" applyProtection="1">
      <alignment horizontal="center" vertical="center" wrapText="1"/>
    </xf>
    <xf numFmtId="0" fontId="6" fillId="0" borderId="4" xfId="81" applyFont="1" applyFill="1" applyBorder="1" applyAlignment="1">
      <alignment horizontal="left" vertical="center" wrapText="1"/>
    </xf>
    <xf numFmtId="0" fontId="6" fillId="0" borderId="5" xfId="81" applyFont="1" applyFill="1" applyBorder="1" applyAlignment="1">
      <alignment horizontal="left" vertical="center" wrapText="1"/>
    </xf>
    <xf numFmtId="0" fontId="6" fillId="0" borderId="6" xfId="81" applyFont="1" applyFill="1" applyBorder="1" applyAlignment="1">
      <alignment horizontal="left" vertical="center" wrapText="1"/>
    </xf>
    <xf numFmtId="9" fontId="6" fillId="0" borderId="4" xfId="13" applyFont="1" applyFill="1" applyBorder="1" applyAlignment="1" applyProtection="1">
      <alignment horizontal="center" vertical="center" wrapText="1"/>
    </xf>
    <xf numFmtId="0" fontId="6" fillId="0" borderId="4" xfId="81" applyFont="1" applyFill="1" applyBorder="1" applyAlignment="1">
      <alignment horizontal="center" vertical="center" wrapText="1"/>
    </xf>
    <xf numFmtId="9" fontId="6" fillId="0" borderId="5" xfId="13" applyFont="1" applyFill="1" applyBorder="1" applyAlignment="1" applyProtection="1">
      <alignment horizontal="center" vertical="center" wrapText="1"/>
    </xf>
    <xf numFmtId="0" fontId="6" fillId="0" borderId="5" xfId="81" applyFont="1" applyFill="1" applyBorder="1" applyAlignment="1">
      <alignment horizontal="center" vertical="center" wrapText="1"/>
    </xf>
    <xf numFmtId="0" fontId="10" fillId="0" borderId="1" xfId="0" applyFont="1" applyFill="1" applyBorder="1" applyAlignment="1">
      <alignment horizontal="center" vertical="center" wrapText="1"/>
    </xf>
    <xf numFmtId="9" fontId="6" fillId="0" borderId="6" xfId="13" applyFont="1" applyFill="1" applyBorder="1" applyAlignment="1" applyProtection="1">
      <alignment horizontal="center" vertical="center" wrapText="1"/>
    </xf>
    <xf numFmtId="0" fontId="6" fillId="0" borderId="6" xfId="81" applyFont="1" applyFill="1" applyBorder="1" applyAlignment="1">
      <alignment horizontal="center"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0" fontId="4" fillId="0" borderId="0" xfId="81" applyAlignment="1">
      <alignment horizontal="left"/>
    </xf>
    <xf numFmtId="0" fontId="4" fillId="2" borderId="0" xfId="81" applyFont="1" applyFill="1" applyAlignment="1">
      <alignment horizontal="left"/>
    </xf>
    <xf numFmtId="0" fontId="4" fillId="0" borderId="0" xfId="81" applyFont="1" applyFill="1" applyAlignment="1">
      <alignment horizontal="center" vertical="center" wrapText="1"/>
    </xf>
    <xf numFmtId="177" fontId="6" fillId="0" borderId="1" xfId="81" applyNumberFormat="1" applyFont="1" applyFill="1" applyBorder="1" applyAlignment="1">
      <alignment horizontal="right" vertical="center" wrapText="1"/>
    </xf>
    <xf numFmtId="176" fontId="6" fillId="0" borderId="4" xfId="81" applyNumberFormat="1" applyFont="1" applyFill="1" applyBorder="1" applyAlignment="1">
      <alignment horizontal="right" vertical="center" wrapText="1"/>
    </xf>
    <xf numFmtId="177" fontId="6" fillId="0" borderId="4" xfId="81" applyNumberFormat="1" applyFont="1" applyFill="1" applyBorder="1" applyAlignment="1">
      <alignment horizontal="right" vertical="center" wrapText="1"/>
    </xf>
    <xf numFmtId="176" fontId="6" fillId="0" borderId="1" xfId="81" applyNumberFormat="1" applyFont="1" applyFill="1" applyBorder="1" applyAlignment="1">
      <alignment horizontal="left" vertical="center" wrapText="1"/>
    </xf>
    <xf numFmtId="176" fontId="6" fillId="0" borderId="7" xfId="81" applyNumberFormat="1" applyFont="1" applyFill="1" applyBorder="1" applyAlignment="1">
      <alignment horizontal="right" vertical="center" wrapText="1"/>
    </xf>
    <xf numFmtId="176" fontId="6" fillId="0" borderId="8" xfId="81" applyNumberFormat="1" applyFont="1" applyFill="1" applyBorder="1" applyAlignment="1">
      <alignment horizontal="right" vertical="center" wrapText="1"/>
    </xf>
    <xf numFmtId="0" fontId="9" fillId="0" borderId="0" xfId="81" applyFont="1" applyFill="1" applyAlignment="1">
      <alignment horizontal="center" vertical="center" wrapText="1"/>
    </xf>
    <xf numFmtId="177" fontId="6" fillId="0" borderId="4" xfId="81" applyNumberFormat="1" applyFont="1" applyFill="1" applyBorder="1" applyAlignment="1">
      <alignment horizontal="center" vertical="center" wrapText="1"/>
    </xf>
    <xf numFmtId="176" fontId="6" fillId="0" borderId="4" xfId="81" applyNumberFormat="1" applyFont="1" applyFill="1" applyBorder="1" applyAlignment="1">
      <alignment horizontal="center" vertical="center" wrapText="1"/>
    </xf>
    <xf numFmtId="176" fontId="6" fillId="0" borderId="4" xfId="81" applyNumberFormat="1" applyFont="1" applyFill="1" applyBorder="1" applyAlignment="1">
      <alignment horizontal="left" vertical="center" wrapText="1"/>
    </xf>
    <xf numFmtId="177" fontId="6" fillId="0" borderId="1" xfId="81" applyNumberFormat="1" applyFont="1" applyFill="1" applyBorder="1" applyAlignment="1">
      <alignment vertical="center" wrapText="1"/>
    </xf>
    <xf numFmtId="176" fontId="6" fillId="0" borderId="1" xfId="81" applyNumberFormat="1" applyFont="1" applyFill="1" applyBorder="1" applyAlignment="1">
      <alignment vertical="center" wrapText="1"/>
    </xf>
    <xf numFmtId="9" fontId="6" fillId="0" borderId="1" xfId="81" applyNumberFormat="1" applyFont="1" applyFill="1" applyBorder="1" applyAlignment="1">
      <alignment horizontal="right" vertical="center" wrapText="1"/>
    </xf>
    <xf numFmtId="9" fontId="6" fillId="0" borderId="1" xfId="81" applyNumberFormat="1" applyFont="1" applyFill="1" applyBorder="1" applyAlignment="1">
      <alignment vertical="center" wrapText="1"/>
    </xf>
    <xf numFmtId="177" fontId="6" fillId="0" borderId="1" xfId="81" applyNumberFormat="1" applyFont="1" applyFill="1" applyBorder="1" applyAlignment="1">
      <alignment horizontal="center" vertical="center" wrapText="1"/>
    </xf>
    <xf numFmtId="9" fontId="6" fillId="0" borderId="1" xfId="13" applyFont="1" applyFill="1" applyBorder="1" applyAlignment="1" applyProtection="1">
      <alignment horizontal="left" vertical="center" wrapText="1"/>
    </xf>
    <xf numFmtId="0" fontId="10" fillId="0" borderId="0" xfId="0" applyFont="1" applyFill="1" applyBorder="1" applyAlignment="1">
      <alignment vertical="center"/>
    </xf>
    <xf numFmtId="0" fontId="0" fillId="0" borderId="0" xfId="0" applyFill="1" applyAlignment="1">
      <alignment horizont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0" fontId="10" fillId="0" borderId="0" xfId="0" applyNumberFormat="1" applyFont="1" applyFill="1" applyBorder="1" applyAlignment="1">
      <alignment vertical="center" wrapText="1"/>
    </xf>
    <xf numFmtId="0" fontId="17" fillId="0" borderId="0" xfId="0" applyFont="1" applyFill="1" applyAlignment="1">
      <alignment horizontal="center" vertical="center"/>
    </xf>
    <xf numFmtId="49" fontId="18" fillId="0" borderId="1" xfId="77" applyNumberFormat="1" applyFont="1" applyFill="1" applyBorder="1" applyAlignment="1" applyProtection="1">
      <alignment horizontal="left" vertical="center"/>
    </xf>
    <xf numFmtId="49" fontId="18" fillId="0" borderId="1" xfId="77" applyNumberFormat="1" applyFont="1" applyFill="1" applyBorder="1" applyAlignment="1" applyProtection="1">
      <alignment horizontal="left" vertical="center" wrapText="1"/>
    </xf>
    <xf numFmtId="0" fontId="17" fillId="0" borderId="0" xfId="0" applyFont="1" applyFill="1" applyBorder="1" applyAlignment="1">
      <alignment horizontal="center" vertical="center"/>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9" fillId="0" borderId="0" xfId="0" applyNumberFormat="1" applyFont="1" applyFill="1" applyBorder="1" applyAlignment="1">
      <alignment horizontal="justify" vertical="center" wrapText="1"/>
    </xf>
    <xf numFmtId="0" fontId="20"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9" fillId="0" borderId="0" xfId="0" applyNumberFormat="1" applyFont="1" applyFill="1" applyBorder="1" applyAlignment="1">
      <alignment horizontal="left" vertical="center" wrapText="1"/>
    </xf>
    <xf numFmtId="0" fontId="2" fillId="0" borderId="1" xfId="63"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8" fillId="0" borderId="0" xfId="0" applyFont="1" applyFill="1" applyAlignment="1">
      <alignment horizontal="left"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3232 2 2" xf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表体数字 3 2 6 5 3 2" xfId="63"/>
    <cellStyle name="常规 3"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4285714285714" defaultRowHeight="12.75"/>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2"/>
  <sheetViews>
    <sheetView topLeftCell="A7" workbookViewId="0">
      <selection activeCell="B9" sqref="A1:B22"/>
    </sheetView>
  </sheetViews>
  <sheetFormatPr defaultColWidth="10" defaultRowHeight="14.25" outlineLevelCol="3"/>
  <cols>
    <col min="1" max="1" width="6.42857142857143" style="82" customWidth="1"/>
    <col min="2" max="2" width="93.8571428571429" style="82" customWidth="1"/>
    <col min="3" max="3" width="10.2857142857143" style="82"/>
    <col min="4" max="4" width="10.2857142857143" style="82" customWidth="1"/>
    <col min="5" max="31" width="10.2857142857143" style="82"/>
    <col min="32" max="16384" width="10" style="82"/>
  </cols>
  <sheetData>
    <row r="1" ht="25" customHeight="1" spans="1:2">
      <c r="A1" s="96" t="s">
        <v>0</v>
      </c>
      <c r="B1" s="96"/>
    </row>
    <row r="2" s="95" customFormat="1" ht="17" customHeight="1" spans="1:4">
      <c r="A2" s="97" t="s">
        <v>1</v>
      </c>
      <c r="B2" s="98"/>
      <c r="D2" s="99"/>
    </row>
    <row r="3" s="95" customFormat="1" ht="23" customHeight="1" spans="1:4">
      <c r="A3" s="100">
        <v>1</v>
      </c>
      <c r="B3" s="101" t="s">
        <v>2</v>
      </c>
      <c r="D3" s="102"/>
    </row>
    <row r="4" s="95" customFormat="1" ht="73" customHeight="1" spans="1:4">
      <c r="A4" s="100">
        <v>2</v>
      </c>
      <c r="B4" s="103" t="s">
        <v>3</v>
      </c>
      <c r="D4" s="102"/>
    </row>
    <row r="5" s="95" customFormat="1" ht="17" customHeight="1" spans="1:4">
      <c r="A5" s="97" t="s">
        <v>4</v>
      </c>
      <c r="B5" s="98"/>
      <c r="D5" s="102"/>
    </row>
    <row r="6" s="95" customFormat="1" ht="71" customHeight="1" spans="1:4">
      <c r="A6" s="104">
        <v>1</v>
      </c>
      <c r="B6" s="105" t="s">
        <v>5</v>
      </c>
      <c r="D6" s="102"/>
    </row>
    <row r="7" s="95" customFormat="1" ht="57" customHeight="1" spans="1:4">
      <c r="A7" s="104">
        <v>2</v>
      </c>
      <c r="B7" s="105" t="s">
        <v>6</v>
      </c>
      <c r="D7" s="102"/>
    </row>
    <row r="8" s="95" customFormat="1" ht="45" customHeight="1" spans="1:4">
      <c r="A8" s="104">
        <v>3</v>
      </c>
      <c r="B8" s="105" t="s">
        <v>7</v>
      </c>
      <c r="D8" s="102"/>
    </row>
    <row r="9" s="95" customFormat="1" ht="66" customHeight="1" spans="1:4">
      <c r="A9" s="104">
        <v>4</v>
      </c>
      <c r="B9" s="105" t="s">
        <v>8</v>
      </c>
      <c r="D9" s="106"/>
    </row>
    <row r="10" ht="39" customHeight="1" spans="1:4">
      <c r="A10" s="104">
        <v>5</v>
      </c>
      <c r="B10" s="107" t="s">
        <v>9</v>
      </c>
      <c r="D10" s="106"/>
    </row>
    <row r="11" ht="54" customHeight="1" spans="1:4">
      <c r="A11" s="104">
        <v>6</v>
      </c>
      <c r="B11" s="108" t="s">
        <v>10</v>
      </c>
      <c r="D11" s="106"/>
    </row>
    <row r="12" ht="54" customHeight="1" spans="1:2">
      <c r="A12" s="104">
        <v>7</v>
      </c>
      <c r="B12" s="108" t="s">
        <v>11</v>
      </c>
    </row>
    <row r="13" ht="44" customHeight="1" spans="1:2">
      <c r="A13" s="104">
        <v>8</v>
      </c>
      <c r="B13" s="108" t="s">
        <v>12</v>
      </c>
    </row>
    <row r="14" ht="24" customHeight="1" spans="1:2">
      <c r="A14" s="104">
        <v>9</v>
      </c>
      <c r="B14" s="108" t="s">
        <v>13</v>
      </c>
    </row>
    <row r="15" ht="16" customHeight="1" spans="1:2">
      <c r="A15" s="97" t="s">
        <v>14</v>
      </c>
      <c r="B15" s="98"/>
    </row>
    <row r="16" ht="31" customHeight="1" spans="1:2">
      <c r="A16" s="104">
        <v>1</v>
      </c>
      <c r="B16" s="101" t="s">
        <v>15</v>
      </c>
    </row>
    <row r="17" ht="22" customHeight="1" spans="1:2">
      <c r="A17" s="104">
        <v>2</v>
      </c>
      <c r="B17" s="101" t="s">
        <v>16</v>
      </c>
    </row>
    <row r="18" ht="12.75" spans="1:2">
      <c r="A18" s="104">
        <v>3</v>
      </c>
      <c r="B18" s="101" t="s">
        <v>17</v>
      </c>
    </row>
    <row r="19" ht="18" customHeight="1" spans="1:2">
      <c r="A19" s="97" t="s">
        <v>18</v>
      </c>
      <c r="B19" s="98"/>
    </row>
    <row r="20" ht="18" customHeight="1" spans="1:2">
      <c r="A20" s="104">
        <v>1</v>
      </c>
      <c r="B20" s="101" t="s">
        <v>19</v>
      </c>
    </row>
    <row r="21" ht="116" customHeight="1" spans="1:2">
      <c r="A21" s="104">
        <v>2</v>
      </c>
      <c r="B21" s="101" t="s">
        <v>20</v>
      </c>
    </row>
    <row r="22" ht="13.5" spans="1:2">
      <c r="A22" s="109" t="s">
        <v>21</v>
      </c>
      <c r="B22" s="109"/>
    </row>
  </sheetData>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D17" sqref="D17"/>
    </sheetView>
  </sheetViews>
  <sheetFormatPr defaultColWidth="8.85714285714286" defaultRowHeight="12.75" outlineLevelCol="5"/>
  <cols>
    <col min="1" max="1" width="8.85714285714286" style="4"/>
    <col min="2" max="2" width="24.4285714285714" style="4" customWidth="1"/>
    <col min="3" max="3" width="8.14285714285714" style="83" customWidth="1"/>
    <col min="4" max="4" width="17.4285714285714" style="4" customWidth="1"/>
    <col min="5" max="5" width="17.1428571428571" style="4" customWidth="1"/>
    <col min="6" max="6" width="10.2857142857143" style="4" customWidth="1"/>
    <col min="7" max="7" width="8.85714285714286" style="4"/>
    <col min="8" max="8" width="14.5714285714286" style="4"/>
    <col min="9" max="16384" width="8.85714285714286" style="4"/>
  </cols>
  <sheetData>
    <row r="1" s="82" customFormat="1" ht="48" customHeight="1" spans="1:6">
      <c r="A1" s="84" t="s">
        <v>22</v>
      </c>
      <c r="B1" s="84"/>
      <c r="C1" s="84"/>
      <c r="D1" s="84"/>
      <c r="E1" s="84"/>
      <c r="F1" s="84"/>
    </row>
    <row r="2" s="82" customFormat="1" ht="30" customHeight="1" spans="1:6">
      <c r="A2" s="85" t="s">
        <v>23</v>
      </c>
      <c r="B2" s="85" t="s">
        <v>24</v>
      </c>
      <c r="C2" s="85" t="s">
        <v>25</v>
      </c>
      <c r="D2" s="86" t="s">
        <v>26</v>
      </c>
      <c r="E2" s="86" t="s">
        <v>27</v>
      </c>
      <c r="F2" s="87" t="s">
        <v>28</v>
      </c>
    </row>
    <row r="3" s="82" customFormat="1" ht="30" customHeight="1" spans="1:6">
      <c r="A3" s="85" t="s">
        <v>29</v>
      </c>
      <c r="B3" s="85" t="s">
        <v>30</v>
      </c>
      <c r="C3" s="85"/>
      <c r="D3" s="86"/>
      <c r="E3" s="86">
        <f>SUM(E4:E6)</f>
        <v>1021059.23472214</v>
      </c>
      <c r="F3" s="88"/>
    </row>
    <row r="4" s="82" customFormat="1" ht="30" customHeight="1" spans="1:6">
      <c r="A4" s="89">
        <v>1.1</v>
      </c>
      <c r="B4" s="90" t="s">
        <v>31</v>
      </c>
      <c r="C4" s="89" t="s">
        <v>32</v>
      </c>
      <c r="D4" s="89">
        <f>'02、装饰工程'!M6</f>
        <v>167422.30437225</v>
      </c>
      <c r="E4" s="91">
        <f>D4</f>
        <v>167422.30437225</v>
      </c>
      <c r="F4" s="9"/>
    </row>
    <row r="5" s="82" customFormat="1" ht="30" customHeight="1" spans="1:6">
      <c r="A5" s="89">
        <v>1.2</v>
      </c>
      <c r="B5" s="90" t="s">
        <v>33</v>
      </c>
      <c r="C5" s="89" t="s">
        <v>32</v>
      </c>
      <c r="D5" s="89">
        <f>'02、装饰工程'!M12</f>
        <v>268741.7305965</v>
      </c>
      <c r="E5" s="91">
        <f>D5</f>
        <v>268741.7305965</v>
      </c>
      <c r="F5" s="9"/>
    </row>
    <row r="6" s="82" customFormat="1" ht="30" customHeight="1" spans="1:6">
      <c r="A6" s="89">
        <v>1.3</v>
      </c>
      <c r="B6" s="90" t="s">
        <v>34</v>
      </c>
      <c r="C6" s="89" t="s">
        <v>32</v>
      </c>
      <c r="D6" s="89">
        <f>'02、装饰工程'!M16</f>
        <v>584895.199753389</v>
      </c>
      <c r="E6" s="91">
        <f>D6</f>
        <v>584895.199753389</v>
      </c>
      <c r="F6" s="9"/>
    </row>
    <row r="7" s="82" customFormat="1" ht="30" customHeight="1" spans="1:6">
      <c r="A7" s="89" t="s">
        <v>35</v>
      </c>
      <c r="B7" s="90" t="s">
        <v>36</v>
      </c>
      <c r="C7" s="89" t="s">
        <v>32</v>
      </c>
      <c r="D7" s="89"/>
      <c r="E7" s="86">
        <f>SUM(E8:E10)</f>
        <v>3358833.44469492</v>
      </c>
      <c r="F7" s="92"/>
    </row>
    <row r="8" s="82" customFormat="1" ht="30" customHeight="1" spans="1:6">
      <c r="A8" s="89">
        <v>2.1</v>
      </c>
      <c r="B8" s="90" t="s">
        <v>37</v>
      </c>
      <c r="C8" s="89" t="s">
        <v>32</v>
      </c>
      <c r="D8" s="89">
        <f>'02、装饰工程'!M61</f>
        <v>603813.08300025</v>
      </c>
      <c r="E8" s="91">
        <f>D8</f>
        <v>603813.08300025</v>
      </c>
      <c r="F8" s="92"/>
    </row>
    <row r="9" s="82" customFormat="1" ht="30" customHeight="1" spans="1:6">
      <c r="A9" s="89">
        <v>2.2</v>
      </c>
      <c r="B9" s="90" t="s">
        <v>38</v>
      </c>
      <c r="C9" s="89" t="s">
        <v>32</v>
      </c>
      <c r="D9" s="89">
        <f>'02、装饰工程'!M75</f>
        <v>616224.57931182</v>
      </c>
      <c r="E9" s="91">
        <f>D9</f>
        <v>616224.57931182</v>
      </c>
      <c r="F9" s="92"/>
    </row>
    <row r="10" s="82" customFormat="1" ht="30" customHeight="1" spans="1:6">
      <c r="A10" s="89">
        <v>2.3</v>
      </c>
      <c r="B10" s="90" t="s">
        <v>39</v>
      </c>
      <c r="C10" s="89" t="s">
        <v>32</v>
      </c>
      <c r="D10" s="89">
        <f>'02、装饰工程'!M86</f>
        <v>2138795.78238285</v>
      </c>
      <c r="E10" s="91">
        <f>D10</f>
        <v>2138795.78238285</v>
      </c>
      <c r="F10" s="92"/>
    </row>
    <row r="11" s="82" customFormat="1" ht="30" customHeight="1" spans="1:6">
      <c r="A11" s="89" t="s">
        <v>40</v>
      </c>
      <c r="B11" s="90" t="s">
        <v>41</v>
      </c>
      <c r="C11" s="89" t="s">
        <v>32</v>
      </c>
      <c r="D11" s="89"/>
      <c r="E11" s="86">
        <f>SUM(E12:E14)</f>
        <v>1360762.14579536</v>
      </c>
      <c r="F11" s="92"/>
    </row>
    <row r="12" s="82" customFormat="1" ht="30" customHeight="1" spans="1:6">
      <c r="A12" s="89">
        <v>3.1</v>
      </c>
      <c r="B12" s="90" t="s">
        <v>30</v>
      </c>
      <c r="C12" s="89" t="s">
        <v>32</v>
      </c>
      <c r="D12" s="89">
        <f>'03、安装工程'!M6</f>
        <v>763201.171371921</v>
      </c>
      <c r="E12" s="91">
        <f>D12</f>
        <v>763201.171371921</v>
      </c>
      <c r="F12" s="92"/>
    </row>
    <row r="13" s="82" customFormat="1" ht="30" customHeight="1" spans="1:6">
      <c r="A13" s="89">
        <v>3.2</v>
      </c>
      <c r="B13" s="90" t="s">
        <v>36</v>
      </c>
      <c r="C13" s="89" t="s">
        <v>32</v>
      </c>
      <c r="D13" s="89">
        <f>'03、安装工程'!M153</f>
        <v>470557.73853093</v>
      </c>
      <c r="E13" s="91">
        <f>D13</f>
        <v>470557.73853093</v>
      </c>
      <c r="F13" s="92"/>
    </row>
    <row r="14" s="82" customFormat="1" ht="30" customHeight="1" spans="1:6">
      <c r="A14" s="89" t="s">
        <v>42</v>
      </c>
      <c r="B14" s="90" t="s">
        <v>43</v>
      </c>
      <c r="C14" s="89" t="s">
        <v>32</v>
      </c>
      <c r="D14" s="91">
        <f>'04、增加示范区弱电工程'!O25</f>
        <v>127003.23589251</v>
      </c>
      <c r="E14" s="91">
        <f>D14</f>
        <v>127003.23589251</v>
      </c>
      <c r="F14" s="92"/>
    </row>
    <row r="15" s="82" customFormat="1" ht="30" customHeight="1" spans="1:6">
      <c r="A15" s="93" t="s">
        <v>27</v>
      </c>
      <c r="B15" s="93"/>
      <c r="C15" s="93"/>
      <c r="D15" s="93"/>
      <c r="E15" s="94">
        <f>E11+E7+E3</f>
        <v>5740654.82521242</v>
      </c>
      <c r="F15" s="9"/>
    </row>
  </sheetData>
  <mergeCells count="2">
    <mergeCell ref="A1:F1"/>
    <mergeCell ref="A15:B15"/>
  </mergeCells>
  <pageMargins left="0.751388888888889" right="0.751388888888889" top="1" bottom="1"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4285714285714" defaultRowHeight="12.75"/>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1"/>
  <sheetViews>
    <sheetView tabSelected="1" zoomScale="145" zoomScaleNormal="145" workbookViewId="0">
      <pane ySplit="5" topLeftCell="A278" activePane="bottomLeft" state="frozen"/>
      <selection/>
      <selection pane="bottomLeft" activeCell="M279" sqref="M279:N279"/>
    </sheetView>
  </sheetViews>
  <sheetFormatPr defaultColWidth="9" defaultRowHeight="16.5" customHeight="1"/>
  <cols>
    <col min="1" max="1" width="5.28571428571429" style="21" customWidth="1"/>
    <col min="2" max="2" width="9.43809523809524" style="21" customWidth="1"/>
    <col min="3" max="3" width="28.4190476190476" style="21" customWidth="1"/>
    <col min="4" max="4" width="6.42857142857143" style="21" customWidth="1"/>
    <col min="5" max="5" width="6" style="21" customWidth="1"/>
    <col min="6" max="6" width="7.28571428571429" style="21" customWidth="1"/>
    <col min="7" max="7" width="11.0857142857143" style="21" customWidth="1"/>
    <col min="8" max="8" width="7.37142857142857" style="21" customWidth="1"/>
    <col min="9" max="9" width="5.85714285714286" style="21" customWidth="1"/>
    <col min="10" max="10" width="8.69523809523809" style="21" customWidth="1"/>
    <col min="11" max="11" width="8.57142857142857" style="21" customWidth="1"/>
    <col min="12" max="12" width="8.14285714285714" style="21" customWidth="1"/>
    <col min="13" max="13" width="0.333333333333333" style="21" customWidth="1"/>
    <col min="14" max="14" width="11.6857142857143" style="21" customWidth="1"/>
    <col min="15" max="15" width="11.1714285714286" style="21" customWidth="1"/>
    <col min="16" max="16" width="8.57142857142857" style="21" customWidth="1"/>
    <col min="17" max="17" width="12.2857142857143" style="65" customWidth="1"/>
    <col min="18" max="19" width="11" style="21"/>
    <col min="20" max="16384" width="9" style="21"/>
  </cols>
  <sheetData>
    <row r="1" s="63" customFormat="1" customHeight="1" spans="1:21">
      <c r="A1" s="25" t="s">
        <v>44</v>
      </c>
      <c r="B1" s="25"/>
      <c r="C1" s="25"/>
      <c r="D1" s="25"/>
      <c r="E1" s="25"/>
      <c r="F1" s="25"/>
      <c r="G1" s="25"/>
      <c r="H1" s="25"/>
      <c r="I1" s="25"/>
      <c r="J1" s="25"/>
      <c r="K1" s="25"/>
      <c r="L1" s="25"/>
      <c r="M1" s="25"/>
      <c r="N1" s="25"/>
      <c r="O1" s="25"/>
      <c r="P1" s="25"/>
      <c r="Q1" s="72"/>
      <c r="R1" s="46"/>
      <c r="S1" s="46"/>
      <c r="T1" s="46"/>
      <c r="U1" s="46"/>
    </row>
    <row r="2" s="63" customFormat="1" customHeight="1" spans="1:21">
      <c r="A2" s="27" t="s">
        <v>45</v>
      </c>
      <c r="B2" s="27"/>
      <c r="C2" s="27"/>
      <c r="D2" s="27"/>
      <c r="E2" s="27"/>
      <c r="F2" s="27"/>
      <c r="G2" s="27"/>
      <c r="H2" s="27"/>
      <c r="I2" s="27"/>
      <c r="J2" s="27"/>
      <c r="K2" s="27"/>
      <c r="L2" s="27"/>
      <c r="M2" s="27"/>
      <c r="N2" s="27"/>
      <c r="O2" s="27"/>
      <c r="P2" s="27"/>
      <c r="Q2" s="72"/>
      <c r="R2" s="46"/>
      <c r="S2" s="46"/>
      <c r="T2" s="46"/>
      <c r="U2" s="46"/>
    </row>
    <row r="3" s="63" customFormat="1" customHeight="1" spans="1:21">
      <c r="A3" s="32" t="s">
        <v>46</v>
      </c>
      <c r="B3" s="32" t="s">
        <v>47</v>
      </c>
      <c r="C3" s="32" t="s">
        <v>48</v>
      </c>
      <c r="D3" s="32" t="s">
        <v>25</v>
      </c>
      <c r="E3" s="32" t="s">
        <v>49</v>
      </c>
      <c r="F3" s="32" t="s">
        <v>50</v>
      </c>
      <c r="G3" s="32"/>
      <c r="H3" s="32"/>
      <c r="I3" s="32"/>
      <c r="J3" s="32"/>
      <c r="K3" s="32"/>
      <c r="L3" s="32"/>
      <c r="M3" s="32" t="s">
        <v>51</v>
      </c>
      <c r="N3" s="32"/>
      <c r="O3" s="32" t="s">
        <v>52</v>
      </c>
      <c r="P3" s="32" t="s">
        <v>53</v>
      </c>
      <c r="Q3" s="72"/>
      <c r="R3" s="46"/>
      <c r="S3" s="46"/>
      <c r="T3" s="46"/>
      <c r="U3" s="46"/>
    </row>
    <row r="4" s="63" customFormat="1" customHeight="1" spans="1:21">
      <c r="A4" s="32"/>
      <c r="B4" s="32"/>
      <c r="C4" s="32"/>
      <c r="D4" s="32"/>
      <c r="E4" s="32"/>
      <c r="F4" s="32" t="s">
        <v>54</v>
      </c>
      <c r="G4" s="32" t="s">
        <v>55</v>
      </c>
      <c r="H4" s="32" t="s">
        <v>56</v>
      </c>
      <c r="I4" s="32" t="s">
        <v>57</v>
      </c>
      <c r="J4" s="32" t="s">
        <v>58</v>
      </c>
      <c r="K4" s="32" t="s">
        <v>59</v>
      </c>
      <c r="L4" s="32" t="s">
        <v>60</v>
      </c>
      <c r="M4" s="32"/>
      <c r="N4" s="32"/>
      <c r="O4" s="32"/>
      <c r="P4" s="32"/>
      <c r="Q4" s="72"/>
      <c r="R4" s="46"/>
      <c r="S4" s="46"/>
      <c r="T4" s="46"/>
      <c r="U4" s="46"/>
    </row>
    <row r="5" s="63" customFormat="1" customHeight="1" spans="1:21">
      <c r="A5" s="32"/>
      <c r="B5" s="32"/>
      <c r="C5" s="32"/>
      <c r="D5" s="32"/>
      <c r="E5" s="32"/>
      <c r="F5" s="32"/>
      <c r="G5" s="32" t="s">
        <v>61</v>
      </c>
      <c r="H5" s="32" t="s">
        <v>62</v>
      </c>
      <c r="I5" s="32" t="s">
        <v>63</v>
      </c>
      <c r="J5" s="32"/>
      <c r="K5" s="50">
        <v>0.06</v>
      </c>
      <c r="L5" s="50">
        <v>0.03</v>
      </c>
      <c r="M5" s="32"/>
      <c r="N5" s="32"/>
      <c r="O5" s="32"/>
      <c r="P5" s="32"/>
      <c r="Q5" s="72"/>
      <c r="R5" s="46"/>
      <c r="S5" s="46"/>
      <c r="T5" s="46"/>
      <c r="U5" s="46"/>
    </row>
    <row r="6" s="63" customFormat="1" customHeight="1" spans="1:21">
      <c r="A6" s="32"/>
      <c r="B6" s="32" t="s">
        <v>64</v>
      </c>
      <c r="C6" s="32"/>
      <c r="D6" s="32"/>
      <c r="E6" s="32"/>
      <c r="F6" s="66"/>
      <c r="G6" s="48"/>
      <c r="H6" s="66"/>
      <c r="I6" s="49"/>
      <c r="J6" s="48"/>
      <c r="K6" s="48"/>
      <c r="L6" s="48"/>
      <c r="M6" s="48">
        <f>SUM(O7:O11)</f>
        <v>167422.30437225</v>
      </c>
      <c r="N6" s="48"/>
      <c r="O6" s="48"/>
      <c r="P6" s="69"/>
      <c r="Q6" s="72"/>
      <c r="R6" s="46"/>
      <c r="S6" s="46"/>
      <c r="T6" s="46"/>
      <c r="U6" s="46"/>
    </row>
    <row r="7" s="63" customFormat="1" customHeight="1" outlineLevel="1" spans="1:21">
      <c r="A7" s="32">
        <v>1</v>
      </c>
      <c r="B7" s="32" t="s">
        <v>65</v>
      </c>
      <c r="C7" s="32" t="s">
        <v>66</v>
      </c>
      <c r="D7" s="32" t="s">
        <v>67</v>
      </c>
      <c r="E7" s="32">
        <v>10.11</v>
      </c>
      <c r="F7" s="66">
        <v>25</v>
      </c>
      <c r="G7" s="48">
        <f t="shared" ref="G7:G11" si="0">H7*(1+I7)</f>
        <v>15.75</v>
      </c>
      <c r="H7" s="66">
        <v>15</v>
      </c>
      <c r="I7" s="49">
        <v>0.05</v>
      </c>
      <c r="J7" s="48">
        <v>5</v>
      </c>
      <c r="K7" s="48">
        <f>(F7+G7+J7)*$K$5</f>
        <v>2.745</v>
      </c>
      <c r="L7" s="48">
        <f>(F7+G7+J7+K7)*$L$5</f>
        <v>1.45485</v>
      </c>
      <c r="M7" s="48">
        <f>(F7+G7+J7+K7+L7)*1.5</f>
        <v>74.924775</v>
      </c>
      <c r="N7" s="48"/>
      <c r="O7" s="48">
        <f t="shared" ref="O7:O11" si="1">M7*E7</f>
        <v>757.48947525</v>
      </c>
      <c r="P7" s="69"/>
      <c r="Q7" s="72" t="s">
        <v>68</v>
      </c>
      <c r="R7" s="46">
        <f>E7*M7</f>
        <v>757.48947525</v>
      </c>
      <c r="S7" s="46">
        <f>F7+G7+J7+K7+L7</f>
        <v>49.94985</v>
      </c>
      <c r="T7" s="46" t="b">
        <f>O7=R7</f>
        <v>1</v>
      </c>
      <c r="U7" s="46" t="b">
        <f>M7=S7</f>
        <v>0</v>
      </c>
    </row>
    <row r="8" s="63" customFormat="1" customHeight="1" outlineLevel="1" spans="1:21">
      <c r="A8" s="32">
        <v>2</v>
      </c>
      <c r="B8" s="32" t="s">
        <v>69</v>
      </c>
      <c r="C8" s="32" t="s">
        <v>70</v>
      </c>
      <c r="D8" s="32" t="s">
        <v>67</v>
      </c>
      <c r="E8" s="32">
        <v>228.14</v>
      </c>
      <c r="F8" s="66">
        <v>85</v>
      </c>
      <c r="G8" s="48">
        <f t="shared" si="0"/>
        <v>267.75</v>
      </c>
      <c r="H8" s="66">
        <v>255</v>
      </c>
      <c r="I8" s="49">
        <f t="shared" ref="I8:I11" si="2">I7</f>
        <v>0.05</v>
      </c>
      <c r="J8" s="48">
        <v>35</v>
      </c>
      <c r="K8" s="48">
        <f>(F8+G8+J8)*$K$5</f>
        <v>23.265</v>
      </c>
      <c r="L8" s="48">
        <f>(F8+G8+J8+K8)*$L$5</f>
        <v>12.33045</v>
      </c>
      <c r="M8" s="48">
        <f>(F8+G8+J8+K8+L8)*1.5</f>
        <v>635.018175</v>
      </c>
      <c r="N8" s="48"/>
      <c r="O8" s="48">
        <f t="shared" si="1"/>
        <v>144873.0464445</v>
      </c>
      <c r="P8" s="69"/>
      <c r="Q8" s="72"/>
      <c r="R8" s="46">
        <f>E8*M8</f>
        <v>144873.0464445</v>
      </c>
      <c r="S8" s="46">
        <f>F8+G8+J8+K8+L8</f>
        <v>423.34545</v>
      </c>
      <c r="T8" s="46" t="b">
        <f>O8=R8</f>
        <v>1</v>
      </c>
      <c r="U8" s="46" t="b">
        <f>M8=S8</f>
        <v>0</v>
      </c>
    </row>
    <row r="9" s="63" customFormat="1" customHeight="1" outlineLevel="1" spans="1:21">
      <c r="A9" s="32">
        <v>3</v>
      </c>
      <c r="B9" s="32" t="s">
        <v>69</v>
      </c>
      <c r="C9" s="32" t="s">
        <v>71</v>
      </c>
      <c r="D9" s="32" t="s">
        <v>67</v>
      </c>
      <c r="E9" s="32">
        <v>10.86</v>
      </c>
      <c r="F9" s="66">
        <f t="shared" ref="F9:J9" si="3">F8</f>
        <v>85</v>
      </c>
      <c r="G9" s="48">
        <f t="shared" si="0"/>
        <v>267.75</v>
      </c>
      <c r="H9" s="66">
        <f t="shared" si="3"/>
        <v>255</v>
      </c>
      <c r="I9" s="49">
        <f t="shared" si="3"/>
        <v>0.05</v>
      </c>
      <c r="J9" s="48">
        <f t="shared" si="3"/>
        <v>35</v>
      </c>
      <c r="K9" s="48">
        <f>(F9+G9+J9)*$K$5</f>
        <v>23.265</v>
      </c>
      <c r="L9" s="48">
        <f>(F9+G9+J9+K9)*$L$5</f>
        <v>12.33045</v>
      </c>
      <c r="M9" s="48">
        <f>(F9+G9+J9+K9+L9)*1.5</f>
        <v>635.018175</v>
      </c>
      <c r="N9" s="48"/>
      <c r="O9" s="48">
        <f t="shared" si="1"/>
        <v>6896.2973805</v>
      </c>
      <c r="P9" s="69"/>
      <c r="Q9" s="72"/>
      <c r="R9" s="46">
        <f>E9*M9</f>
        <v>6896.2973805</v>
      </c>
      <c r="S9" s="46">
        <f>F9+G9+J9+K9+L9</f>
        <v>423.34545</v>
      </c>
      <c r="T9" s="46" t="b">
        <f>O9=R9</f>
        <v>1</v>
      </c>
      <c r="U9" s="46" t="b">
        <f>M9=S9</f>
        <v>0</v>
      </c>
    </row>
    <row r="10" s="63" customFormat="1" customHeight="1" outlineLevel="1" spans="1:21">
      <c r="A10" s="32">
        <v>4</v>
      </c>
      <c r="B10" s="32" t="s">
        <v>72</v>
      </c>
      <c r="C10" s="32" t="s">
        <v>73</v>
      </c>
      <c r="D10" s="32" t="s">
        <v>67</v>
      </c>
      <c r="E10" s="32">
        <v>29.18</v>
      </c>
      <c r="F10" s="66">
        <v>65</v>
      </c>
      <c r="G10" s="48">
        <f t="shared" si="0"/>
        <v>68.25</v>
      </c>
      <c r="H10" s="66">
        <v>65</v>
      </c>
      <c r="I10" s="49">
        <f t="shared" si="2"/>
        <v>0.05</v>
      </c>
      <c r="J10" s="48">
        <f>J8</f>
        <v>35</v>
      </c>
      <c r="K10" s="48">
        <f>(F10+G10+J10)*$K$5</f>
        <v>10.095</v>
      </c>
      <c r="L10" s="48">
        <f>(F10+G10+J10+K10)*$L$5</f>
        <v>5.35035</v>
      </c>
      <c r="M10" s="48">
        <f>(F10+G10+J10+K10+L10)*1.5</f>
        <v>275.543025</v>
      </c>
      <c r="N10" s="48"/>
      <c r="O10" s="48">
        <f t="shared" si="1"/>
        <v>8040.3454695</v>
      </c>
      <c r="P10" s="69" t="s">
        <v>74</v>
      </c>
      <c r="Q10" s="72"/>
      <c r="R10" s="46">
        <f>E10*M10</f>
        <v>8040.3454695</v>
      </c>
      <c r="S10" s="46">
        <f>F10+G10+J10+K10+L10</f>
        <v>183.69535</v>
      </c>
      <c r="T10" s="46" t="b">
        <f>O10=R10</f>
        <v>1</v>
      </c>
      <c r="U10" s="46" t="b">
        <f>M10=S10</f>
        <v>0</v>
      </c>
    </row>
    <row r="11" s="63" customFormat="1" ht="31" customHeight="1" outlineLevel="1" spans="1:21">
      <c r="A11" s="32">
        <v>5</v>
      </c>
      <c r="B11" s="32" t="s">
        <v>69</v>
      </c>
      <c r="C11" s="32" t="s">
        <v>75</v>
      </c>
      <c r="D11" s="32" t="s">
        <v>67</v>
      </c>
      <c r="E11" s="32">
        <v>4.69</v>
      </c>
      <c r="F11" s="66">
        <v>150</v>
      </c>
      <c r="G11" s="67">
        <f t="shared" si="0"/>
        <v>577.5</v>
      </c>
      <c r="H11" s="66">
        <v>550</v>
      </c>
      <c r="I11" s="49">
        <f t="shared" si="2"/>
        <v>0.05</v>
      </c>
      <c r="J11" s="48">
        <v>165</v>
      </c>
      <c r="K11" s="67">
        <f>(F11+G11+J11)*$K$5</f>
        <v>53.55</v>
      </c>
      <c r="L11" s="67">
        <f>(F11+G11+J11+K11)*$L$5</f>
        <v>28.3815</v>
      </c>
      <c r="M11" s="48">
        <f>(F11+G11+J11+K11+L11)*1.5</f>
        <v>1461.64725</v>
      </c>
      <c r="N11" s="48"/>
      <c r="O11" s="67">
        <f t="shared" si="1"/>
        <v>6855.1256025</v>
      </c>
      <c r="P11" s="69"/>
      <c r="Q11" s="72"/>
      <c r="R11" s="46">
        <f>E11*M11</f>
        <v>6855.1256025</v>
      </c>
      <c r="S11" s="46">
        <f>F11+G11+J11+K11+L11</f>
        <v>974.4315</v>
      </c>
      <c r="T11" s="46" t="b">
        <f>O11=R11</f>
        <v>1</v>
      </c>
      <c r="U11" s="46" t="b">
        <f>M11=S11</f>
        <v>0</v>
      </c>
    </row>
    <row r="12" s="63" customFormat="1" customHeight="1" spans="1:21">
      <c r="A12" s="32"/>
      <c r="B12" s="32" t="s">
        <v>76</v>
      </c>
      <c r="C12" s="32"/>
      <c r="D12" s="32"/>
      <c r="E12" s="32"/>
      <c r="F12" s="66"/>
      <c r="G12" s="48"/>
      <c r="H12" s="66"/>
      <c r="I12" s="49"/>
      <c r="J12" s="48"/>
      <c r="K12" s="48"/>
      <c r="L12" s="48"/>
      <c r="M12" s="48">
        <f>SUM(O13:O15)</f>
        <v>268741.7305965</v>
      </c>
      <c r="N12" s="48"/>
      <c r="O12" s="48"/>
      <c r="P12" s="69"/>
      <c r="Q12" s="72"/>
      <c r="R12" s="46">
        <f t="shared" ref="R12:R75" si="4">E12*M12</f>
        <v>0</v>
      </c>
      <c r="S12" s="46">
        <f t="shared" ref="S12:S75" si="5">F12+G12+J12+K12+L12</f>
        <v>0</v>
      </c>
      <c r="T12" s="46" t="b">
        <f t="shared" ref="T12:T75" si="6">O12=R12</f>
        <v>1</v>
      </c>
      <c r="U12" s="46" t="b">
        <f t="shared" ref="U12:U75" si="7">M12=S12</f>
        <v>0</v>
      </c>
    </row>
    <row r="13" s="63" customFormat="1" customHeight="1" outlineLevel="1" spans="1:21">
      <c r="A13" s="32">
        <v>6</v>
      </c>
      <c r="B13" s="32" t="s">
        <v>77</v>
      </c>
      <c r="C13" s="32" t="s">
        <v>78</v>
      </c>
      <c r="D13" s="32" t="s">
        <v>67</v>
      </c>
      <c r="E13" s="32">
        <v>80.39</v>
      </c>
      <c r="F13" s="66">
        <v>125</v>
      </c>
      <c r="G13" s="48">
        <f t="shared" ref="G13:G15" si="8">H13*(1+I13)</f>
        <v>315</v>
      </c>
      <c r="H13" s="66">
        <v>300</v>
      </c>
      <c r="I13" s="49">
        <v>0.05</v>
      </c>
      <c r="J13" s="48">
        <v>105</v>
      </c>
      <c r="K13" s="48">
        <f>(F13+G13+J13)*$K$5</f>
        <v>32.7</v>
      </c>
      <c r="L13" s="48">
        <f>(F13+G13+J13+K13)*$L$5</f>
        <v>17.331</v>
      </c>
      <c r="M13" s="48">
        <f t="shared" ref="M13:M18" si="9">(F13+G13+J13+K13+L13)*1.5</f>
        <v>892.5465</v>
      </c>
      <c r="N13" s="48"/>
      <c r="O13" s="48">
        <f t="shared" ref="O13:O15" si="10">M13*E13</f>
        <v>71751.813135</v>
      </c>
      <c r="P13" s="69" t="s">
        <v>79</v>
      </c>
      <c r="Q13" s="72"/>
      <c r="R13" s="46">
        <f t="shared" si="4"/>
        <v>71751.813135</v>
      </c>
      <c r="S13" s="46">
        <f t="shared" si="5"/>
        <v>595.031</v>
      </c>
      <c r="T13" s="46" t="b">
        <f t="shared" si="6"/>
        <v>1</v>
      </c>
      <c r="U13" s="46" t="b">
        <f t="shared" si="7"/>
        <v>0</v>
      </c>
    </row>
    <row r="14" s="63" customFormat="1" customHeight="1" outlineLevel="1" spans="1:21">
      <c r="A14" s="32">
        <v>7</v>
      </c>
      <c r="B14" s="32" t="s">
        <v>80</v>
      </c>
      <c r="C14" s="32" t="s">
        <v>81</v>
      </c>
      <c r="D14" s="32" t="s">
        <v>67</v>
      </c>
      <c r="E14" s="32">
        <v>170.33</v>
      </c>
      <c r="F14" s="66">
        <v>155</v>
      </c>
      <c r="G14" s="48">
        <f t="shared" si="8"/>
        <v>324</v>
      </c>
      <c r="H14" s="66">
        <f>H13</f>
        <v>300</v>
      </c>
      <c r="I14" s="49">
        <v>0.08</v>
      </c>
      <c r="J14" s="48">
        <v>125</v>
      </c>
      <c r="K14" s="48">
        <f>(F14+G14+J14)*$K$5</f>
        <v>36.24</v>
      </c>
      <c r="L14" s="48">
        <f>(F14+G14+J14+K14)*$L$5</f>
        <v>19.2072</v>
      </c>
      <c r="M14" s="48">
        <f t="shared" si="9"/>
        <v>989.1708</v>
      </c>
      <c r="N14" s="48"/>
      <c r="O14" s="48">
        <f t="shared" si="10"/>
        <v>168485.462364</v>
      </c>
      <c r="P14" s="69" t="str">
        <f>P13</f>
        <v>龙骨驰龙、石膏板泰山</v>
      </c>
      <c r="Q14" s="72"/>
      <c r="R14" s="46">
        <f t="shared" si="4"/>
        <v>168485.462364</v>
      </c>
      <c r="S14" s="46">
        <f t="shared" si="5"/>
        <v>659.4472</v>
      </c>
      <c r="T14" s="46" t="b">
        <f t="shared" si="6"/>
        <v>1</v>
      </c>
      <c r="U14" s="46" t="b">
        <f t="shared" si="7"/>
        <v>0</v>
      </c>
    </row>
    <row r="15" s="63" customFormat="1" customHeight="1" outlineLevel="1" spans="1:21">
      <c r="A15" s="32">
        <v>8</v>
      </c>
      <c r="B15" s="32" t="s">
        <v>82</v>
      </c>
      <c r="C15" s="32" t="s">
        <v>83</v>
      </c>
      <c r="D15" s="32" t="s">
        <v>67</v>
      </c>
      <c r="E15" s="32">
        <v>48.55</v>
      </c>
      <c r="F15" s="66">
        <v>35</v>
      </c>
      <c r="G15" s="48">
        <f t="shared" si="8"/>
        <v>283.5</v>
      </c>
      <c r="H15" s="66">
        <v>270</v>
      </c>
      <c r="I15" s="49">
        <v>0.05</v>
      </c>
      <c r="J15" s="48">
        <v>40</v>
      </c>
      <c r="K15" s="48">
        <f>(F15+G15+J15)*$K$5</f>
        <v>21.51</v>
      </c>
      <c r="L15" s="48">
        <f>(F15+G15+J15+K15)*$L$5</f>
        <v>11.4003</v>
      </c>
      <c r="M15" s="48">
        <f t="shared" si="9"/>
        <v>587.11545</v>
      </c>
      <c r="N15" s="48"/>
      <c r="O15" s="48">
        <f t="shared" si="10"/>
        <v>28504.4550975</v>
      </c>
      <c r="P15" s="69"/>
      <c r="Q15" s="72"/>
      <c r="R15" s="46">
        <f t="shared" si="4"/>
        <v>28504.4550975</v>
      </c>
      <c r="S15" s="46">
        <f t="shared" si="5"/>
        <v>391.4103</v>
      </c>
      <c r="T15" s="46" t="b">
        <f t="shared" si="6"/>
        <v>1</v>
      </c>
      <c r="U15" s="46" t="b">
        <f t="shared" si="7"/>
        <v>0</v>
      </c>
    </row>
    <row r="16" s="63" customFormat="1" customHeight="1" spans="1:21">
      <c r="A16" s="32"/>
      <c r="B16" s="32" t="s">
        <v>84</v>
      </c>
      <c r="C16" s="32"/>
      <c r="D16" s="32"/>
      <c r="E16" s="32"/>
      <c r="F16" s="66"/>
      <c r="G16" s="48"/>
      <c r="H16" s="66"/>
      <c r="I16" s="49"/>
      <c r="J16" s="48"/>
      <c r="K16" s="48"/>
      <c r="L16" s="48"/>
      <c r="M16" s="48">
        <f>SUM(O17:O60)</f>
        <v>584895.199753389</v>
      </c>
      <c r="N16" s="48"/>
      <c r="O16" s="48"/>
      <c r="P16" s="69"/>
      <c r="Q16" s="72"/>
      <c r="R16" s="46">
        <f t="shared" si="4"/>
        <v>0</v>
      </c>
      <c r="S16" s="46">
        <f t="shared" si="5"/>
        <v>0</v>
      </c>
      <c r="T16" s="46" t="b">
        <f t="shared" si="6"/>
        <v>1</v>
      </c>
      <c r="U16" s="46" t="b">
        <f t="shared" si="7"/>
        <v>0</v>
      </c>
    </row>
    <row r="17" s="63" customFormat="1" customHeight="1" spans="1:21">
      <c r="A17" s="32"/>
      <c r="B17" s="32" t="s">
        <v>85</v>
      </c>
      <c r="C17" s="32"/>
      <c r="D17" s="32"/>
      <c r="E17" s="32"/>
      <c r="F17" s="66"/>
      <c r="G17" s="48"/>
      <c r="H17" s="66"/>
      <c r="I17" s="49"/>
      <c r="J17" s="48"/>
      <c r="K17" s="48"/>
      <c r="L17" s="48"/>
      <c r="M17" s="48"/>
      <c r="N17" s="48"/>
      <c r="O17" s="48"/>
      <c r="P17" s="69"/>
      <c r="Q17" s="72"/>
      <c r="R17" s="46">
        <f t="shared" si="4"/>
        <v>0</v>
      </c>
      <c r="S17" s="46">
        <f t="shared" si="5"/>
        <v>0</v>
      </c>
      <c r="T17" s="46" t="b">
        <f t="shared" si="6"/>
        <v>1</v>
      </c>
      <c r="U17" s="46" t="b">
        <f t="shared" si="7"/>
        <v>1</v>
      </c>
    </row>
    <row r="18" s="63" customFormat="1" customHeight="1" outlineLevel="1" spans="1:21">
      <c r="A18" s="32">
        <v>9</v>
      </c>
      <c r="B18" s="32" t="s">
        <v>86</v>
      </c>
      <c r="C18" s="32" t="s">
        <v>87</v>
      </c>
      <c r="D18" s="32" t="s">
        <v>67</v>
      </c>
      <c r="E18" s="32">
        <v>13.36</v>
      </c>
      <c r="F18" s="66">
        <v>190</v>
      </c>
      <c r="G18" s="48">
        <f t="shared" ref="G18:G25" si="11">H18*(1+I18)</f>
        <v>315</v>
      </c>
      <c r="H18" s="66">
        <v>300</v>
      </c>
      <c r="I18" s="49">
        <v>0.05</v>
      </c>
      <c r="J18" s="48">
        <v>150</v>
      </c>
      <c r="K18" s="48">
        <f>(F18+G18+J18)*$K$5</f>
        <v>39.3</v>
      </c>
      <c r="L18" s="48">
        <f>(F18+G18+J18+K18)*$L$5</f>
        <v>20.829</v>
      </c>
      <c r="M18" s="48">
        <f t="shared" si="9"/>
        <v>1072.6935</v>
      </c>
      <c r="N18" s="48"/>
      <c r="O18" s="48">
        <f t="shared" ref="O18:O25" si="12">M18*E18</f>
        <v>14331.18516</v>
      </c>
      <c r="P18" s="69" t="s">
        <v>88</v>
      </c>
      <c r="Q18" s="72"/>
      <c r="R18" s="46">
        <f t="shared" si="4"/>
        <v>14331.18516</v>
      </c>
      <c r="S18" s="46">
        <f t="shared" si="5"/>
        <v>715.129</v>
      </c>
      <c r="T18" s="46" t="b">
        <f t="shared" si="6"/>
        <v>1</v>
      </c>
      <c r="U18" s="46" t="b">
        <f t="shared" si="7"/>
        <v>0</v>
      </c>
    </row>
    <row r="19" s="63" customFormat="1" customHeight="1" outlineLevel="1" spans="1:21">
      <c r="A19" s="32">
        <v>10</v>
      </c>
      <c r="B19" s="32" t="s">
        <v>86</v>
      </c>
      <c r="C19" s="32" t="s">
        <v>89</v>
      </c>
      <c r="D19" s="32" t="s">
        <v>67</v>
      </c>
      <c r="E19" s="32">
        <v>14.5</v>
      </c>
      <c r="F19" s="66">
        <f>F18</f>
        <v>190</v>
      </c>
      <c r="G19" s="48">
        <f t="shared" si="11"/>
        <v>315</v>
      </c>
      <c r="H19" s="66">
        <f>H18</f>
        <v>300</v>
      </c>
      <c r="I19" s="49">
        <f>I18</f>
        <v>0.05</v>
      </c>
      <c r="J19" s="48">
        <f>J18</f>
        <v>150</v>
      </c>
      <c r="K19" s="48">
        <f>(F19+G19+J19)*$K$5</f>
        <v>39.3</v>
      </c>
      <c r="L19" s="48">
        <f>(F19+G19+J19+K19)*$L$5</f>
        <v>20.829</v>
      </c>
      <c r="M19" s="48">
        <f t="shared" ref="M19:M25" si="13">(F19+G19+J19+K19+L19)*1.5</f>
        <v>1072.6935</v>
      </c>
      <c r="N19" s="48"/>
      <c r="O19" s="48">
        <f t="shared" si="12"/>
        <v>15554.05575</v>
      </c>
      <c r="P19" s="69" t="str">
        <f>P18</f>
        <v>厂家定制</v>
      </c>
      <c r="Q19" s="72"/>
      <c r="R19" s="46">
        <f t="shared" si="4"/>
        <v>15554.05575</v>
      </c>
      <c r="S19" s="46">
        <f t="shared" si="5"/>
        <v>715.129</v>
      </c>
      <c r="T19" s="46" t="b">
        <f t="shared" si="6"/>
        <v>1</v>
      </c>
      <c r="U19" s="46" t="b">
        <f t="shared" si="7"/>
        <v>0</v>
      </c>
    </row>
    <row r="20" s="63" customFormat="1" customHeight="1" outlineLevel="1" spans="1:21">
      <c r="A20" s="32">
        <v>11</v>
      </c>
      <c r="B20" s="32" t="s">
        <v>86</v>
      </c>
      <c r="C20" s="32" t="s">
        <v>90</v>
      </c>
      <c r="D20" s="32" t="s">
        <v>67</v>
      </c>
      <c r="E20" s="32">
        <v>10.72</v>
      </c>
      <c r="F20" s="66">
        <f>F19</f>
        <v>190</v>
      </c>
      <c r="G20" s="48">
        <f t="shared" si="11"/>
        <v>336</v>
      </c>
      <c r="H20" s="66">
        <v>320</v>
      </c>
      <c r="I20" s="49">
        <v>0.05</v>
      </c>
      <c r="J20" s="48">
        <v>135</v>
      </c>
      <c r="K20" s="48">
        <f>(F20+G20+J20)*$K$5</f>
        <v>39.66</v>
      </c>
      <c r="L20" s="48">
        <f>(F20+G20+J20+K20)*$L$5</f>
        <v>21.0198</v>
      </c>
      <c r="M20" s="48">
        <f t="shared" si="13"/>
        <v>1082.5197</v>
      </c>
      <c r="N20" s="48"/>
      <c r="O20" s="48">
        <f t="shared" si="12"/>
        <v>11604.611184</v>
      </c>
      <c r="P20" s="69"/>
      <c r="Q20" s="72"/>
      <c r="R20" s="46">
        <f t="shared" si="4"/>
        <v>11604.611184</v>
      </c>
      <c r="S20" s="46">
        <f t="shared" si="5"/>
        <v>721.6798</v>
      </c>
      <c r="T20" s="46" t="b">
        <f t="shared" si="6"/>
        <v>1</v>
      </c>
      <c r="U20" s="46" t="b">
        <f t="shared" si="7"/>
        <v>0</v>
      </c>
    </row>
    <row r="21" s="63" customFormat="1" customHeight="1" outlineLevel="1" spans="1:21">
      <c r="A21" s="32">
        <v>12</v>
      </c>
      <c r="B21" s="32" t="s">
        <v>86</v>
      </c>
      <c r="C21" s="32" t="s">
        <v>91</v>
      </c>
      <c r="D21" s="32" t="s">
        <v>67</v>
      </c>
      <c r="E21" s="32">
        <v>13.07</v>
      </c>
      <c r="F21" s="66">
        <v>165</v>
      </c>
      <c r="G21" s="48">
        <f t="shared" si="11"/>
        <v>315</v>
      </c>
      <c r="H21" s="66">
        <f t="shared" ref="F21:J21" si="14">H19</f>
        <v>300</v>
      </c>
      <c r="I21" s="49">
        <f t="shared" si="14"/>
        <v>0.05</v>
      </c>
      <c r="J21" s="48">
        <v>120</v>
      </c>
      <c r="K21" s="48">
        <f>(F21+G21+J21)*$K$5</f>
        <v>36</v>
      </c>
      <c r="L21" s="48">
        <f>(F21+G21+J21+K21)*$L$5</f>
        <v>19.08</v>
      </c>
      <c r="M21" s="48">
        <f t="shared" si="13"/>
        <v>982.62</v>
      </c>
      <c r="N21" s="48"/>
      <c r="O21" s="48">
        <f t="shared" si="12"/>
        <v>12842.8434</v>
      </c>
      <c r="P21" s="69" t="str">
        <f>P18</f>
        <v>厂家定制</v>
      </c>
      <c r="Q21" s="72"/>
      <c r="R21" s="46">
        <f t="shared" si="4"/>
        <v>12842.8434</v>
      </c>
      <c r="S21" s="46">
        <f t="shared" si="5"/>
        <v>655.08</v>
      </c>
      <c r="T21" s="46" t="b">
        <f t="shared" si="6"/>
        <v>1</v>
      </c>
      <c r="U21" s="46" t="b">
        <f t="shared" si="7"/>
        <v>0</v>
      </c>
    </row>
    <row r="22" s="63" customFormat="1" customHeight="1" outlineLevel="1" spans="1:21">
      <c r="A22" s="32">
        <v>13</v>
      </c>
      <c r="B22" s="32" t="s">
        <v>92</v>
      </c>
      <c r="C22" s="32" t="s">
        <v>93</v>
      </c>
      <c r="D22" s="32" t="s">
        <v>67</v>
      </c>
      <c r="E22" s="32">
        <v>0.8</v>
      </c>
      <c r="F22" s="66">
        <v>150</v>
      </c>
      <c r="G22" s="48">
        <f t="shared" si="11"/>
        <v>462</v>
      </c>
      <c r="H22" s="66">
        <v>420</v>
      </c>
      <c r="I22" s="49">
        <v>0.1</v>
      </c>
      <c r="J22" s="48">
        <v>155</v>
      </c>
      <c r="K22" s="48">
        <f>(F22+G22+J22)*$K$5</f>
        <v>46.02</v>
      </c>
      <c r="L22" s="48">
        <f>(F22+G22+J22+K22)*$L$5</f>
        <v>24.3906</v>
      </c>
      <c r="M22" s="48">
        <f t="shared" si="13"/>
        <v>1256.1159</v>
      </c>
      <c r="N22" s="48"/>
      <c r="O22" s="48">
        <f t="shared" si="12"/>
        <v>1004.89272</v>
      </c>
      <c r="P22" s="69"/>
      <c r="Q22" s="72"/>
      <c r="R22" s="46">
        <f t="shared" si="4"/>
        <v>1004.89272</v>
      </c>
      <c r="S22" s="46">
        <f t="shared" si="5"/>
        <v>837.4106</v>
      </c>
      <c r="T22" s="46" t="b">
        <f t="shared" si="6"/>
        <v>1</v>
      </c>
      <c r="U22" s="46" t="b">
        <f t="shared" si="7"/>
        <v>0</v>
      </c>
    </row>
    <row r="23" s="63" customFormat="1" customHeight="1" outlineLevel="1" spans="1:21">
      <c r="A23" s="32">
        <v>14</v>
      </c>
      <c r="B23" s="32" t="s">
        <v>94</v>
      </c>
      <c r="C23" s="32" t="s">
        <v>95</v>
      </c>
      <c r="D23" s="32" t="s">
        <v>96</v>
      </c>
      <c r="E23" s="32">
        <v>12</v>
      </c>
      <c r="F23" s="66">
        <v>10</v>
      </c>
      <c r="G23" s="48">
        <f t="shared" si="11"/>
        <v>30.3</v>
      </c>
      <c r="H23" s="66">
        <v>30</v>
      </c>
      <c r="I23" s="49">
        <v>0.01</v>
      </c>
      <c r="J23" s="48">
        <v>1</v>
      </c>
      <c r="K23" s="48">
        <f>(F23+G23+J23)*$K$5</f>
        <v>2.478</v>
      </c>
      <c r="L23" s="48">
        <f>(F23+G23+J23+K23)*$L$5</f>
        <v>1.31334</v>
      </c>
      <c r="M23" s="48">
        <f t="shared" si="13"/>
        <v>67.63701</v>
      </c>
      <c r="N23" s="48"/>
      <c r="O23" s="48">
        <f t="shared" si="12"/>
        <v>811.64412</v>
      </c>
      <c r="P23" s="69"/>
      <c r="Q23" s="72"/>
      <c r="R23" s="46">
        <f t="shared" si="4"/>
        <v>811.64412</v>
      </c>
      <c r="S23" s="46">
        <f t="shared" si="5"/>
        <v>45.09134</v>
      </c>
      <c r="T23" s="46" t="b">
        <f t="shared" si="6"/>
        <v>1</v>
      </c>
      <c r="U23" s="46" t="b">
        <f t="shared" si="7"/>
        <v>0</v>
      </c>
    </row>
    <row r="24" s="63" customFormat="1" customHeight="1" outlineLevel="1" spans="1:21">
      <c r="A24" s="32">
        <v>15</v>
      </c>
      <c r="B24" s="32" t="s">
        <v>97</v>
      </c>
      <c r="C24" s="32" t="s">
        <v>98</v>
      </c>
      <c r="D24" s="32" t="s">
        <v>99</v>
      </c>
      <c r="E24" s="32">
        <v>2</v>
      </c>
      <c r="F24" s="66">
        <f>+(0.95+1.35)*2.5*150/2</f>
        <v>431.25</v>
      </c>
      <c r="G24" s="48">
        <f t="shared" si="11"/>
        <v>1597.0625</v>
      </c>
      <c r="H24" s="66">
        <f>+(0.95+1.35)*2.5*550/2</f>
        <v>1581.25</v>
      </c>
      <c r="I24" s="49">
        <v>0.01</v>
      </c>
      <c r="J24" s="48">
        <v>550</v>
      </c>
      <c r="K24" s="48">
        <f>(F24+G24+J24)*$K$5</f>
        <v>154.69875</v>
      </c>
      <c r="L24" s="48">
        <f>(F24+G24+J24+K24)*$L$5</f>
        <v>81.9903375</v>
      </c>
      <c r="M24" s="48">
        <f t="shared" si="13"/>
        <v>4222.50238125</v>
      </c>
      <c r="N24" s="48"/>
      <c r="O24" s="48">
        <f t="shared" si="12"/>
        <v>8445.0047625</v>
      </c>
      <c r="P24" s="69"/>
      <c r="Q24" s="72"/>
      <c r="R24" s="46">
        <f t="shared" si="4"/>
        <v>8445.0047625</v>
      </c>
      <c r="S24" s="46">
        <f t="shared" si="5"/>
        <v>2815.0015875</v>
      </c>
      <c r="T24" s="46" t="b">
        <f t="shared" si="6"/>
        <v>1</v>
      </c>
      <c r="U24" s="46" t="b">
        <f t="shared" si="7"/>
        <v>0</v>
      </c>
    </row>
    <row r="25" s="63" customFormat="1" customHeight="1" outlineLevel="1" spans="1:21">
      <c r="A25" s="32">
        <v>16</v>
      </c>
      <c r="B25" s="32" t="s">
        <v>100</v>
      </c>
      <c r="C25" s="32" t="s">
        <v>101</v>
      </c>
      <c r="D25" s="32" t="s">
        <v>102</v>
      </c>
      <c r="E25" s="32">
        <v>23.15</v>
      </c>
      <c r="F25" s="66">
        <v>115</v>
      </c>
      <c r="G25" s="48">
        <f t="shared" si="11"/>
        <v>237.35</v>
      </c>
      <c r="H25" s="66">
        <v>235</v>
      </c>
      <c r="I25" s="49">
        <v>0.01</v>
      </c>
      <c r="J25" s="48">
        <v>150</v>
      </c>
      <c r="K25" s="48">
        <f>(F25+G25+J25)*$K$5</f>
        <v>30.141</v>
      </c>
      <c r="L25" s="48">
        <f>(F25+G25+J25+K25)*$L$5</f>
        <v>15.97473</v>
      </c>
      <c r="M25" s="48">
        <f t="shared" si="13"/>
        <v>822.698595</v>
      </c>
      <c r="N25" s="48"/>
      <c r="O25" s="48">
        <f t="shared" si="12"/>
        <v>19045.47247425</v>
      </c>
      <c r="P25" s="69"/>
      <c r="Q25" s="72"/>
      <c r="R25" s="46">
        <f t="shared" si="4"/>
        <v>19045.47247425</v>
      </c>
      <c r="S25" s="46">
        <f t="shared" si="5"/>
        <v>548.46573</v>
      </c>
      <c r="T25" s="46" t="b">
        <f t="shared" si="6"/>
        <v>1</v>
      </c>
      <c r="U25" s="46" t="b">
        <f t="shared" si="7"/>
        <v>0</v>
      </c>
    </row>
    <row r="26" s="63" customFormat="1" customHeight="1" spans="1:21">
      <c r="A26" s="32"/>
      <c r="B26" s="32" t="s">
        <v>103</v>
      </c>
      <c r="C26" s="32"/>
      <c r="D26" s="32"/>
      <c r="E26" s="32"/>
      <c r="F26" s="66"/>
      <c r="G26" s="48"/>
      <c r="H26" s="66"/>
      <c r="I26" s="49"/>
      <c r="J26" s="48"/>
      <c r="K26" s="48"/>
      <c r="L26" s="48"/>
      <c r="M26" s="48"/>
      <c r="N26" s="48"/>
      <c r="O26" s="48"/>
      <c r="P26" s="69"/>
      <c r="Q26" s="72"/>
      <c r="R26" s="46">
        <f t="shared" si="4"/>
        <v>0</v>
      </c>
      <c r="S26" s="46">
        <f t="shared" si="5"/>
        <v>0</v>
      </c>
      <c r="T26" s="46" t="b">
        <f t="shared" si="6"/>
        <v>1</v>
      </c>
      <c r="U26" s="46" t="b">
        <f t="shared" si="7"/>
        <v>1</v>
      </c>
    </row>
    <row r="27" s="63" customFormat="1" customHeight="1" outlineLevel="1" spans="1:21">
      <c r="A27" s="32">
        <v>17</v>
      </c>
      <c r="B27" s="32" t="s">
        <v>97</v>
      </c>
      <c r="C27" s="32" t="s">
        <v>98</v>
      </c>
      <c r="D27" s="32" t="s">
        <v>99</v>
      </c>
      <c r="E27" s="32">
        <v>2</v>
      </c>
      <c r="F27" s="66">
        <f>+(0.97+1.8)*2.5*150/2</f>
        <v>519.375</v>
      </c>
      <c r="G27" s="48">
        <f t="shared" ref="G27:G33" si="15">H27*(1+I27)</f>
        <v>1853.47625</v>
      </c>
      <c r="H27" s="66">
        <f>+(0.97+1.8)*2.5*530/2</f>
        <v>1835.125</v>
      </c>
      <c r="I27" s="49">
        <v>0.01</v>
      </c>
      <c r="J27" s="48">
        <f>J24</f>
        <v>550</v>
      </c>
      <c r="K27" s="48">
        <f>(F27+G27+J27)*$K$5</f>
        <v>175.371075</v>
      </c>
      <c r="L27" s="48">
        <f>(F27+G27+J27+K27)*$L$5</f>
        <v>92.94666975</v>
      </c>
      <c r="M27" s="48">
        <f>(F27+G27+J27+K27+L27)*1.5</f>
        <v>4786.753492125</v>
      </c>
      <c r="N27" s="48"/>
      <c r="O27" s="48">
        <f t="shared" ref="O27:O33" si="16">M27*E27</f>
        <v>9573.50698425</v>
      </c>
      <c r="P27" s="69"/>
      <c r="Q27" s="72"/>
      <c r="R27" s="46">
        <f t="shared" si="4"/>
        <v>9573.50698425</v>
      </c>
      <c r="S27" s="46">
        <f t="shared" si="5"/>
        <v>3191.16899475</v>
      </c>
      <c r="T27" s="46" t="b">
        <f t="shared" si="6"/>
        <v>1</v>
      </c>
      <c r="U27" s="46" t="b">
        <f t="shared" si="7"/>
        <v>0</v>
      </c>
    </row>
    <row r="28" s="63" customFormat="1" customHeight="1" outlineLevel="1" spans="1:21">
      <c r="A28" s="32">
        <v>18</v>
      </c>
      <c r="B28" s="32" t="s">
        <v>104</v>
      </c>
      <c r="C28" s="32" t="s">
        <v>105</v>
      </c>
      <c r="D28" s="32" t="s">
        <v>67</v>
      </c>
      <c r="E28" s="32">
        <v>9.21</v>
      </c>
      <c r="F28" s="66">
        <v>150</v>
      </c>
      <c r="G28" s="48">
        <f t="shared" si="15"/>
        <v>441</v>
      </c>
      <c r="H28" s="66">
        <v>420</v>
      </c>
      <c r="I28" s="49">
        <v>0.05</v>
      </c>
      <c r="J28" s="48">
        <v>75</v>
      </c>
      <c r="K28" s="48">
        <f>(F28+G28+J28)*$K$5</f>
        <v>39.96</v>
      </c>
      <c r="L28" s="48">
        <f>(F28+G28+J28+K28)*$L$5</f>
        <v>21.1788</v>
      </c>
      <c r="M28" s="48">
        <f t="shared" ref="M28:M33" si="17">(F28+G28+J28+K28+L28)*1.5</f>
        <v>1090.7082</v>
      </c>
      <c r="N28" s="48"/>
      <c r="O28" s="48">
        <f t="shared" si="16"/>
        <v>10045.422522</v>
      </c>
      <c r="P28" s="69"/>
      <c r="Q28" s="72"/>
      <c r="R28" s="46">
        <f t="shared" si="4"/>
        <v>10045.422522</v>
      </c>
      <c r="S28" s="46">
        <f t="shared" si="5"/>
        <v>727.1388</v>
      </c>
      <c r="T28" s="46" t="b">
        <f t="shared" si="6"/>
        <v>1</v>
      </c>
      <c r="U28" s="46" t="b">
        <f t="shared" si="7"/>
        <v>0</v>
      </c>
    </row>
    <row r="29" s="63" customFormat="1" customHeight="1" outlineLevel="1" spans="1:21">
      <c r="A29" s="32">
        <v>19</v>
      </c>
      <c r="B29" s="32" t="s">
        <v>86</v>
      </c>
      <c r="C29" s="32" t="s">
        <v>106</v>
      </c>
      <c r="D29" s="32" t="s">
        <v>67</v>
      </c>
      <c r="E29" s="32">
        <v>23.25</v>
      </c>
      <c r="F29" s="66">
        <f>F18</f>
        <v>190</v>
      </c>
      <c r="G29" s="48">
        <f t="shared" si="15"/>
        <v>315</v>
      </c>
      <c r="H29" s="66">
        <f t="shared" ref="F29:J29" si="18">H18</f>
        <v>300</v>
      </c>
      <c r="I29" s="49">
        <f t="shared" si="18"/>
        <v>0.05</v>
      </c>
      <c r="J29" s="48">
        <f t="shared" si="18"/>
        <v>150</v>
      </c>
      <c r="K29" s="48">
        <f>(F29+G29+J29)*$K$5</f>
        <v>39.3</v>
      </c>
      <c r="L29" s="48">
        <f>(F29+G29+J29+K29)*$L$5</f>
        <v>20.829</v>
      </c>
      <c r="M29" s="48">
        <f t="shared" si="17"/>
        <v>1072.6935</v>
      </c>
      <c r="N29" s="48"/>
      <c r="O29" s="48">
        <f t="shared" si="16"/>
        <v>24940.123875</v>
      </c>
      <c r="P29" s="69" t="str">
        <f>P21</f>
        <v>厂家定制</v>
      </c>
      <c r="Q29" s="72"/>
      <c r="R29" s="46">
        <f t="shared" si="4"/>
        <v>24940.123875</v>
      </c>
      <c r="S29" s="46">
        <f t="shared" si="5"/>
        <v>715.129</v>
      </c>
      <c r="T29" s="46" t="b">
        <f t="shared" si="6"/>
        <v>1</v>
      </c>
      <c r="U29" s="46" t="b">
        <f t="shared" si="7"/>
        <v>0</v>
      </c>
    </row>
    <row r="30" s="63" customFormat="1" customHeight="1" outlineLevel="1" spans="1:21">
      <c r="A30" s="32">
        <v>20</v>
      </c>
      <c r="B30" s="32" t="s">
        <v>86</v>
      </c>
      <c r="C30" s="32" t="s">
        <v>107</v>
      </c>
      <c r="D30" s="32" t="s">
        <v>67</v>
      </c>
      <c r="E30" s="32">
        <v>14.5</v>
      </c>
      <c r="F30" s="66">
        <f t="shared" ref="F30:J30" si="19">F19</f>
        <v>190</v>
      </c>
      <c r="G30" s="48">
        <f t="shared" si="15"/>
        <v>315</v>
      </c>
      <c r="H30" s="66">
        <f t="shared" si="19"/>
        <v>300</v>
      </c>
      <c r="I30" s="49">
        <f t="shared" si="19"/>
        <v>0.05</v>
      </c>
      <c r="J30" s="48">
        <f t="shared" si="19"/>
        <v>150</v>
      </c>
      <c r="K30" s="48">
        <f>(F30+G30+J30)*$K$5</f>
        <v>39.3</v>
      </c>
      <c r="L30" s="48">
        <f>(F30+G30+J30+K30)*$L$5</f>
        <v>20.829</v>
      </c>
      <c r="M30" s="48">
        <f t="shared" si="17"/>
        <v>1072.6935</v>
      </c>
      <c r="N30" s="48"/>
      <c r="O30" s="48">
        <f t="shared" si="16"/>
        <v>15554.05575</v>
      </c>
      <c r="P30" s="69" t="str">
        <f>P29</f>
        <v>厂家定制</v>
      </c>
      <c r="Q30" s="72"/>
      <c r="R30" s="46">
        <f t="shared" si="4"/>
        <v>15554.05575</v>
      </c>
      <c r="S30" s="46">
        <f t="shared" si="5"/>
        <v>715.129</v>
      </c>
      <c r="T30" s="46" t="b">
        <f t="shared" si="6"/>
        <v>1</v>
      </c>
      <c r="U30" s="46" t="b">
        <f t="shared" si="7"/>
        <v>0</v>
      </c>
    </row>
    <row r="31" s="63" customFormat="1" customHeight="1" outlineLevel="1" spans="1:21">
      <c r="A31" s="32">
        <v>21</v>
      </c>
      <c r="B31" s="32" t="s">
        <v>86</v>
      </c>
      <c r="C31" s="32" t="s">
        <v>108</v>
      </c>
      <c r="D31" s="32" t="s">
        <v>67</v>
      </c>
      <c r="E31" s="32">
        <v>11.63</v>
      </c>
      <c r="F31" s="66">
        <f t="shared" ref="F31:J31" si="20">F29</f>
        <v>190</v>
      </c>
      <c r="G31" s="48">
        <f t="shared" si="15"/>
        <v>315</v>
      </c>
      <c r="H31" s="66">
        <f t="shared" si="20"/>
        <v>300</v>
      </c>
      <c r="I31" s="49">
        <f t="shared" si="20"/>
        <v>0.05</v>
      </c>
      <c r="J31" s="48">
        <f t="shared" si="20"/>
        <v>150</v>
      </c>
      <c r="K31" s="48">
        <f>(F31+G31+J31)*$K$5</f>
        <v>39.3</v>
      </c>
      <c r="L31" s="48">
        <f>(F31+G31+J31+K31)*$L$5</f>
        <v>20.829</v>
      </c>
      <c r="M31" s="48">
        <f t="shared" si="17"/>
        <v>1072.6935</v>
      </c>
      <c r="N31" s="48"/>
      <c r="O31" s="48">
        <f t="shared" si="16"/>
        <v>12475.425405</v>
      </c>
      <c r="P31" s="69" t="str">
        <f>P29</f>
        <v>厂家定制</v>
      </c>
      <c r="Q31" s="72"/>
      <c r="R31" s="46">
        <f t="shared" si="4"/>
        <v>12475.425405</v>
      </c>
      <c r="S31" s="46">
        <f t="shared" si="5"/>
        <v>715.129</v>
      </c>
      <c r="T31" s="46" t="b">
        <f t="shared" si="6"/>
        <v>1</v>
      </c>
      <c r="U31" s="46" t="b">
        <f t="shared" si="7"/>
        <v>0</v>
      </c>
    </row>
    <row r="32" s="63" customFormat="1" customHeight="1" outlineLevel="1" spans="1:21">
      <c r="A32" s="32">
        <v>22</v>
      </c>
      <c r="B32" s="32" t="s">
        <v>92</v>
      </c>
      <c r="C32" s="32" t="s">
        <v>93</v>
      </c>
      <c r="D32" s="32" t="s">
        <v>67</v>
      </c>
      <c r="E32" s="32">
        <v>2.26</v>
      </c>
      <c r="F32" s="66">
        <f t="shared" ref="F32:J32" si="21">F22</f>
        <v>150</v>
      </c>
      <c r="G32" s="48">
        <f t="shared" si="15"/>
        <v>462</v>
      </c>
      <c r="H32" s="66">
        <f t="shared" si="21"/>
        <v>420</v>
      </c>
      <c r="I32" s="49">
        <f t="shared" si="21"/>
        <v>0.1</v>
      </c>
      <c r="J32" s="48">
        <f t="shared" si="21"/>
        <v>155</v>
      </c>
      <c r="K32" s="48">
        <f>(F32+G32+J32)*$K$5</f>
        <v>46.02</v>
      </c>
      <c r="L32" s="48">
        <f>(F32+G32+J32+K32)*$L$5</f>
        <v>24.3906</v>
      </c>
      <c r="M32" s="48">
        <f t="shared" si="17"/>
        <v>1256.1159</v>
      </c>
      <c r="N32" s="48"/>
      <c r="O32" s="48">
        <f t="shared" si="16"/>
        <v>2838.821934</v>
      </c>
      <c r="P32" s="69"/>
      <c r="Q32" s="72"/>
      <c r="R32" s="46">
        <f t="shared" si="4"/>
        <v>2838.821934</v>
      </c>
      <c r="S32" s="46">
        <f t="shared" si="5"/>
        <v>837.4106</v>
      </c>
      <c r="T32" s="46" t="b">
        <f t="shared" si="6"/>
        <v>1</v>
      </c>
      <c r="U32" s="46" t="b">
        <f t="shared" si="7"/>
        <v>0</v>
      </c>
    </row>
    <row r="33" s="63" customFormat="1" customHeight="1" outlineLevel="1" spans="1:21">
      <c r="A33" s="32">
        <v>23</v>
      </c>
      <c r="B33" s="32" t="s">
        <v>86</v>
      </c>
      <c r="C33" s="32" t="s">
        <v>91</v>
      </c>
      <c r="D33" s="32" t="s">
        <v>67</v>
      </c>
      <c r="E33" s="32">
        <v>10.61</v>
      </c>
      <c r="F33" s="66">
        <f>F21</f>
        <v>165</v>
      </c>
      <c r="G33" s="48">
        <f t="shared" si="15"/>
        <v>315</v>
      </c>
      <c r="H33" s="66">
        <f t="shared" ref="F33:J33" si="22">H21</f>
        <v>300</v>
      </c>
      <c r="I33" s="49">
        <f t="shared" si="22"/>
        <v>0.05</v>
      </c>
      <c r="J33" s="48">
        <f t="shared" si="22"/>
        <v>120</v>
      </c>
      <c r="K33" s="48">
        <f>(F33+G33+J33)*$K$5</f>
        <v>36</v>
      </c>
      <c r="L33" s="48">
        <f>(F33+G33+J33+K33)*$L$5</f>
        <v>19.08</v>
      </c>
      <c r="M33" s="48">
        <f t="shared" si="17"/>
        <v>982.62</v>
      </c>
      <c r="N33" s="48"/>
      <c r="O33" s="48">
        <f t="shared" si="16"/>
        <v>10425.5982</v>
      </c>
      <c r="P33" s="69" t="str">
        <f>P29</f>
        <v>厂家定制</v>
      </c>
      <c r="Q33" s="72"/>
      <c r="R33" s="46">
        <f t="shared" si="4"/>
        <v>10425.5982</v>
      </c>
      <c r="S33" s="46">
        <f t="shared" si="5"/>
        <v>655.08</v>
      </c>
      <c r="T33" s="46" t="b">
        <f t="shared" si="6"/>
        <v>1</v>
      </c>
      <c r="U33" s="46" t="b">
        <f t="shared" si="7"/>
        <v>0</v>
      </c>
    </row>
    <row r="34" s="63" customFormat="1" customHeight="1" spans="1:21">
      <c r="A34" s="32"/>
      <c r="B34" s="32" t="s">
        <v>109</v>
      </c>
      <c r="C34" s="32"/>
      <c r="D34" s="32"/>
      <c r="E34" s="32"/>
      <c r="F34" s="66"/>
      <c r="G34" s="48"/>
      <c r="H34" s="66"/>
      <c r="I34" s="49"/>
      <c r="J34" s="48"/>
      <c r="K34" s="48"/>
      <c r="L34" s="48"/>
      <c r="M34" s="48"/>
      <c r="N34" s="48"/>
      <c r="O34" s="48"/>
      <c r="P34" s="69"/>
      <c r="Q34" s="72"/>
      <c r="R34" s="46">
        <f t="shared" si="4"/>
        <v>0</v>
      </c>
      <c r="S34" s="46">
        <f t="shared" si="5"/>
        <v>0</v>
      </c>
      <c r="T34" s="46" t="b">
        <f t="shared" si="6"/>
        <v>1</v>
      </c>
      <c r="U34" s="46" t="b">
        <f t="shared" si="7"/>
        <v>1</v>
      </c>
    </row>
    <row r="35" s="63" customFormat="1" customHeight="1" outlineLevel="1" spans="1:21">
      <c r="A35" s="32">
        <v>24</v>
      </c>
      <c r="B35" s="32" t="s">
        <v>104</v>
      </c>
      <c r="C35" s="32" t="s">
        <v>110</v>
      </c>
      <c r="D35" s="32" t="s">
        <v>67</v>
      </c>
      <c r="E35" s="32">
        <v>25.86</v>
      </c>
      <c r="F35" s="66">
        <f t="shared" ref="F35:J35" si="23">F28</f>
        <v>150</v>
      </c>
      <c r="G35" s="48">
        <f t="shared" ref="G35:G37" si="24">H35*(1+I35)</f>
        <v>441</v>
      </c>
      <c r="H35" s="66">
        <f t="shared" si="23"/>
        <v>420</v>
      </c>
      <c r="I35" s="49">
        <f t="shared" si="23"/>
        <v>0.05</v>
      </c>
      <c r="J35" s="48">
        <f t="shared" si="23"/>
        <v>75</v>
      </c>
      <c r="K35" s="48">
        <f>(F35+G35+J35)*$K$5</f>
        <v>39.96</v>
      </c>
      <c r="L35" s="48">
        <f>(F35+G35+J35+K35)*$L$5</f>
        <v>21.1788</v>
      </c>
      <c r="M35" s="48">
        <f t="shared" ref="M35:M39" si="25">(F35+G35+J35+K35+L35)*1.5</f>
        <v>1090.7082</v>
      </c>
      <c r="N35" s="48"/>
      <c r="O35" s="48">
        <f t="shared" ref="O35:O37" si="26">M35*E35</f>
        <v>28205.714052</v>
      </c>
      <c r="P35" s="69"/>
      <c r="Q35" s="72"/>
      <c r="R35" s="46">
        <f t="shared" si="4"/>
        <v>28205.714052</v>
      </c>
      <c r="S35" s="46">
        <f t="shared" si="5"/>
        <v>727.1388</v>
      </c>
      <c r="T35" s="46" t="b">
        <f t="shared" si="6"/>
        <v>1</v>
      </c>
      <c r="U35" s="46" t="b">
        <f t="shared" si="7"/>
        <v>0</v>
      </c>
    </row>
    <row r="36" s="63" customFormat="1" customHeight="1" outlineLevel="1" spans="1:21">
      <c r="A36" s="32">
        <v>25</v>
      </c>
      <c r="B36" s="32" t="s">
        <v>86</v>
      </c>
      <c r="C36" s="32" t="s">
        <v>111</v>
      </c>
      <c r="D36" s="32" t="s">
        <v>67</v>
      </c>
      <c r="E36" s="32">
        <v>23.25</v>
      </c>
      <c r="F36" s="66">
        <f t="shared" ref="F36:J36" si="27">F29</f>
        <v>190</v>
      </c>
      <c r="G36" s="48">
        <f t="shared" si="24"/>
        <v>315</v>
      </c>
      <c r="H36" s="66">
        <f t="shared" si="27"/>
        <v>300</v>
      </c>
      <c r="I36" s="49">
        <f t="shared" si="27"/>
        <v>0.05</v>
      </c>
      <c r="J36" s="48">
        <f t="shared" si="27"/>
        <v>150</v>
      </c>
      <c r="K36" s="48">
        <f>(F36+G36+J36)*$K$5</f>
        <v>39.3</v>
      </c>
      <c r="L36" s="48">
        <f>(F36+G36+J36+K36)*$L$5</f>
        <v>20.829</v>
      </c>
      <c r="M36" s="48">
        <f t="shared" si="25"/>
        <v>1072.6935</v>
      </c>
      <c r="N36" s="48"/>
      <c r="O36" s="48">
        <f t="shared" si="26"/>
        <v>24940.123875</v>
      </c>
      <c r="P36" s="69" t="str">
        <f>P29</f>
        <v>厂家定制</v>
      </c>
      <c r="Q36" s="72"/>
      <c r="R36" s="46">
        <f t="shared" si="4"/>
        <v>24940.123875</v>
      </c>
      <c r="S36" s="46">
        <f t="shared" si="5"/>
        <v>715.129</v>
      </c>
      <c r="T36" s="46" t="b">
        <f t="shared" si="6"/>
        <v>1</v>
      </c>
      <c r="U36" s="46" t="b">
        <f t="shared" si="7"/>
        <v>0</v>
      </c>
    </row>
    <row r="37" s="63" customFormat="1" customHeight="1" outlineLevel="1" spans="1:21">
      <c r="A37" s="32">
        <v>26</v>
      </c>
      <c r="B37" s="32" t="s">
        <v>92</v>
      </c>
      <c r="C37" s="32" t="s">
        <v>112</v>
      </c>
      <c r="D37" s="32" t="s">
        <v>67</v>
      </c>
      <c r="E37" s="32">
        <v>0.91</v>
      </c>
      <c r="F37" s="66">
        <f t="shared" ref="F37:J37" si="28">F32</f>
        <v>150</v>
      </c>
      <c r="G37" s="48">
        <f t="shared" si="24"/>
        <v>462</v>
      </c>
      <c r="H37" s="66">
        <f t="shared" si="28"/>
        <v>420</v>
      </c>
      <c r="I37" s="49">
        <f t="shared" si="28"/>
        <v>0.1</v>
      </c>
      <c r="J37" s="48">
        <f t="shared" si="28"/>
        <v>155</v>
      </c>
      <c r="K37" s="48">
        <f>(F37+G37+J37)*$K$5</f>
        <v>46.02</v>
      </c>
      <c r="L37" s="48">
        <f>(F37+G37+J37+K37)*$L$5</f>
        <v>24.3906</v>
      </c>
      <c r="M37" s="48">
        <f t="shared" si="25"/>
        <v>1256.1159</v>
      </c>
      <c r="N37" s="48"/>
      <c r="O37" s="48">
        <f t="shared" si="26"/>
        <v>1143.065469</v>
      </c>
      <c r="P37" s="69"/>
      <c r="Q37" s="72"/>
      <c r="R37" s="46">
        <f t="shared" si="4"/>
        <v>1143.065469</v>
      </c>
      <c r="S37" s="46">
        <f t="shared" si="5"/>
        <v>837.4106</v>
      </c>
      <c r="T37" s="46" t="b">
        <f t="shared" si="6"/>
        <v>1</v>
      </c>
      <c r="U37" s="46" t="b">
        <f t="shared" si="7"/>
        <v>0</v>
      </c>
    </row>
    <row r="38" s="63" customFormat="1" customHeight="1" spans="1:21">
      <c r="A38" s="32"/>
      <c r="B38" s="32" t="s">
        <v>113</v>
      </c>
      <c r="C38" s="32"/>
      <c r="D38" s="32"/>
      <c r="E38" s="32"/>
      <c r="F38" s="66"/>
      <c r="G38" s="48"/>
      <c r="H38" s="66"/>
      <c r="I38" s="49"/>
      <c r="J38" s="48"/>
      <c r="K38" s="48"/>
      <c r="L38" s="48"/>
      <c r="M38" s="48"/>
      <c r="N38" s="48"/>
      <c r="O38" s="48"/>
      <c r="P38" s="69"/>
      <c r="Q38" s="72"/>
      <c r="R38" s="46">
        <f t="shared" si="4"/>
        <v>0</v>
      </c>
      <c r="S38" s="46">
        <f t="shared" si="5"/>
        <v>0</v>
      </c>
      <c r="T38" s="46" t="b">
        <f t="shared" si="6"/>
        <v>1</v>
      </c>
      <c r="U38" s="46" t="b">
        <f t="shared" si="7"/>
        <v>1</v>
      </c>
    </row>
    <row r="39" s="63" customFormat="1" customHeight="1" outlineLevel="1" spans="1:21">
      <c r="A39" s="32">
        <v>27</v>
      </c>
      <c r="B39" s="32" t="s">
        <v>86</v>
      </c>
      <c r="C39" s="32" t="s">
        <v>114</v>
      </c>
      <c r="D39" s="32" t="s">
        <v>67</v>
      </c>
      <c r="E39" s="32">
        <v>28.99</v>
      </c>
      <c r="F39" s="66">
        <f t="shared" ref="F39:J39" si="29">F30</f>
        <v>190</v>
      </c>
      <c r="G39" s="48">
        <f t="shared" ref="G39:G42" si="30">H39*(1+I39)</f>
        <v>315</v>
      </c>
      <c r="H39" s="66">
        <f t="shared" si="29"/>
        <v>300</v>
      </c>
      <c r="I39" s="49">
        <f t="shared" si="29"/>
        <v>0.05</v>
      </c>
      <c r="J39" s="48">
        <f t="shared" si="29"/>
        <v>150</v>
      </c>
      <c r="K39" s="48">
        <f>(F39+G39+J39)*$K$5</f>
        <v>39.3</v>
      </c>
      <c r="L39" s="48">
        <f>(F39+G39+J39+K39)*$L$5</f>
        <v>20.829</v>
      </c>
      <c r="M39" s="48">
        <f t="shared" si="25"/>
        <v>1072.6935</v>
      </c>
      <c r="N39" s="48"/>
      <c r="O39" s="48">
        <f t="shared" ref="O39:O42" si="31">M39*E39</f>
        <v>31097.384565</v>
      </c>
      <c r="P39" s="69" t="str">
        <f>P36</f>
        <v>厂家定制</v>
      </c>
      <c r="Q39" s="72"/>
      <c r="R39" s="46">
        <f t="shared" si="4"/>
        <v>31097.384565</v>
      </c>
      <c r="S39" s="46">
        <f t="shared" si="5"/>
        <v>715.129</v>
      </c>
      <c r="T39" s="46" t="b">
        <f t="shared" si="6"/>
        <v>1</v>
      </c>
      <c r="U39" s="46" t="b">
        <f t="shared" si="7"/>
        <v>0</v>
      </c>
    </row>
    <row r="40" s="63" customFormat="1" customHeight="1" outlineLevel="1" spans="1:21">
      <c r="A40" s="32">
        <v>28</v>
      </c>
      <c r="B40" s="32" t="s">
        <v>92</v>
      </c>
      <c r="C40" s="32" t="s">
        <v>93</v>
      </c>
      <c r="D40" s="32" t="s">
        <v>67</v>
      </c>
      <c r="E40" s="32">
        <v>1.13</v>
      </c>
      <c r="F40" s="66">
        <f t="shared" ref="F40:J40" si="32">F32</f>
        <v>150</v>
      </c>
      <c r="G40" s="48">
        <f t="shared" si="30"/>
        <v>462</v>
      </c>
      <c r="H40" s="66">
        <f t="shared" si="32"/>
        <v>420</v>
      </c>
      <c r="I40" s="49">
        <f t="shared" si="32"/>
        <v>0.1</v>
      </c>
      <c r="J40" s="48">
        <f t="shared" si="32"/>
        <v>155</v>
      </c>
      <c r="K40" s="48">
        <f>(F40+G40+J40)*$K$5</f>
        <v>46.02</v>
      </c>
      <c r="L40" s="48">
        <f>(F40+G40+J40+K40)*$L$5</f>
        <v>24.3906</v>
      </c>
      <c r="M40" s="48">
        <f t="shared" ref="M40:M44" si="33">(F40+G40+J40+K40+L40)*1.5</f>
        <v>1256.1159</v>
      </c>
      <c r="N40" s="48"/>
      <c r="O40" s="48">
        <f t="shared" si="31"/>
        <v>1419.410967</v>
      </c>
      <c r="P40" s="69"/>
      <c r="Q40" s="72"/>
      <c r="R40" s="46">
        <f t="shared" si="4"/>
        <v>1419.410967</v>
      </c>
      <c r="S40" s="46">
        <f t="shared" si="5"/>
        <v>837.4106</v>
      </c>
      <c r="T40" s="46" t="b">
        <f t="shared" si="6"/>
        <v>1</v>
      </c>
      <c r="U40" s="46" t="b">
        <f t="shared" si="7"/>
        <v>0</v>
      </c>
    </row>
    <row r="41" s="63" customFormat="1" customHeight="1" outlineLevel="1" spans="1:21">
      <c r="A41" s="32">
        <v>29</v>
      </c>
      <c r="B41" s="32" t="s">
        <v>104</v>
      </c>
      <c r="C41" s="32" t="s">
        <v>115</v>
      </c>
      <c r="D41" s="32" t="s">
        <v>67</v>
      </c>
      <c r="E41" s="32">
        <v>14.35</v>
      </c>
      <c r="F41" s="66">
        <f t="shared" ref="F41:J41" si="34">F28</f>
        <v>150</v>
      </c>
      <c r="G41" s="48">
        <f t="shared" si="30"/>
        <v>472.5</v>
      </c>
      <c r="H41" s="66">
        <v>450</v>
      </c>
      <c r="I41" s="49">
        <f t="shared" si="34"/>
        <v>0.05</v>
      </c>
      <c r="J41" s="48">
        <f t="shared" si="34"/>
        <v>75</v>
      </c>
      <c r="K41" s="48">
        <f>(F41+G41+J41)*$K$5</f>
        <v>41.85</v>
      </c>
      <c r="L41" s="48">
        <f>(F41+G41+J41+K41)*$L$5</f>
        <v>22.1805</v>
      </c>
      <c r="M41" s="48">
        <f t="shared" si="33"/>
        <v>1142.29575</v>
      </c>
      <c r="N41" s="48"/>
      <c r="O41" s="48">
        <f t="shared" si="31"/>
        <v>16391.9440125</v>
      </c>
      <c r="P41" s="69"/>
      <c r="Q41" s="72"/>
      <c r="R41" s="46">
        <f t="shared" si="4"/>
        <v>16391.9440125</v>
      </c>
      <c r="S41" s="46">
        <f t="shared" si="5"/>
        <v>761.5305</v>
      </c>
      <c r="T41" s="46" t="b">
        <f t="shared" si="6"/>
        <v>1</v>
      </c>
      <c r="U41" s="46" t="b">
        <f t="shared" si="7"/>
        <v>0</v>
      </c>
    </row>
    <row r="42" s="63" customFormat="1" customHeight="1" outlineLevel="1" spans="1:21">
      <c r="A42" s="32">
        <v>30</v>
      </c>
      <c r="B42" s="32" t="s">
        <v>116</v>
      </c>
      <c r="C42" s="32" t="s">
        <v>117</v>
      </c>
      <c r="D42" s="32" t="s">
        <v>67</v>
      </c>
      <c r="E42" s="32">
        <v>42.2</v>
      </c>
      <c r="F42" s="66">
        <v>35</v>
      </c>
      <c r="G42" s="67">
        <f t="shared" si="30"/>
        <v>126</v>
      </c>
      <c r="H42" s="68">
        <v>120</v>
      </c>
      <c r="I42" s="54">
        <v>0.05</v>
      </c>
      <c r="J42" s="67">
        <v>220</v>
      </c>
      <c r="K42" s="67">
        <f>(F42+G42+J42)*$K$5</f>
        <v>22.86</v>
      </c>
      <c r="L42" s="67">
        <f>(F42+G42+J42+K42)*$L$5</f>
        <v>12.1158</v>
      </c>
      <c r="M42" s="48">
        <f t="shared" si="33"/>
        <v>623.9637</v>
      </c>
      <c r="N42" s="48"/>
      <c r="O42" s="67">
        <f t="shared" si="31"/>
        <v>26331.26814</v>
      </c>
      <c r="P42" s="69"/>
      <c r="Q42" s="72"/>
      <c r="R42" s="46">
        <f t="shared" si="4"/>
        <v>26331.26814</v>
      </c>
      <c r="S42" s="46">
        <f t="shared" si="5"/>
        <v>415.9758</v>
      </c>
      <c r="T42" s="46" t="b">
        <f t="shared" si="6"/>
        <v>1</v>
      </c>
      <c r="U42" s="46" t="b">
        <f t="shared" si="7"/>
        <v>0</v>
      </c>
    </row>
    <row r="43" s="63" customFormat="1" customHeight="1" spans="1:21">
      <c r="A43" s="32"/>
      <c r="B43" s="32" t="s">
        <v>118</v>
      </c>
      <c r="C43" s="32"/>
      <c r="D43" s="32"/>
      <c r="E43" s="32"/>
      <c r="F43" s="66"/>
      <c r="G43" s="48"/>
      <c r="H43" s="66"/>
      <c r="I43" s="49"/>
      <c r="J43" s="48"/>
      <c r="K43" s="48"/>
      <c r="L43" s="48"/>
      <c r="M43" s="48"/>
      <c r="N43" s="48"/>
      <c r="O43" s="48"/>
      <c r="P43" s="69"/>
      <c r="Q43" s="72"/>
      <c r="R43" s="46">
        <f t="shared" si="4"/>
        <v>0</v>
      </c>
      <c r="S43" s="46">
        <f t="shared" si="5"/>
        <v>0</v>
      </c>
      <c r="T43" s="46" t="b">
        <f t="shared" si="6"/>
        <v>1</v>
      </c>
      <c r="U43" s="46" t="b">
        <f t="shared" si="7"/>
        <v>1</v>
      </c>
    </row>
    <row r="44" s="63" customFormat="1" customHeight="1" outlineLevel="1" spans="1:21">
      <c r="A44" s="32">
        <v>31</v>
      </c>
      <c r="B44" s="32" t="s">
        <v>97</v>
      </c>
      <c r="C44" s="32" t="s">
        <v>119</v>
      </c>
      <c r="D44" s="32" t="s">
        <v>99</v>
      </c>
      <c r="E44" s="32">
        <v>1</v>
      </c>
      <c r="F44" s="66">
        <f>+(1.6)*2.5*150</f>
        <v>600</v>
      </c>
      <c r="G44" s="48">
        <f t="shared" ref="G44:G47" si="35">H44*(1+I44)</f>
        <v>2141.2</v>
      </c>
      <c r="H44" s="66">
        <f>1.6*2.5*530</f>
        <v>2120</v>
      </c>
      <c r="I44" s="49">
        <v>0.01</v>
      </c>
      <c r="J44" s="48">
        <v>550</v>
      </c>
      <c r="K44" s="48">
        <f>(F44+G44+J44)*$K$5</f>
        <v>197.472</v>
      </c>
      <c r="L44" s="48">
        <f>(F44+G44+J44+K44)*$L$5</f>
        <v>104.66016</v>
      </c>
      <c r="M44" s="48">
        <f t="shared" si="33"/>
        <v>5389.99824</v>
      </c>
      <c r="N44" s="48"/>
      <c r="O44" s="48">
        <f t="shared" ref="O44:O47" si="36">M44*E44</f>
        <v>5389.99824</v>
      </c>
      <c r="P44" s="69"/>
      <c r="Q44" s="72"/>
      <c r="R44" s="46">
        <f t="shared" si="4"/>
        <v>5389.99824</v>
      </c>
      <c r="S44" s="46">
        <f t="shared" si="5"/>
        <v>3593.33216</v>
      </c>
      <c r="T44" s="46" t="b">
        <f t="shared" si="6"/>
        <v>1</v>
      </c>
      <c r="U44" s="46" t="b">
        <f t="shared" si="7"/>
        <v>0</v>
      </c>
    </row>
    <row r="45" s="63" customFormat="1" customHeight="1" outlineLevel="1" spans="1:21">
      <c r="A45" s="32">
        <v>32</v>
      </c>
      <c r="B45" s="32" t="s">
        <v>86</v>
      </c>
      <c r="C45" s="32" t="s">
        <v>120</v>
      </c>
      <c r="D45" s="32" t="s">
        <v>67</v>
      </c>
      <c r="E45" s="32">
        <v>5.2</v>
      </c>
      <c r="F45" s="66">
        <f t="shared" ref="F45:J45" si="37">F29</f>
        <v>190</v>
      </c>
      <c r="G45" s="48">
        <f t="shared" si="35"/>
        <v>315</v>
      </c>
      <c r="H45" s="66">
        <f t="shared" si="37"/>
        <v>300</v>
      </c>
      <c r="I45" s="49">
        <f t="shared" si="37"/>
        <v>0.05</v>
      </c>
      <c r="J45" s="48">
        <f t="shared" si="37"/>
        <v>150</v>
      </c>
      <c r="K45" s="48">
        <f>(F45+G45+J45)*$K$5</f>
        <v>39.3</v>
      </c>
      <c r="L45" s="48">
        <f>(F45+G45+J45+K45)*$L$5</f>
        <v>20.829</v>
      </c>
      <c r="M45" s="48">
        <f t="shared" ref="M45:M49" si="38">(F45+G45+J45+K45+L45)*1.5</f>
        <v>1072.6935</v>
      </c>
      <c r="N45" s="48"/>
      <c r="O45" s="48">
        <f t="shared" si="36"/>
        <v>5578.0062</v>
      </c>
      <c r="P45" s="69" t="str">
        <f>P36</f>
        <v>厂家定制</v>
      </c>
      <c r="Q45" s="72"/>
      <c r="R45" s="46">
        <f t="shared" si="4"/>
        <v>5578.0062</v>
      </c>
      <c r="S45" s="46">
        <f t="shared" si="5"/>
        <v>715.129</v>
      </c>
      <c r="T45" s="46" t="b">
        <f t="shared" si="6"/>
        <v>1</v>
      </c>
      <c r="U45" s="46" t="b">
        <f t="shared" si="7"/>
        <v>0</v>
      </c>
    </row>
    <row r="46" s="63" customFormat="1" customHeight="1" outlineLevel="1" spans="1:21">
      <c r="A46" s="32">
        <v>33</v>
      </c>
      <c r="B46" s="32" t="s">
        <v>104</v>
      </c>
      <c r="C46" s="32" t="s">
        <v>121</v>
      </c>
      <c r="D46" s="32" t="s">
        <v>67</v>
      </c>
      <c r="E46" s="32">
        <v>30.93</v>
      </c>
      <c r="F46" s="66">
        <v>220</v>
      </c>
      <c r="G46" s="48">
        <f t="shared" si="35"/>
        <v>1417.5</v>
      </c>
      <c r="H46" s="66">
        <v>1350</v>
      </c>
      <c r="I46" s="49">
        <v>0.05</v>
      </c>
      <c r="J46" s="48">
        <v>257.291</v>
      </c>
      <c r="K46" s="48">
        <f>(F46+G46+J46)*$K$5</f>
        <v>113.68746</v>
      </c>
      <c r="L46" s="48">
        <f>(F46+G46+J46+K46)*$L$5</f>
        <v>60.2543538</v>
      </c>
      <c r="M46" s="48">
        <f t="shared" si="38"/>
        <v>3103.0992207</v>
      </c>
      <c r="N46" s="48"/>
      <c r="O46" s="48">
        <f t="shared" si="36"/>
        <v>95978.858896251</v>
      </c>
      <c r="P46" s="69"/>
      <c r="Q46" s="72"/>
      <c r="R46" s="46">
        <f t="shared" si="4"/>
        <v>95978.858896251</v>
      </c>
      <c r="S46" s="46">
        <f t="shared" si="5"/>
        <v>2068.7328138</v>
      </c>
      <c r="T46" s="46" t="b">
        <f t="shared" si="6"/>
        <v>1</v>
      </c>
      <c r="U46" s="46" t="b">
        <f t="shared" si="7"/>
        <v>0</v>
      </c>
    </row>
    <row r="47" s="63" customFormat="1" customHeight="1" outlineLevel="1" spans="1:21">
      <c r="A47" s="32">
        <v>34</v>
      </c>
      <c r="B47" s="32" t="s">
        <v>92</v>
      </c>
      <c r="C47" s="32" t="s">
        <v>122</v>
      </c>
      <c r="D47" s="32" t="s">
        <v>67</v>
      </c>
      <c r="E47" s="32">
        <v>0.78</v>
      </c>
      <c r="F47" s="66">
        <f t="shared" ref="F47:J47" si="39">F40</f>
        <v>150</v>
      </c>
      <c r="G47" s="48">
        <f t="shared" si="35"/>
        <v>280.5</v>
      </c>
      <c r="H47" s="66">
        <f>H8</f>
        <v>255</v>
      </c>
      <c r="I47" s="49">
        <f t="shared" si="39"/>
        <v>0.1</v>
      </c>
      <c r="J47" s="48">
        <f t="shared" si="39"/>
        <v>155</v>
      </c>
      <c r="K47" s="48">
        <f>(F47+G47+J47)*$K$5</f>
        <v>35.13</v>
      </c>
      <c r="L47" s="48">
        <f>(F47+G47+J47+K47)*$L$5</f>
        <v>18.6189</v>
      </c>
      <c r="M47" s="48">
        <f t="shared" si="38"/>
        <v>958.87335</v>
      </c>
      <c r="N47" s="48"/>
      <c r="O47" s="48">
        <f t="shared" si="36"/>
        <v>747.921213</v>
      </c>
      <c r="P47" s="69"/>
      <c r="Q47" s="72"/>
      <c r="R47" s="46">
        <f t="shared" si="4"/>
        <v>747.921213</v>
      </c>
      <c r="S47" s="46">
        <f t="shared" si="5"/>
        <v>639.2489</v>
      </c>
      <c r="T47" s="46" t="b">
        <f t="shared" si="6"/>
        <v>1</v>
      </c>
      <c r="U47" s="46" t="b">
        <f t="shared" si="7"/>
        <v>0</v>
      </c>
    </row>
    <row r="48" s="63" customFormat="1" customHeight="1" spans="1:21">
      <c r="A48" s="32"/>
      <c r="B48" s="32" t="s">
        <v>123</v>
      </c>
      <c r="C48" s="32"/>
      <c r="D48" s="32"/>
      <c r="E48" s="32"/>
      <c r="F48" s="66"/>
      <c r="G48" s="48"/>
      <c r="H48" s="66"/>
      <c r="I48" s="49"/>
      <c r="J48" s="48"/>
      <c r="K48" s="48"/>
      <c r="L48" s="48"/>
      <c r="M48" s="48"/>
      <c r="N48" s="48"/>
      <c r="O48" s="48"/>
      <c r="P48" s="69"/>
      <c r="Q48" s="72"/>
      <c r="R48" s="46">
        <f t="shared" si="4"/>
        <v>0</v>
      </c>
      <c r="S48" s="46">
        <f t="shared" si="5"/>
        <v>0</v>
      </c>
      <c r="T48" s="46" t="b">
        <f t="shared" si="6"/>
        <v>1</v>
      </c>
      <c r="U48" s="46" t="b">
        <f t="shared" si="7"/>
        <v>1</v>
      </c>
    </row>
    <row r="49" s="63" customFormat="1" customHeight="1" outlineLevel="1" spans="1:21">
      <c r="A49" s="32">
        <v>35</v>
      </c>
      <c r="B49" s="32" t="s">
        <v>104</v>
      </c>
      <c r="C49" s="32" t="s">
        <v>124</v>
      </c>
      <c r="D49" s="32" t="s">
        <v>67</v>
      </c>
      <c r="E49" s="32">
        <v>30.84</v>
      </c>
      <c r="F49" s="66">
        <f t="shared" ref="F49:J49" si="40">F46</f>
        <v>220</v>
      </c>
      <c r="G49" s="48">
        <f t="shared" ref="G49:G58" si="41">H49*(1+I49)</f>
        <v>1417.5</v>
      </c>
      <c r="H49" s="66">
        <f t="shared" si="40"/>
        <v>1350</v>
      </c>
      <c r="I49" s="49">
        <f t="shared" si="40"/>
        <v>0.05</v>
      </c>
      <c r="J49" s="48">
        <f t="shared" si="40"/>
        <v>257.291</v>
      </c>
      <c r="K49" s="48">
        <f>(F49+G49+J49)*$K$5</f>
        <v>113.68746</v>
      </c>
      <c r="L49" s="48">
        <f>(F49+G49+J49+K49)*$L$5</f>
        <v>60.2543538</v>
      </c>
      <c r="M49" s="48">
        <f t="shared" si="38"/>
        <v>3103.0992207</v>
      </c>
      <c r="N49" s="48"/>
      <c r="O49" s="48">
        <f t="shared" ref="O49:O58" si="42">M49*E49</f>
        <v>95699.579966388</v>
      </c>
      <c r="P49" s="69"/>
      <c r="Q49" s="72"/>
      <c r="R49" s="46">
        <f t="shared" si="4"/>
        <v>95699.579966388</v>
      </c>
      <c r="S49" s="46">
        <f t="shared" si="5"/>
        <v>2068.7328138</v>
      </c>
      <c r="T49" s="46" t="b">
        <f t="shared" si="6"/>
        <v>1</v>
      </c>
      <c r="U49" s="46" t="b">
        <f t="shared" si="7"/>
        <v>0</v>
      </c>
    </row>
    <row r="50" s="63" customFormat="1" customHeight="1" outlineLevel="1" spans="1:21">
      <c r="A50" s="32">
        <v>36</v>
      </c>
      <c r="B50" s="32" t="s">
        <v>97</v>
      </c>
      <c r="C50" s="32" t="s">
        <v>125</v>
      </c>
      <c r="D50" s="32" t="s">
        <v>99</v>
      </c>
      <c r="E50" s="32">
        <v>1</v>
      </c>
      <c r="F50" s="66">
        <f t="shared" ref="F50:J50" si="43">F44</f>
        <v>600</v>
      </c>
      <c r="G50" s="48">
        <f t="shared" si="41"/>
        <v>2141.2</v>
      </c>
      <c r="H50" s="66">
        <f t="shared" si="43"/>
        <v>2120</v>
      </c>
      <c r="I50" s="49">
        <f t="shared" si="43"/>
        <v>0.01</v>
      </c>
      <c r="J50" s="48">
        <f t="shared" si="43"/>
        <v>550</v>
      </c>
      <c r="K50" s="48">
        <f>(F50+G50+J50)*$K$5</f>
        <v>197.472</v>
      </c>
      <c r="L50" s="48">
        <f>(F50+G50+J50+K50)*$L$5</f>
        <v>104.66016</v>
      </c>
      <c r="M50" s="48">
        <f t="shared" ref="M50:M58" si="44">(F50+G50+J50+K50+L50)*1.5</f>
        <v>5389.99824</v>
      </c>
      <c r="N50" s="48"/>
      <c r="O50" s="48">
        <f t="shared" si="42"/>
        <v>5389.99824</v>
      </c>
      <c r="P50" s="69"/>
      <c r="Q50" s="72"/>
      <c r="R50" s="46">
        <f t="shared" si="4"/>
        <v>5389.99824</v>
      </c>
      <c r="S50" s="46">
        <f t="shared" si="5"/>
        <v>3593.33216</v>
      </c>
      <c r="T50" s="46" t="b">
        <f t="shared" si="6"/>
        <v>1</v>
      </c>
      <c r="U50" s="46" t="b">
        <f t="shared" si="7"/>
        <v>0</v>
      </c>
    </row>
    <row r="51" s="63" customFormat="1" customHeight="1" outlineLevel="1" spans="1:21">
      <c r="A51" s="32">
        <v>37</v>
      </c>
      <c r="B51" s="32" t="s">
        <v>86</v>
      </c>
      <c r="C51" s="32" t="s">
        <v>126</v>
      </c>
      <c r="D51" s="32" t="s">
        <v>67</v>
      </c>
      <c r="E51" s="32">
        <v>22.83</v>
      </c>
      <c r="F51" s="66">
        <f t="shared" ref="F51:J51" si="45">F45</f>
        <v>190</v>
      </c>
      <c r="G51" s="48">
        <f t="shared" si="41"/>
        <v>315</v>
      </c>
      <c r="H51" s="66">
        <f t="shared" si="45"/>
        <v>300</v>
      </c>
      <c r="I51" s="49">
        <f t="shared" si="45"/>
        <v>0.05</v>
      </c>
      <c r="J51" s="48">
        <f t="shared" si="45"/>
        <v>150</v>
      </c>
      <c r="K51" s="48">
        <f>(F51+G51+J51)*$K$5</f>
        <v>39.3</v>
      </c>
      <c r="L51" s="48">
        <f>(F51+G51+J51+K51)*$L$5</f>
        <v>20.829</v>
      </c>
      <c r="M51" s="48">
        <f t="shared" si="44"/>
        <v>1072.6935</v>
      </c>
      <c r="N51" s="48"/>
      <c r="O51" s="48">
        <f t="shared" si="42"/>
        <v>24489.592605</v>
      </c>
      <c r="P51" s="69" t="str">
        <f>P45</f>
        <v>厂家定制</v>
      </c>
      <c r="Q51" s="72"/>
      <c r="R51" s="46">
        <f t="shared" si="4"/>
        <v>24489.592605</v>
      </c>
      <c r="S51" s="46">
        <f t="shared" si="5"/>
        <v>715.129</v>
      </c>
      <c r="T51" s="46" t="b">
        <f t="shared" si="6"/>
        <v>1</v>
      </c>
      <c r="U51" s="46" t="b">
        <f t="shared" si="7"/>
        <v>0</v>
      </c>
    </row>
    <row r="52" s="63" customFormat="1" customHeight="1" outlineLevel="1" spans="1:21">
      <c r="A52" s="32">
        <v>38</v>
      </c>
      <c r="B52" s="32" t="s">
        <v>127</v>
      </c>
      <c r="C52" s="32" t="s">
        <v>128</v>
      </c>
      <c r="D52" s="32" t="s">
        <v>67</v>
      </c>
      <c r="E52" s="32">
        <v>3.7</v>
      </c>
      <c r="F52" s="66">
        <v>185</v>
      </c>
      <c r="G52" s="48">
        <f t="shared" si="41"/>
        <v>383.25</v>
      </c>
      <c r="H52" s="66">
        <v>365</v>
      </c>
      <c r="I52" s="49">
        <v>0.05</v>
      </c>
      <c r="J52" s="48">
        <v>150</v>
      </c>
      <c r="K52" s="48">
        <f>(F52+G52+J52)*$K$5</f>
        <v>43.095</v>
      </c>
      <c r="L52" s="48">
        <f>(F52+G52+J52+K52)*$L$5</f>
        <v>22.84035</v>
      </c>
      <c r="M52" s="48">
        <f t="shared" si="44"/>
        <v>1176.278025</v>
      </c>
      <c r="N52" s="48"/>
      <c r="O52" s="48">
        <f t="shared" si="42"/>
        <v>4352.2286925</v>
      </c>
      <c r="P52" s="69"/>
      <c r="Q52" s="72"/>
      <c r="R52" s="46">
        <f t="shared" si="4"/>
        <v>4352.2286925</v>
      </c>
      <c r="S52" s="46">
        <f t="shared" si="5"/>
        <v>784.18535</v>
      </c>
      <c r="T52" s="46" t="b">
        <f t="shared" si="6"/>
        <v>1</v>
      </c>
      <c r="U52" s="46" t="b">
        <f t="shared" si="7"/>
        <v>0</v>
      </c>
    </row>
    <row r="53" s="63" customFormat="1" customHeight="1" outlineLevel="1" spans="1:21">
      <c r="A53" s="32">
        <v>39</v>
      </c>
      <c r="B53" s="32" t="s">
        <v>129</v>
      </c>
      <c r="C53" s="32" t="s">
        <v>130</v>
      </c>
      <c r="D53" s="32" t="s">
        <v>102</v>
      </c>
      <c r="E53" s="32">
        <v>3.36</v>
      </c>
      <c r="F53" s="66">
        <v>135</v>
      </c>
      <c r="G53" s="48">
        <f t="shared" si="41"/>
        <v>378</v>
      </c>
      <c r="H53" s="66">
        <v>360</v>
      </c>
      <c r="I53" s="49">
        <v>0.05</v>
      </c>
      <c r="J53" s="48">
        <v>95</v>
      </c>
      <c r="K53" s="48">
        <f>(F53+G53+J53)*$K$5</f>
        <v>36.48</v>
      </c>
      <c r="L53" s="48">
        <f>(F53+G53+J53+K53)*$L$5</f>
        <v>19.3344</v>
      </c>
      <c r="M53" s="48">
        <f t="shared" si="44"/>
        <v>995.7216</v>
      </c>
      <c r="N53" s="48"/>
      <c r="O53" s="48">
        <f t="shared" si="42"/>
        <v>3345.624576</v>
      </c>
      <c r="P53" s="69"/>
      <c r="Q53" s="72"/>
      <c r="R53" s="46">
        <f t="shared" si="4"/>
        <v>3345.624576</v>
      </c>
      <c r="S53" s="46">
        <f t="shared" si="5"/>
        <v>663.8144</v>
      </c>
      <c r="T53" s="46" t="b">
        <f t="shared" si="6"/>
        <v>1</v>
      </c>
      <c r="U53" s="46" t="b">
        <f t="shared" si="7"/>
        <v>0</v>
      </c>
    </row>
    <row r="54" s="63" customFormat="1" customHeight="1" outlineLevel="1" spans="1:21">
      <c r="A54" s="32">
        <v>40</v>
      </c>
      <c r="B54" s="32" t="s">
        <v>92</v>
      </c>
      <c r="C54" s="32" t="s">
        <v>93</v>
      </c>
      <c r="D54" s="32" t="s">
        <v>67</v>
      </c>
      <c r="E54" s="32">
        <v>0.68</v>
      </c>
      <c r="F54" s="66">
        <f t="shared" ref="F54:J54" si="46">F47</f>
        <v>150</v>
      </c>
      <c r="G54" s="48">
        <f t="shared" si="41"/>
        <v>280.5</v>
      </c>
      <c r="H54" s="66">
        <f t="shared" si="46"/>
        <v>255</v>
      </c>
      <c r="I54" s="49">
        <f t="shared" si="46"/>
        <v>0.1</v>
      </c>
      <c r="J54" s="48">
        <f t="shared" si="46"/>
        <v>155</v>
      </c>
      <c r="K54" s="48">
        <f>(F54+G54+J54)*$K$5</f>
        <v>35.13</v>
      </c>
      <c r="L54" s="48">
        <f>(F54+G54+J54+K54)*$L$5</f>
        <v>18.6189</v>
      </c>
      <c r="M54" s="48">
        <f t="shared" si="44"/>
        <v>958.87335</v>
      </c>
      <c r="N54" s="48"/>
      <c r="O54" s="48">
        <f t="shared" si="42"/>
        <v>652.033878</v>
      </c>
      <c r="P54" s="69"/>
      <c r="Q54" s="72"/>
      <c r="R54" s="46">
        <f t="shared" si="4"/>
        <v>652.033878</v>
      </c>
      <c r="S54" s="46">
        <f t="shared" si="5"/>
        <v>639.2489</v>
      </c>
      <c r="T54" s="46" t="b">
        <f t="shared" si="6"/>
        <v>1</v>
      </c>
      <c r="U54" s="46" t="b">
        <f t="shared" si="7"/>
        <v>0</v>
      </c>
    </row>
    <row r="55" s="63" customFormat="1" customHeight="1" outlineLevel="1" spans="1:21">
      <c r="A55" s="32">
        <v>41</v>
      </c>
      <c r="B55" s="32" t="s">
        <v>92</v>
      </c>
      <c r="C55" s="32" t="s">
        <v>131</v>
      </c>
      <c r="D55" s="32" t="s">
        <v>67</v>
      </c>
      <c r="E55" s="32">
        <v>0.54</v>
      </c>
      <c r="F55" s="66">
        <f t="shared" ref="F55:J55" si="47">F54</f>
        <v>150</v>
      </c>
      <c r="G55" s="48">
        <f t="shared" si="41"/>
        <v>280.5</v>
      </c>
      <c r="H55" s="66">
        <f>H8</f>
        <v>255</v>
      </c>
      <c r="I55" s="49">
        <f t="shared" si="47"/>
        <v>0.1</v>
      </c>
      <c r="J55" s="48">
        <f t="shared" si="47"/>
        <v>155</v>
      </c>
      <c r="K55" s="48">
        <f>(F55+G55+J55)*$K$5</f>
        <v>35.13</v>
      </c>
      <c r="L55" s="48">
        <f>(F55+G55+J55+K55)*$L$5</f>
        <v>18.6189</v>
      </c>
      <c r="M55" s="48">
        <f t="shared" si="44"/>
        <v>958.87335</v>
      </c>
      <c r="N55" s="48"/>
      <c r="O55" s="48">
        <f t="shared" si="42"/>
        <v>517.791609</v>
      </c>
      <c r="P55" s="69"/>
      <c r="Q55" s="72"/>
      <c r="R55" s="46">
        <f t="shared" si="4"/>
        <v>517.791609</v>
      </c>
      <c r="S55" s="46">
        <f t="shared" si="5"/>
        <v>639.2489</v>
      </c>
      <c r="T55" s="46" t="b">
        <f t="shared" si="6"/>
        <v>1</v>
      </c>
      <c r="U55" s="46" t="b">
        <f t="shared" si="7"/>
        <v>0</v>
      </c>
    </row>
    <row r="56" s="63" customFormat="1" customHeight="1" outlineLevel="1" spans="1:21">
      <c r="A56" s="32">
        <v>42</v>
      </c>
      <c r="B56" s="32" t="s">
        <v>100</v>
      </c>
      <c r="C56" s="32" t="s">
        <v>132</v>
      </c>
      <c r="D56" s="32" t="s">
        <v>102</v>
      </c>
      <c r="E56" s="32">
        <v>4.8</v>
      </c>
      <c r="F56" s="66">
        <f t="shared" ref="F56:I56" si="48">F25</f>
        <v>115</v>
      </c>
      <c r="G56" s="48">
        <f t="shared" si="41"/>
        <v>237.35</v>
      </c>
      <c r="H56" s="66">
        <f t="shared" si="48"/>
        <v>235</v>
      </c>
      <c r="I56" s="49">
        <f t="shared" si="48"/>
        <v>0.01</v>
      </c>
      <c r="J56" s="48">
        <f>J25+265</f>
        <v>415</v>
      </c>
      <c r="K56" s="48">
        <f>(F56+G56+J56)*$K$5</f>
        <v>46.041</v>
      </c>
      <c r="L56" s="48">
        <f>(F56+G56+J56+K56)*$L$5</f>
        <v>24.40173</v>
      </c>
      <c r="M56" s="48">
        <f t="shared" si="44"/>
        <v>1256.689095</v>
      </c>
      <c r="N56" s="48"/>
      <c r="O56" s="48">
        <f t="shared" si="42"/>
        <v>6032.107656</v>
      </c>
      <c r="P56" s="69"/>
      <c r="Q56" s="72"/>
      <c r="R56" s="46">
        <f t="shared" si="4"/>
        <v>6032.107656</v>
      </c>
      <c r="S56" s="46">
        <f t="shared" si="5"/>
        <v>837.79273</v>
      </c>
      <c r="T56" s="46" t="b">
        <f t="shared" si="6"/>
        <v>1</v>
      </c>
      <c r="U56" s="46" t="b">
        <f t="shared" si="7"/>
        <v>0</v>
      </c>
    </row>
    <row r="57" s="63" customFormat="1" customHeight="1" outlineLevel="1" spans="1:21">
      <c r="A57" s="32">
        <v>43</v>
      </c>
      <c r="B57" s="32" t="s">
        <v>133</v>
      </c>
      <c r="C57" s="32" t="s">
        <v>134</v>
      </c>
      <c r="D57" s="32" t="s">
        <v>102</v>
      </c>
      <c r="E57" s="32">
        <v>5.25</v>
      </c>
      <c r="F57" s="66">
        <v>15</v>
      </c>
      <c r="G57" s="48">
        <f t="shared" si="41"/>
        <v>36.75</v>
      </c>
      <c r="H57" s="66">
        <v>35</v>
      </c>
      <c r="I57" s="49">
        <v>0.05</v>
      </c>
      <c r="J57" s="48">
        <v>5</v>
      </c>
      <c r="K57" s="48">
        <f>(F57+G57+J57)*$K$5</f>
        <v>3.405</v>
      </c>
      <c r="L57" s="48">
        <f>(F57+G57+J57+K57)*$L$5</f>
        <v>1.80465</v>
      </c>
      <c r="M57" s="48">
        <f t="shared" si="44"/>
        <v>92.939475</v>
      </c>
      <c r="N57" s="48"/>
      <c r="O57" s="48">
        <f t="shared" si="42"/>
        <v>487.93224375</v>
      </c>
      <c r="P57" s="69"/>
      <c r="Q57" s="72"/>
      <c r="R57" s="46">
        <f t="shared" si="4"/>
        <v>487.93224375</v>
      </c>
      <c r="S57" s="46">
        <f t="shared" si="5"/>
        <v>61.95965</v>
      </c>
      <c r="T57" s="46" t="b">
        <f t="shared" si="6"/>
        <v>1</v>
      </c>
      <c r="U57" s="46" t="b">
        <f t="shared" si="7"/>
        <v>0</v>
      </c>
    </row>
    <row r="58" s="63" customFormat="1" customHeight="1" outlineLevel="1" spans="1:21">
      <c r="A58" s="32">
        <v>44</v>
      </c>
      <c r="B58" s="32" t="s">
        <v>86</v>
      </c>
      <c r="C58" s="32" t="s">
        <v>135</v>
      </c>
      <c r="D58" s="32" t="s">
        <v>67</v>
      </c>
      <c r="E58" s="32">
        <v>1.76</v>
      </c>
      <c r="F58" s="66">
        <f t="shared" ref="F58:J58" si="49">F47</f>
        <v>150</v>
      </c>
      <c r="G58" s="48">
        <f t="shared" si="41"/>
        <v>280.5</v>
      </c>
      <c r="H58" s="66">
        <f>H47</f>
        <v>255</v>
      </c>
      <c r="I58" s="49">
        <f t="shared" si="49"/>
        <v>0.1</v>
      </c>
      <c r="J58" s="48">
        <f t="shared" si="49"/>
        <v>155</v>
      </c>
      <c r="K58" s="48">
        <f>(F58+G58+J58)*$K$5</f>
        <v>35.13</v>
      </c>
      <c r="L58" s="48">
        <f>(F58+G58+J58+K58)*$L$5</f>
        <v>18.6189</v>
      </c>
      <c r="M58" s="48">
        <f t="shared" si="44"/>
        <v>958.87335</v>
      </c>
      <c r="N58" s="48"/>
      <c r="O58" s="48">
        <f t="shared" si="42"/>
        <v>1687.617096</v>
      </c>
      <c r="P58" s="69"/>
      <c r="Q58" s="72"/>
      <c r="R58" s="46">
        <f t="shared" si="4"/>
        <v>1687.617096</v>
      </c>
      <c r="S58" s="46">
        <f t="shared" si="5"/>
        <v>639.2489</v>
      </c>
      <c r="T58" s="46" t="b">
        <f t="shared" si="6"/>
        <v>1</v>
      </c>
      <c r="U58" s="46" t="b">
        <f t="shared" si="7"/>
        <v>0</v>
      </c>
    </row>
    <row r="59" s="63" customFormat="1" customHeight="1" spans="1:21">
      <c r="A59" s="32"/>
      <c r="B59" s="32" t="s">
        <v>136</v>
      </c>
      <c r="C59" s="32"/>
      <c r="D59" s="32"/>
      <c r="E59" s="32"/>
      <c r="F59" s="66"/>
      <c r="G59" s="67"/>
      <c r="H59" s="68"/>
      <c r="I59" s="54"/>
      <c r="J59" s="67"/>
      <c r="K59" s="67"/>
      <c r="L59" s="67"/>
      <c r="M59" s="70"/>
      <c r="N59" s="71"/>
      <c r="O59" s="67"/>
      <c r="P59" s="69"/>
      <c r="Q59" s="72"/>
      <c r="R59" s="46">
        <f t="shared" si="4"/>
        <v>0</v>
      </c>
      <c r="S59" s="46">
        <f t="shared" si="5"/>
        <v>0</v>
      </c>
      <c r="T59" s="46" t="b">
        <f t="shared" si="6"/>
        <v>1</v>
      </c>
      <c r="U59" s="46" t="b">
        <f t="shared" si="7"/>
        <v>1</v>
      </c>
    </row>
    <row r="60" s="63" customFormat="1" ht="61" customHeight="1" outlineLevel="1" spans="1:21">
      <c r="A60" s="32">
        <v>45</v>
      </c>
      <c r="B60" s="32" t="s">
        <v>137</v>
      </c>
      <c r="C60" s="32" t="s">
        <v>138</v>
      </c>
      <c r="D60" s="32" t="s">
        <v>102</v>
      </c>
      <c r="E60" s="32">
        <v>7</v>
      </c>
      <c r="F60" s="66">
        <v>550</v>
      </c>
      <c r="G60" s="67">
        <f>H60*(1+I60)</f>
        <v>1898.8</v>
      </c>
      <c r="H60" s="68">
        <v>1880</v>
      </c>
      <c r="I60" s="54">
        <v>0.01</v>
      </c>
      <c r="J60" s="67">
        <v>650</v>
      </c>
      <c r="K60" s="67">
        <f>(F60+G60+J60)*$K$5</f>
        <v>185.928</v>
      </c>
      <c r="L60" s="67">
        <f>(F60+G60+J60+K60)*$L$5</f>
        <v>98.54184</v>
      </c>
      <c r="M60" s="48">
        <f>(F60+G60+J60+K60+L60)*1.5</f>
        <v>5074.90476</v>
      </c>
      <c r="N60" s="48"/>
      <c r="O60" s="67">
        <f>M60*E60</f>
        <v>35524.33332</v>
      </c>
      <c r="P60" s="69"/>
      <c r="Q60" s="72"/>
      <c r="R60" s="46">
        <f t="shared" si="4"/>
        <v>35524.33332</v>
      </c>
      <c r="S60" s="46">
        <f t="shared" si="5"/>
        <v>3383.26984</v>
      </c>
      <c r="T60" s="46" t="b">
        <f t="shared" si="6"/>
        <v>1</v>
      </c>
      <c r="U60" s="46" t="b">
        <f t="shared" si="7"/>
        <v>0</v>
      </c>
    </row>
    <row r="61" s="63" customFormat="1" customHeight="1" spans="1:21">
      <c r="A61" s="32"/>
      <c r="B61" s="32" t="s">
        <v>139</v>
      </c>
      <c r="C61" s="32"/>
      <c r="D61" s="32"/>
      <c r="E61" s="32"/>
      <c r="F61" s="66"/>
      <c r="G61" s="48"/>
      <c r="H61" s="66"/>
      <c r="I61" s="49"/>
      <c r="J61" s="48"/>
      <c r="K61" s="48"/>
      <c r="L61" s="48"/>
      <c r="M61" s="48">
        <f>SUM(O62:O74)</f>
        <v>603813.08300025</v>
      </c>
      <c r="N61" s="48"/>
      <c r="O61" s="48"/>
      <c r="P61" s="69"/>
      <c r="Q61" s="72"/>
      <c r="R61" s="46">
        <f t="shared" si="4"/>
        <v>0</v>
      </c>
      <c r="S61" s="46">
        <f t="shared" si="5"/>
        <v>0</v>
      </c>
      <c r="T61" s="46" t="b">
        <f t="shared" si="6"/>
        <v>1</v>
      </c>
      <c r="U61" s="46" t="b">
        <f t="shared" si="7"/>
        <v>0</v>
      </c>
    </row>
    <row r="62" s="63" customFormat="1" customHeight="1" outlineLevel="1" spans="1:21">
      <c r="A62" s="32">
        <v>46</v>
      </c>
      <c r="B62" s="32" t="s">
        <v>69</v>
      </c>
      <c r="C62" s="32" t="s">
        <v>140</v>
      </c>
      <c r="D62" s="32" t="s">
        <v>67</v>
      </c>
      <c r="E62" s="32">
        <v>651.19</v>
      </c>
      <c r="F62" s="66">
        <f t="shared" ref="F62:J62" si="50">F8</f>
        <v>85</v>
      </c>
      <c r="G62" s="48">
        <f t="shared" ref="G61:G74" si="51">H62*(1+I62)</f>
        <v>267.75</v>
      </c>
      <c r="H62" s="66">
        <f t="shared" si="50"/>
        <v>255</v>
      </c>
      <c r="I62" s="49">
        <f t="shared" si="50"/>
        <v>0.05</v>
      </c>
      <c r="J62" s="48">
        <f t="shared" si="50"/>
        <v>35</v>
      </c>
      <c r="K62" s="48">
        <f>(F62+G62+J62)*$K$5</f>
        <v>23.265</v>
      </c>
      <c r="L62" s="48">
        <f>(F62+G62+J62+K62)*$L$5</f>
        <v>12.33045</v>
      </c>
      <c r="M62" s="48">
        <f>(F62+G62+J62+K62+L62)*1.5</f>
        <v>635.018175</v>
      </c>
      <c r="N62" s="48"/>
      <c r="O62" s="48">
        <f t="shared" ref="O61:O74" si="52">M62*E62</f>
        <v>413517.48537825</v>
      </c>
      <c r="P62" s="69"/>
      <c r="Q62" s="72"/>
      <c r="R62" s="46">
        <f t="shared" si="4"/>
        <v>413517.48537825</v>
      </c>
      <c r="S62" s="46">
        <f t="shared" si="5"/>
        <v>423.34545</v>
      </c>
      <c r="T62" s="46" t="b">
        <f t="shared" si="6"/>
        <v>1</v>
      </c>
      <c r="U62" s="46" t="b">
        <f t="shared" si="7"/>
        <v>0</v>
      </c>
    </row>
    <row r="63" s="63" customFormat="1" customHeight="1" outlineLevel="1" spans="1:21">
      <c r="A63" s="32">
        <v>47</v>
      </c>
      <c r="B63" s="32" t="s">
        <v>141</v>
      </c>
      <c r="C63" s="32" t="s">
        <v>142</v>
      </c>
      <c r="D63" s="32" t="s">
        <v>67</v>
      </c>
      <c r="E63" s="32">
        <v>2.18</v>
      </c>
      <c r="F63" s="66">
        <v>150</v>
      </c>
      <c r="G63" s="48">
        <f t="shared" si="51"/>
        <v>280.5</v>
      </c>
      <c r="H63" s="66">
        <f t="shared" ref="H63:H67" si="53">H62</f>
        <v>255</v>
      </c>
      <c r="I63" s="49">
        <v>0.1</v>
      </c>
      <c r="J63" s="48">
        <f>J62</f>
        <v>35</v>
      </c>
      <c r="K63" s="48">
        <f>(F63+G63+J63)*$K$5</f>
        <v>27.93</v>
      </c>
      <c r="L63" s="48">
        <f>(F63+G63+J63+K63)*$L$5</f>
        <v>14.8029</v>
      </c>
      <c r="M63" s="48">
        <f t="shared" ref="M63:M74" si="54">(F63+G63+J63+K63+L63)*1.5</f>
        <v>762.34935</v>
      </c>
      <c r="N63" s="48"/>
      <c r="O63" s="48">
        <f t="shared" si="52"/>
        <v>1661.921583</v>
      </c>
      <c r="P63" s="69"/>
      <c r="Q63" s="72"/>
      <c r="R63" s="46">
        <f t="shared" si="4"/>
        <v>1661.921583</v>
      </c>
      <c r="S63" s="46">
        <f t="shared" si="5"/>
        <v>508.2329</v>
      </c>
      <c r="T63" s="46" t="b">
        <f t="shared" si="6"/>
        <v>1</v>
      </c>
      <c r="U63" s="46" t="b">
        <f t="shared" si="7"/>
        <v>0</v>
      </c>
    </row>
    <row r="64" s="63" customFormat="1" customHeight="1" outlineLevel="1" spans="1:21">
      <c r="A64" s="32">
        <v>48</v>
      </c>
      <c r="B64" s="32" t="s">
        <v>69</v>
      </c>
      <c r="C64" s="32" t="s">
        <v>143</v>
      </c>
      <c r="D64" s="32" t="s">
        <v>67</v>
      </c>
      <c r="E64" s="32">
        <v>15.04</v>
      </c>
      <c r="F64" s="66">
        <f t="shared" ref="F64:J64" si="55">F8*1.5</f>
        <v>127.5</v>
      </c>
      <c r="G64" s="48">
        <f t="shared" si="51"/>
        <v>401.625</v>
      </c>
      <c r="H64" s="66">
        <f t="shared" si="55"/>
        <v>382.5</v>
      </c>
      <c r="I64" s="49">
        <f>I8</f>
        <v>0.05</v>
      </c>
      <c r="J64" s="48">
        <f t="shared" si="55"/>
        <v>52.5</v>
      </c>
      <c r="K64" s="48">
        <f>(F64+G64+J64)*$K$5</f>
        <v>34.8975</v>
      </c>
      <c r="L64" s="48">
        <f>(F64+G64+J64+K64)*$L$5</f>
        <v>18.495675</v>
      </c>
      <c r="M64" s="48">
        <f t="shared" si="54"/>
        <v>952.5272625</v>
      </c>
      <c r="N64" s="48"/>
      <c r="O64" s="48">
        <f t="shared" si="52"/>
        <v>14326.010028</v>
      </c>
      <c r="P64" s="69"/>
      <c r="Q64" s="72"/>
      <c r="R64" s="46">
        <f t="shared" si="4"/>
        <v>14326.010028</v>
      </c>
      <c r="S64" s="46">
        <f t="shared" si="5"/>
        <v>635.018175</v>
      </c>
      <c r="T64" s="46" t="b">
        <f t="shared" si="6"/>
        <v>1</v>
      </c>
      <c r="U64" s="46" t="b">
        <f t="shared" si="7"/>
        <v>0</v>
      </c>
    </row>
    <row r="65" s="63" customFormat="1" customHeight="1" outlineLevel="1" spans="1:21">
      <c r="A65" s="32">
        <v>49</v>
      </c>
      <c r="B65" s="32" t="s">
        <v>72</v>
      </c>
      <c r="C65" s="32" t="s">
        <v>144</v>
      </c>
      <c r="D65" s="32" t="s">
        <v>67</v>
      </c>
      <c r="E65" s="32">
        <v>116.14</v>
      </c>
      <c r="F65" s="66">
        <f>F10</f>
        <v>65</v>
      </c>
      <c r="G65" s="48">
        <f t="shared" si="51"/>
        <v>68.25</v>
      </c>
      <c r="H65" s="66">
        <f>H10</f>
        <v>65</v>
      </c>
      <c r="I65" s="49">
        <f t="shared" ref="I65:I67" si="56">I64</f>
        <v>0.05</v>
      </c>
      <c r="J65" s="48">
        <f>J10</f>
        <v>35</v>
      </c>
      <c r="K65" s="48">
        <f>(F65+G65+J65)*$K$5</f>
        <v>10.095</v>
      </c>
      <c r="L65" s="48">
        <f>(F65+G65+J65+K65)*$L$5</f>
        <v>5.35035</v>
      </c>
      <c r="M65" s="48">
        <f t="shared" si="54"/>
        <v>275.543025</v>
      </c>
      <c r="N65" s="48"/>
      <c r="O65" s="48">
        <f t="shared" si="52"/>
        <v>32001.5669235</v>
      </c>
      <c r="P65" s="69" t="str">
        <f>P10</f>
        <v>广东产</v>
      </c>
      <c r="Q65" s="72"/>
      <c r="R65" s="46">
        <f t="shared" si="4"/>
        <v>32001.5669235</v>
      </c>
      <c r="S65" s="46">
        <f t="shared" si="5"/>
        <v>183.69535</v>
      </c>
      <c r="T65" s="46" t="b">
        <f t="shared" si="6"/>
        <v>1</v>
      </c>
      <c r="U65" s="46" t="b">
        <f t="shared" si="7"/>
        <v>0</v>
      </c>
    </row>
    <row r="66" s="63" customFormat="1" customHeight="1" outlineLevel="1" spans="1:21">
      <c r="A66" s="32">
        <v>50</v>
      </c>
      <c r="B66" s="32" t="s">
        <v>145</v>
      </c>
      <c r="C66" s="32" t="s">
        <v>146</v>
      </c>
      <c r="D66" s="32" t="s">
        <v>67</v>
      </c>
      <c r="E66" s="32">
        <v>30.94</v>
      </c>
      <c r="F66" s="66">
        <f>F65+20</f>
        <v>85</v>
      </c>
      <c r="G66" s="48">
        <f t="shared" si="51"/>
        <v>68.25</v>
      </c>
      <c r="H66" s="66">
        <f t="shared" si="53"/>
        <v>65</v>
      </c>
      <c r="I66" s="49">
        <f t="shared" si="56"/>
        <v>0.05</v>
      </c>
      <c r="J66" s="48">
        <f>J65+35</f>
        <v>70</v>
      </c>
      <c r="K66" s="48">
        <f>(F66+G66+J66)*$K$5</f>
        <v>13.395</v>
      </c>
      <c r="L66" s="48">
        <f>(F66+G66+J66+K66)*$L$5</f>
        <v>7.09935</v>
      </c>
      <c r="M66" s="48">
        <f t="shared" si="54"/>
        <v>365.616525</v>
      </c>
      <c r="N66" s="48"/>
      <c r="O66" s="48">
        <f t="shared" si="52"/>
        <v>11312.1752835</v>
      </c>
      <c r="P66" s="69" t="str">
        <f>P10</f>
        <v>广东产</v>
      </c>
      <c r="Q66" s="72"/>
      <c r="R66" s="46">
        <f t="shared" si="4"/>
        <v>11312.1752835</v>
      </c>
      <c r="S66" s="46">
        <f t="shared" si="5"/>
        <v>243.74435</v>
      </c>
      <c r="T66" s="46" t="b">
        <f t="shared" si="6"/>
        <v>1</v>
      </c>
      <c r="U66" s="46" t="b">
        <f t="shared" si="7"/>
        <v>0</v>
      </c>
    </row>
    <row r="67" s="63" customFormat="1" customHeight="1" outlineLevel="1" spans="1:21">
      <c r="A67" s="32">
        <v>51</v>
      </c>
      <c r="B67" s="32" t="s">
        <v>145</v>
      </c>
      <c r="C67" s="32" t="s">
        <v>147</v>
      </c>
      <c r="D67" s="32" t="s">
        <v>67</v>
      </c>
      <c r="E67" s="32">
        <v>29.04</v>
      </c>
      <c r="F67" s="66">
        <f>F66</f>
        <v>85</v>
      </c>
      <c r="G67" s="48">
        <f t="shared" si="51"/>
        <v>68.25</v>
      </c>
      <c r="H67" s="66">
        <f t="shared" si="53"/>
        <v>65</v>
      </c>
      <c r="I67" s="49">
        <f t="shared" si="56"/>
        <v>0.05</v>
      </c>
      <c r="J67" s="48">
        <f>J66</f>
        <v>70</v>
      </c>
      <c r="K67" s="48">
        <f>(F67+G67+J67)*$K$5</f>
        <v>13.395</v>
      </c>
      <c r="L67" s="48">
        <f>(F67+G67+J67+K67)*$L$5</f>
        <v>7.09935</v>
      </c>
      <c r="M67" s="48">
        <f t="shared" si="54"/>
        <v>365.616525</v>
      </c>
      <c r="N67" s="48"/>
      <c r="O67" s="48">
        <f t="shared" si="52"/>
        <v>10617.503886</v>
      </c>
      <c r="P67" s="69" t="str">
        <f>P65</f>
        <v>广东产</v>
      </c>
      <c r="Q67" s="72"/>
      <c r="R67" s="46">
        <f t="shared" si="4"/>
        <v>10617.503886</v>
      </c>
      <c r="S67" s="46">
        <f t="shared" si="5"/>
        <v>243.74435</v>
      </c>
      <c r="T67" s="46" t="b">
        <f t="shared" si="6"/>
        <v>1</v>
      </c>
      <c r="U67" s="46" t="b">
        <f t="shared" si="7"/>
        <v>0</v>
      </c>
    </row>
    <row r="68" s="63" customFormat="1" customHeight="1" outlineLevel="1" spans="1:21">
      <c r="A68" s="32">
        <v>52</v>
      </c>
      <c r="B68" s="32" t="s">
        <v>148</v>
      </c>
      <c r="C68" s="32" t="s">
        <v>149</v>
      </c>
      <c r="D68" s="32" t="s">
        <v>67</v>
      </c>
      <c r="E68" s="32">
        <v>3.72</v>
      </c>
      <c r="F68" s="66">
        <v>30</v>
      </c>
      <c r="G68" s="48">
        <f t="shared" si="51"/>
        <v>47.25</v>
      </c>
      <c r="H68" s="66">
        <v>45</v>
      </c>
      <c r="I68" s="49">
        <v>0.05</v>
      </c>
      <c r="J68" s="48">
        <v>15</v>
      </c>
      <c r="K68" s="48">
        <f>(F68+G68+J68)*$K$5</f>
        <v>5.535</v>
      </c>
      <c r="L68" s="48">
        <f>(F68+G68+J68+K68)*$L$5</f>
        <v>2.93355</v>
      </c>
      <c r="M68" s="48">
        <f t="shared" si="54"/>
        <v>151.077825</v>
      </c>
      <c r="N68" s="48"/>
      <c r="O68" s="48">
        <f t="shared" si="52"/>
        <v>562.009509</v>
      </c>
      <c r="P68" s="69"/>
      <c r="Q68" s="72"/>
      <c r="R68" s="46">
        <f t="shared" si="4"/>
        <v>562.009509</v>
      </c>
      <c r="S68" s="46">
        <f t="shared" si="5"/>
        <v>100.71855</v>
      </c>
      <c r="T68" s="46" t="b">
        <f t="shared" si="6"/>
        <v>1</v>
      </c>
      <c r="U68" s="46" t="b">
        <f t="shared" si="7"/>
        <v>0</v>
      </c>
    </row>
    <row r="69" s="63" customFormat="1" customHeight="1" outlineLevel="1" spans="1:21">
      <c r="A69" s="32">
        <v>53</v>
      </c>
      <c r="B69" s="32" t="s">
        <v>150</v>
      </c>
      <c r="C69" s="32" t="s">
        <v>151</v>
      </c>
      <c r="D69" s="32" t="s">
        <v>67</v>
      </c>
      <c r="E69" s="32">
        <v>8.36</v>
      </c>
      <c r="F69" s="66">
        <v>35</v>
      </c>
      <c r="G69" s="48">
        <f t="shared" si="51"/>
        <v>157.5</v>
      </c>
      <c r="H69" s="66">
        <v>150</v>
      </c>
      <c r="I69" s="49">
        <v>0.05</v>
      </c>
      <c r="J69" s="48">
        <v>15</v>
      </c>
      <c r="K69" s="48">
        <f>(F69+G69+J69)*$K$5</f>
        <v>12.45</v>
      </c>
      <c r="L69" s="48">
        <f>(F69+G69+J69+K69)*$L$5</f>
        <v>6.5985</v>
      </c>
      <c r="M69" s="48">
        <f t="shared" si="54"/>
        <v>339.82275</v>
      </c>
      <c r="N69" s="48"/>
      <c r="O69" s="48">
        <f t="shared" si="52"/>
        <v>2840.91819</v>
      </c>
      <c r="P69" s="69"/>
      <c r="Q69" s="72"/>
      <c r="R69" s="46">
        <f t="shared" si="4"/>
        <v>2840.91819</v>
      </c>
      <c r="S69" s="46">
        <f t="shared" si="5"/>
        <v>226.5485</v>
      </c>
      <c r="T69" s="46" t="b">
        <f t="shared" si="6"/>
        <v>1</v>
      </c>
      <c r="U69" s="46" t="b">
        <f t="shared" si="7"/>
        <v>0</v>
      </c>
    </row>
    <row r="70" s="63" customFormat="1" customHeight="1" outlineLevel="1" spans="1:21">
      <c r="A70" s="32">
        <v>54</v>
      </c>
      <c r="B70" s="32" t="s">
        <v>152</v>
      </c>
      <c r="C70" s="32" t="s">
        <v>153</v>
      </c>
      <c r="D70" s="32" t="s">
        <v>67</v>
      </c>
      <c r="E70" s="32">
        <v>110.49</v>
      </c>
      <c r="F70" s="66">
        <v>165</v>
      </c>
      <c r="G70" s="48">
        <f t="shared" si="51"/>
        <v>173.25</v>
      </c>
      <c r="H70" s="66">
        <v>165</v>
      </c>
      <c r="I70" s="49">
        <v>0.05</v>
      </c>
      <c r="J70" s="48">
        <v>95</v>
      </c>
      <c r="K70" s="48">
        <f>(F70+G70+J70)*$K$5</f>
        <v>25.995</v>
      </c>
      <c r="L70" s="48">
        <f>(F70+G70+J70+K70)*$L$5</f>
        <v>13.77735</v>
      </c>
      <c r="M70" s="48">
        <f t="shared" si="54"/>
        <v>709.533525</v>
      </c>
      <c r="N70" s="48"/>
      <c r="O70" s="48">
        <f t="shared" si="52"/>
        <v>78396.35917725</v>
      </c>
      <c r="P70" s="69"/>
      <c r="Q70" s="72"/>
      <c r="R70" s="46">
        <f t="shared" si="4"/>
        <v>78396.35917725</v>
      </c>
      <c r="S70" s="46">
        <f t="shared" si="5"/>
        <v>473.02235</v>
      </c>
      <c r="T70" s="46" t="b">
        <f t="shared" si="6"/>
        <v>1</v>
      </c>
      <c r="U70" s="46" t="b">
        <f t="shared" si="7"/>
        <v>0</v>
      </c>
    </row>
    <row r="71" s="63" customFormat="1" customHeight="1" outlineLevel="1" spans="1:21">
      <c r="A71" s="32">
        <v>55</v>
      </c>
      <c r="B71" s="32" t="s">
        <v>154</v>
      </c>
      <c r="C71" s="32" t="s">
        <v>155</v>
      </c>
      <c r="D71" s="32" t="s">
        <v>67</v>
      </c>
      <c r="E71" s="32">
        <v>12.67</v>
      </c>
      <c r="F71" s="66">
        <f>F70</f>
        <v>165</v>
      </c>
      <c r="G71" s="48">
        <f t="shared" si="51"/>
        <v>299.25</v>
      </c>
      <c r="H71" s="66">
        <v>285</v>
      </c>
      <c r="I71" s="49">
        <v>0.05</v>
      </c>
      <c r="J71" s="48">
        <v>235</v>
      </c>
      <c r="K71" s="48">
        <f>(F71+G71+J71)*$K$5</f>
        <v>41.955</v>
      </c>
      <c r="L71" s="48">
        <f>(F71+G71+J71+K71)*$L$5</f>
        <v>22.23615</v>
      </c>
      <c r="M71" s="48">
        <f t="shared" si="54"/>
        <v>1145.161725</v>
      </c>
      <c r="N71" s="48"/>
      <c r="O71" s="48">
        <f t="shared" si="52"/>
        <v>14509.19905575</v>
      </c>
      <c r="P71" s="69" t="str">
        <f>P45</f>
        <v>厂家定制</v>
      </c>
      <c r="Q71" s="72"/>
      <c r="R71" s="46">
        <f t="shared" si="4"/>
        <v>14509.19905575</v>
      </c>
      <c r="S71" s="46">
        <f t="shared" si="5"/>
        <v>763.44115</v>
      </c>
      <c r="T71" s="46" t="b">
        <f t="shared" si="6"/>
        <v>1</v>
      </c>
      <c r="U71" s="46" t="b">
        <f t="shared" si="7"/>
        <v>0</v>
      </c>
    </row>
    <row r="72" s="63" customFormat="1" customHeight="1" outlineLevel="1" spans="1:21">
      <c r="A72" s="32">
        <v>56</v>
      </c>
      <c r="B72" s="32" t="s">
        <v>152</v>
      </c>
      <c r="C72" s="32" t="s">
        <v>156</v>
      </c>
      <c r="D72" s="32" t="s">
        <v>67</v>
      </c>
      <c r="E72" s="32">
        <v>31.43</v>
      </c>
      <c r="F72" s="66">
        <v>35</v>
      </c>
      <c r="G72" s="48">
        <f t="shared" si="51"/>
        <v>173.25</v>
      </c>
      <c r="H72" s="66">
        <f>H70</f>
        <v>165</v>
      </c>
      <c r="I72" s="49">
        <v>0.05</v>
      </c>
      <c r="J72" s="48">
        <v>55</v>
      </c>
      <c r="K72" s="48">
        <f>(F72+G72+J72)*$K$5</f>
        <v>15.795</v>
      </c>
      <c r="L72" s="48">
        <f>(F72+G72+J72+K72)*$L$5</f>
        <v>8.37135</v>
      </c>
      <c r="M72" s="48">
        <f t="shared" si="54"/>
        <v>431.124525</v>
      </c>
      <c r="N72" s="48"/>
      <c r="O72" s="48">
        <f t="shared" si="52"/>
        <v>13550.24382075</v>
      </c>
      <c r="P72" s="69"/>
      <c r="Q72" s="72"/>
      <c r="R72" s="46">
        <f t="shared" si="4"/>
        <v>13550.24382075</v>
      </c>
      <c r="S72" s="46">
        <f t="shared" si="5"/>
        <v>287.41635</v>
      </c>
      <c r="T72" s="46" t="b">
        <f t="shared" si="6"/>
        <v>1</v>
      </c>
      <c r="U72" s="46" t="b">
        <f t="shared" si="7"/>
        <v>0</v>
      </c>
    </row>
    <row r="73" s="63" customFormat="1" customHeight="1" outlineLevel="1" spans="1:21">
      <c r="A73" s="32">
        <v>57</v>
      </c>
      <c r="B73" s="32" t="s">
        <v>157</v>
      </c>
      <c r="C73" s="32" t="s">
        <v>158</v>
      </c>
      <c r="D73" s="32" t="s">
        <v>67</v>
      </c>
      <c r="E73" s="32">
        <v>9.14</v>
      </c>
      <c r="F73" s="66">
        <v>25</v>
      </c>
      <c r="G73" s="48">
        <f t="shared" si="51"/>
        <v>148.5</v>
      </c>
      <c r="H73" s="66">
        <v>135</v>
      </c>
      <c r="I73" s="49">
        <v>0.1</v>
      </c>
      <c r="J73" s="48">
        <v>15</v>
      </c>
      <c r="K73" s="48">
        <f>(F73+G73+J73)*$K$5</f>
        <v>11.31</v>
      </c>
      <c r="L73" s="48">
        <f>(F73+G73+J73+K73)*$L$5</f>
        <v>5.9943</v>
      </c>
      <c r="M73" s="48">
        <f t="shared" si="54"/>
        <v>308.70645</v>
      </c>
      <c r="N73" s="48"/>
      <c r="O73" s="48">
        <f t="shared" si="52"/>
        <v>2821.576953</v>
      </c>
      <c r="P73" s="69"/>
      <c r="Q73" s="72"/>
      <c r="R73" s="46">
        <f t="shared" si="4"/>
        <v>2821.576953</v>
      </c>
      <c r="S73" s="46">
        <f t="shared" si="5"/>
        <v>205.8043</v>
      </c>
      <c r="T73" s="46" t="b">
        <f t="shared" si="6"/>
        <v>1</v>
      </c>
      <c r="U73" s="46" t="b">
        <f t="shared" si="7"/>
        <v>0</v>
      </c>
    </row>
    <row r="74" s="63" customFormat="1" customHeight="1" outlineLevel="1" spans="1:21">
      <c r="A74" s="32">
        <v>58</v>
      </c>
      <c r="B74" s="32" t="s">
        <v>159</v>
      </c>
      <c r="C74" s="32" t="s">
        <v>160</v>
      </c>
      <c r="D74" s="32" t="s">
        <v>67</v>
      </c>
      <c r="E74" s="32">
        <v>12.31</v>
      </c>
      <c r="F74" s="66">
        <f>F70-20</f>
        <v>145</v>
      </c>
      <c r="G74" s="48">
        <f t="shared" si="51"/>
        <v>141.75</v>
      </c>
      <c r="H74" s="66">
        <v>135</v>
      </c>
      <c r="I74" s="49">
        <f>I70</f>
        <v>0.05</v>
      </c>
      <c r="J74" s="48">
        <f>J70</f>
        <v>95</v>
      </c>
      <c r="K74" s="48">
        <f>(F74+G74+J74)*$K$5</f>
        <v>22.905</v>
      </c>
      <c r="L74" s="48">
        <f>(F74+G74+J74+K74)*$L$5</f>
        <v>12.13965</v>
      </c>
      <c r="M74" s="48">
        <f t="shared" si="54"/>
        <v>625.191975</v>
      </c>
      <c r="N74" s="48"/>
      <c r="O74" s="48">
        <f t="shared" si="52"/>
        <v>7696.11321225</v>
      </c>
      <c r="P74" s="69"/>
      <c r="Q74" s="72"/>
      <c r="R74" s="46">
        <f t="shared" si="4"/>
        <v>7696.11321225</v>
      </c>
      <c r="S74" s="46">
        <f t="shared" si="5"/>
        <v>416.79465</v>
      </c>
      <c r="T74" s="46" t="b">
        <f t="shared" si="6"/>
        <v>1</v>
      </c>
      <c r="U74" s="46" t="b">
        <f t="shared" si="7"/>
        <v>0</v>
      </c>
    </row>
    <row r="75" s="63" customFormat="1" customHeight="1" spans="1:21">
      <c r="A75" s="32"/>
      <c r="B75" s="32" t="s">
        <v>161</v>
      </c>
      <c r="C75" s="32"/>
      <c r="D75" s="32"/>
      <c r="E75" s="32"/>
      <c r="F75" s="66"/>
      <c r="G75" s="48"/>
      <c r="H75" s="66"/>
      <c r="I75" s="49"/>
      <c r="J75" s="48"/>
      <c r="K75" s="48"/>
      <c r="L75" s="48"/>
      <c r="M75" s="48">
        <f>SUM(O76:O85)</f>
        <v>616224.57931182</v>
      </c>
      <c r="N75" s="48"/>
      <c r="O75" s="48"/>
      <c r="P75" s="69"/>
      <c r="Q75" s="72"/>
      <c r="R75" s="46">
        <f t="shared" si="4"/>
        <v>0</v>
      </c>
      <c r="S75" s="46">
        <f t="shared" si="5"/>
        <v>0</v>
      </c>
      <c r="T75" s="46" t="b">
        <f t="shared" si="6"/>
        <v>1</v>
      </c>
      <c r="U75" s="46" t="b">
        <f t="shared" si="7"/>
        <v>0</v>
      </c>
    </row>
    <row r="76" s="63" customFormat="1" ht="52" customHeight="1" outlineLevel="1" spans="1:21">
      <c r="A76" s="51">
        <v>59</v>
      </c>
      <c r="B76" s="51" t="s">
        <v>77</v>
      </c>
      <c r="C76" s="51" t="s">
        <v>162</v>
      </c>
      <c r="D76" s="51" t="s">
        <v>67</v>
      </c>
      <c r="E76" s="51">
        <f>32.41-2.22</f>
        <v>30.19</v>
      </c>
      <c r="F76" s="73">
        <f>30+20*2+25+10</f>
        <v>105</v>
      </c>
      <c r="G76" s="74">
        <f>H76*(1+I76)</f>
        <v>57.24</v>
      </c>
      <c r="H76" s="73">
        <f>15+38</f>
        <v>53</v>
      </c>
      <c r="I76" s="54">
        <v>0.08</v>
      </c>
      <c r="J76" s="74">
        <f>45+10+15+5</f>
        <v>75</v>
      </c>
      <c r="K76" s="74">
        <f>(F76+G76+J76)*$K$5</f>
        <v>14.2344</v>
      </c>
      <c r="L76" s="74">
        <f>(F76+G76+J76+K76)*$L$5</f>
        <v>7.544232</v>
      </c>
      <c r="M76" s="48">
        <f>(F76+G76+J76+K76+L76)*1.5</f>
        <v>388.527948</v>
      </c>
      <c r="N76" s="48"/>
      <c r="O76" s="74">
        <f>M76*E76</f>
        <v>11729.65875012</v>
      </c>
      <c r="P76" s="55" t="str">
        <f>P13</f>
        <v>龙骨驰龙、石膏板泰山</v>
      </c>
      <c r="Q76" s="72" t="s">
        <v>163</v>
      </c>
      <c r="R76" s="46">
        <f>E76*M76</f>
        <v>11729.65875012</v>
      </c>
      <c r="S76" s="46">
        <f>F76+G76+J76+K76+L76</f>
        <v>259.018632</v>
      </c>
      <c r="T76" s="46" t="b">
        <f>O76=R76</f>
        <v>1</v>
      </c>
      <c r="U76" s="46" t="b">
        <f>M76=S76</f>
        <v>0</v>
      </c>
    </row>
    <row r="77" s="63" customFormat="1" customHeight="1" outlineLevel="1" spans="1:21">
      <c r="A77" s="32">
        <v>60</v>
      </c>
      <c r="B77" s="32" t="s">
        <v>77</v>
      </c>
      <c r="C77" s="32" t="s">
        <v>164</v>
      </c>
      <c r="D77" s="32" t="s">
        <v>67</v>
      </c>
      <c r="E77" s="32">
        <v>70.53</v>
      </c>
      <c r="F77" s="66">
        <f>F13</f>
        <v>125</v>
      </c>
      <c r="G77" s="48">
        <f t="shared" ref="G77:G85" si="57">H77*(1+I77)</f>
        <v>324</v>
      </c>
      <c r="H77" s="66">
        <f>H13</f>
        <v>300</v>
      </c>
      <c r="I77" s="49">
        <v>0.08</v>
      </c>
      <c r="J77" s="48">
        <f>38*2+55+10</f>
        <v>141</v>
      </c>
      <c r="K77" s="48">
        <f>(F77+G77+J77)*$K$5</f>
        <v>35.4</v>
      </c>
      <c r="L77" s="48">
        <f>(F77+G77+J77+K77)*$L$5</f>
        <v>18.762</v>
      </c>
      <c r="M77" s="48">
        <f t="shared" ref="M77:M85" si="58">(F77+G77+J77+K77+L77)*1.5</f>
        <v>966.243</v>
      </c>
      <c r="N77" s="48"/>
      <c r="O77" s="48">
        <f t="shared" ref="O77:O85" si="59">M77*E77</f>
        <v>68149.11879</v>
      </c>
      <c r="P77" s="69" t="str">
        <f>P76</f>
        <v>龙骨驰龙、石膏板泰山</v>
      </c>
      <c r="Q77" s="72" t="s">
        <v>165</v>
      </c>
      <c r="R77" s="46">
        <f t="shared" ref="R77:R91" si="60">E77*M77</f>
        <v>68149.11879</v>
      </c>
      <c r="S77" s="46">
        <f t="shared" ref="S77:S91" si="61">F77+G77+J77+K77+L77</f>
        <v>644.162</v>
      </c>
      <c r="T77" s="46" t="b">
        <f t="shared" ref="T77:T91" si="62">O77=R77</f>
        <v>1</v>
      </c>
      <c r="U77" s="46" t="b">
        <f t="shared" ref="U77:U91" si="63">M77=S77</f>
        <v>0</v>
      </c>
    </row>
    <row r="78" s="63" customFormat="1" customHeight="1" outlineLevel="1" spans="1:21">
      <c r="A78" s="32">
        <v>61</v>
      </c>
      <c r="B78" s="32" t="s">
        <v>80</v>
      </c>
      <c r="C78" s="32" t="s">
        <v>166</v>
      </c>
      <c r="D78" s="32" t="s">
        <v>67</v>
      </c>
      <c r="E78" s="32">
        <v>151.02</v>
      </c>
      <c r="F78" s="66">
        <f t="shared" ref="F78:J78" si="64">F14</f>
        <v>155</v>
      </c>
      <c r="G78" s="48">
        <f t="shared" si="57"/>
        <v>324</v>
      </c>
      <c r="H78" s="66">
        <f t="shared" si="64"/>
        <v>300</v>
      </c>
      <c r="I78" s="48">
        <f t="shared" si="64"/>
        <v>0.08</v>
      </c>
      <c r="J78" s="48">
        <f t="shared" si="64"/>
        <v>125</v>
      </c>
      <c r="K78" s="48">
        <f>(F78+G78+J78)*$K$5</f>
        <v>36.24</v>
      </c>
      <c r="L78" s="48">
        <f>(F78+G78+J78+K78)*$L$5</f>
        <v>19.2072</v>
      </c>
      <c r="M78" s="48">
        <f t="shared" si="58"/>
        <v>989.1708</v>
      </c>
      <c r="N78" s="48"/>
      <c r="O78" s="48">
        <f t="shared" si="59"/>
        <v>149384.574216</v>
      </c>
      <c r="P78" s="69" t="str">
        <f>P77</f>
        <v>龙骨驰龙、石膏板泰山</v>
      </c>
      <c r="Q78" s="72" t="s">
        <v>165</v>
      </c>
      <c r="R78" s="46">
        <f t="shared" si="60"/>
        <v>149384.574216</v>
      </c>
      <c r="S78" s="46">
        <f t="shared" si="61"/>
        <v>659.4472</v>
      </c>
      <c r="T78" s="46" t="b">
        <f t="shared" si="62"/>
        <v>1</v>
      </c>
      <c r="U78" s="46" t="b">
        <f t="shared" si="63"/>
        <v>0</v>
      </c>
    </row>
    <row r="79" s="63" customFormat="1" customHeight="1" outlineLevel="1" spans="1:21">
      <c r="A79" s="51">
        <v>62</v>
      </c>
      <c r="B79" s="51" t="s">
        <v>77</v>
      </c>
      <c r="C79" s="51" t="s">
        <v>167</v>
      </c>
      <c r="D79" s="51" t="s">
        <v>67</v>
      </c>
      <c r="E79" s="51">
        <v>60.33</v>
      </c>
      <c r="F79" s="68">
        <v>185</v>
      </c>
      <c r="G79" s="67">
        <f t="shared" si="57"/>
        <v>291.5</v>
      </c>
      <c r="H79" s="68">
        <v>265</v>
      </c>
      <c r="I79" s="54">
        <v>0.1</v>
      </c>
      <c r="J79" s="67">
        <v>155</v>
      </c>
      <c r="K79" s="67">
        <f>(F79+G79+J79)*$K$5</f>
        <v>37.89</v>
      </c>
      <c r="L79" s="67">
        <f>(F79+G79+J79+K79)*$L$5</f>
        <v>20.0817</v>
      </c>
      <c r="M79" s="48">
        <f t="shared" si="58"/>
        <v>1034.20755</v>
      </c>
      <c r="N79" s="48"/>
      <c r="O79" s="67">
        <f t="shared" si="59"/>
        <v>62393.7414915</v>
      </c>
      <c r="P79" s="75" t="str">
        <f>P78</f>
        <v>龙骨驰龙、石膏板泰山</v>
      </c>
      <c r="Q79" s="72" t="s">
        <v>168</v>
      </c>
      <c r="R79" s="46">
        <f t="shared" si="60"/>
        <v>62393.7414915</v>
      </c>
      <c r="S79" s="46">
        <f t="shared" si="61"/>
        <v>689.4717</v>
      </c>
      <c r="T79" s="46" t="b">
        <f t="shared" si="62"/>
        <v>1</v>
      </c>
      <c r="U79" s="46" t="b">
        <f t="shared" si="63"/>
        <v>0</v>
      </c>
    </row>
    <row r="80" s="63" customFormat="1" customHeight="1" outlineLevel="1" spans="1:21">
      <c r="A80" s="51">
        <v>63</v>
      </c>
      <c r="B80" s="51" t="s">
        <v>77</v>
      </c>
      <c r="C80" s="51" t="s">
        <v>169</v>
      </c>
      <c r="D80" s="51" t="s">
        <v>67</v>
      </c>
      <c r="E80" s="51">
        <v>12.56</v>
      </c>
      <c r="F80" s="68">
        <f>35+20*2+35+15</f>
        <v>125</v>
      </c>
      <c r="G80" s="67">
        <f t="shared" si="57"/>
        <v>128.1</v>
      </c>
      <c r="H80" s="68">
        <f>15+42+65</f>
        <v>122</v>
      </c>
      <c r="I80" s="54">
        <v>0.05</v>
      </c>
      <c r="J80" s="67">
        <f>45+5+15</f>
        <v>65</v>
      </c>
      <c r="K80" s="67">
        <f>(F80+G80+J80)*$K$5</f>
        <v>19.086</v>
      </c>
      <c r="L80" s="67">
        <f>(F80+G80+J80+K80)*$L$5</f>
        <v>10.11558</v>
      </c>
      <c r="M80" s="48">
        <f t="shared" si="58"/>
        <v>520.95237</v>
      </c>
      <c r="N80" s="48"/>
      <c r="O80" s="67">
        <f t="shared" si="59"/>
        <v>6543.1617672</v>
      </c>
      <c r="P80" s="67" t="str">
        <f>P79</f>
        <v>龙骨驰龙、石膏板泰山</v>
      </c>
      <c r="Q80" s="72"/>
      <c r="R80" s="46">
        <f t="shared" si="60"/>
        <v>6543.1617672</v>
      </c>
      <c r="S80" s="46">
        <f t="shared" si="61"/>
        <v>347.30158</v>
      </c>
      <c r="T80" s="46" t="b">
        <f t="shared" si="62"/>
        <v>1</v>
      </c>
      <c r="U80" s="46" t="b">
        <f t="shared" si="63"/>
        <v>0</v>
      </c>
    </row>
    <row r="81" s="63" customFormat="1" customHeight="1" outlineLevel="1" spans="1:21">
      <c r="A81" s="32">
        <v>64</v>
      </c>
      <c r="B81" s="32" t="s">
        <v>77</v>
      </c>
      <c r="C81" s="32" t="s">
        <v>170</v>
      </c>
      <c r="D81" s="32" t="s">
        <v>67</v>
      </c>
      <c r="E81" s="32">
        <v>29.65</v>
      </c>
      <c r="F81" s="66">
        <f t="shared" ref="F81:J81" si="65">F80</f>
        <v>125</v>
      </c>
      <c r="G81" s="48">
        <f t="shared" si="57"/>
        <v>88.2</v>
      </c>
      <c r="H81" s="66">
        <f>H80-38</f>
        <v>84</v>
      </c>
      <c r="I81" s="49">
        <f t="shared" si="65"/>
        <v>0.05</v>
      </c>
      <c r="J81" s="48">
        <f t="shared" si="65"/>
        <v>65</v>
      </c>
      <c r="K81" s="48">
        <f>(F81+G81+J81)*$K$5</f>
        <v>16.692</v>
      </c>
      <c r="L81" s="48">
        <f>(F81+G81+J81+K81)*$L$5</f>
        <v>8.84676</v>
      </c>
      <c r="M81" s="48">
        <f t="shared" si="58"/>
        <v>455.60814</v>
      </c>
      <c r="N81" s="48"/>
      <c r="O81" s="48">
        <f t="shared" si="59"/>
        <v>13508.781351</v>
      </c>
      <c r="P81" s="69" t="str">
        <f>P80</f>
        <v>龙骨驰龙、石膏板泰山</v>
      </c>
      <c r="Q81" s="72" t="s">
        <v>165</v>
      </c>
      <c r="R81" s="46">
        <f t="shared" si="60"/>
        <v>13508.781351</v>
      </c>
      <c r="S81" s="46">
        <f t="shared" si="61"/>
        <v>303.73876</v>
      </c>
      <c r="T81" s="46" t="b">
        <f t="shared" si="62"/>
        <v>1</v>
      </c>
      <c r="U81" s="46" t="b">
        <f t="shared" si="63"/>
        <v>0</v>
      </c>
    </row>
    <row r="82" s="63" customFormat="1" customHeight="1" outlineLevel="1" spans="1:21">
      <c r="A82" s="51">
        <v>65</v>
      </c>
      <c r="B82" s="51" t="s">
        <v>77</v>
      </c>
      <c r="C82" s="51" t="s">
        <v>171</v>
      </c>
      <c r="D82" s="51" t="s">
        <v>67</v>
      </c>
      <c r="E82" s="51">
        <v>29.2</v>
      </c>
      <c r="F82" s="68">
        <f>F81*1.8</f>
        <v>225</v>
      </c>
      <c r="G82" s="67">
        <f t="shared" si="57"/>
        <v>214.11</v>
      </c>
      <c r="H82" s="68">
        <f>H80*1.3</f>
        <v>158.6</v>
      </c>
      <c r="I82" s="54">
        <v>0.35</v>
      </c>
      <c r="J82" s="67">
        <f>J80*2</f>
        <v>130</v>
      </c>
      <c r="K82" s="67">
        <f>(F82+G82+J82)*$K$5</f>
        <v>34.1466</v>
      </c>
      <c r="L82" s="67">
        <f>(F82+G82+J82+K82)*$L$5</f>
        <v>18.097698</v>
      </c>
      <c r="M82" s="48">
        <f t="shared" si="58"/>
        <v>932.031447</v>
      </c>
      <c r="N82" s="48"/>
      <c r="O82" s="74">
        <f t="shared" si="59"/>
        <v>27215.3182524</v>
      </c>
      <c r="P82" s="74" t="str">
        <f>P81</f>
        <v>龙骨驰龙、石膏板泰山</v>
      </c>
      <c r="Q82" s="72"/>
      <c r="R82" s="46">
        <f t="shared" si="60"/>
        <v>27215.3182524</v>
      </c>
      <c r="S82" s="46">
        <f t="shared" si="61"/>
        <v>621.354298</v>
      </c>
      <c r="T82" s="46" t="b">
        <f t="shared" si="62"/>
        <v>1</v>
      </c>
      <c r="U82" s="46" t="b">
        <f t="shared" si="63"/>
        <v>0</v>
      </c>
    </row>
    <row r="83" s="63" customFormat="1" customHeight="1" outlineLevel="1" spans="1:21">
      <c r="A83" s="51">
        <v>66</v>
      </c>
      <c r="B83" s="51" t="s">
        <v>77</v>
      </c>
      <c r="C83" s="51" t="s">
        <v>172</v>
      </c>
      <c r="D83" s="51" t="s">
        <v>67</v>
      </c>
      <c r="E83" s="51">
        <v>494.88</v>
      </c>
      <c r="F83" s="68">
        <f t="shared" ref="F83:J83" si="66">F80</f>
        <v>125</v>
      </c>
      <c r="G83" s="67">
        <f t="shared" si="57"/>
        <v>128.1</v>
      </c>
      <c r="H83" s="68">
        <f t="shared" si="66"/>
        <v>122</v>
      </c>
      <c r="I83" s="54">
        <f t="shared" si="66"/>
        <v>0.05</v>
      </c>
      <c r="J83" s="67">
        <f t="shared" si="66"/>
        <v>65</v>
      </c>
      <c r="K83" s="67">
        <f>(F83+G83+J83)*$K$5</f>
        <v>19.086</v>
      </c>
      <c r="L83" s="67">
        <f>(F83+G83+J83+K83)*$L$5</f>
        <v>10.11558</v>
      </c>
      <c r="M83" s="48">
        <f t="shared" si="58"/>
        <v>520.95237</v>
      </c>
      <c r="N83" s="48"/>
      <c r="O83" s="74">
        <f t="shared" si="59"/>
        <v>257808.9088656</v>
      </c>
      <c r="P83" s="74"/>
      <c r="Q83" s="72"/>
      <c r="R83" s="46">
        <f t="shared" si="60"/>
        <v>257808.9088656</v>
      </c>
      <c r="S83" s="46">
        <f t="shared" si="61"/>
        <v>347.30158</v>
      </c>
      <c r="T83" s="46" t="b">
        <f t="shared" si="62"/>
        <v>1</v>
      </c>
      <c r="U83" s="46" t="b">
        <f t="shared" si="63"/>
        <v>0</v>
      </c>
    </row>
    <row r="84" s="63" customFormat="1" customHeight="1" outlineLevel="1" spans="1:21">
      <c r="A84" s="51">
        <v>67</v>
      </c>
      <c r="B84" s="51" t="s">
        <v>173</v>
      </c>
      <c r="C84" s="51" t="s">
        <v>174</v>
      </c>
      <c r="D84" s="51" t="s">
        <v>67</v>
      </c>
      <c r="E84" s="51">
        <v>14.3</v>
      </c>
      <c r="F84" s="68">
        <f>20+135+50</f>
        <v>205</v>
      </c>
      <c r="G84" s="67">
        <f t="shared" si="57"/>
        <v>368</v>
      </c>
      <c r="H84" s="68">
        <v>320</v>
      </c>
      <c r="I84" s="54">
        <v>0.15</v>
      </c>
      <c r="J84" s="67">
        <v>155</v>
      </c>
      <c r="K84" s="67">
        <f>(F84+G84+J84)*$K$5</f>
        <v>43.68</v>
      </c>
      <c r="L84" s="67">
        <f>(F84+G84+J84+K84)*$L$5</f>
        <v>23.1504</v>
      </c>
      <c r="M84" s="48">
        <f t="shared" si="58"/>
        <v>1192.2456</v>
      </c>
      <c r="N84" s="48"/>
      <c r="O84" s="67">
        <f t="shared" si="59"/>
        <v>17049.11208</v>
      </c>
      <c r="P84" s="75"/>
      <c r="Q84" s="72"/>
      <c r="R84" s="46">
        <f t="shared" si="60"/>
        <v>17049.11208</v>
      </c>
      <c r="S84" s="46">
        <f t="shared" si="61"/>
        <v>794.8304</v>
      </c>
      <c r="T84" s="46" t="b">
        <f t="shared" si="62"/>
        <v>1</v>
      </c>
      <c r="U84" s="46" t="b">
        <f t="shared" si="63"/>
        <v>0</v>
      </c>
    </row>
    <row r="85" s="63" customFormat="1" customHeight="1" outlineLevel="1" spans="1:21">
      <c r="A85" s="32">
        <v>68</v>
      </c>
      <c r="B85" s="32" t="s">
        <v>77</v>
      </c>
      <c r="C85" s="32" t="s">
        <v>175</v>
      </c>
      <c r="D85" s="32" t="s">
        <v>67</v>
      </c>
      <c r="E85" s="32">
        <v>2.72</v>
      </c>
      <c r="F85" s="66">
        <v>185</v>
      </c>
      <c r="G85" s="48">
        <f t="shared" si="57"/>
        <v>278.25</v>
      </c>
      <c r="H85" s="66">
        <v>265</v>
      </c>
      <c r="I85" s="49">
        <v>0.05</v>
      </c>
      <c r="J85" s="48">
        <v>85</v>
      </c>
      <c r="K85" s="48">
        <f>(F85+G85+J85)*$K$5</f>
        <v>32.895</v>
      </c>
      <c r="L85" s="48">
        <f>(F85+G85+J85+K85)*$L$5</f>
        <v>17.43435</v>
      </c>
      <c r="M85" s="48">
        <f t="shared" si="58"/>
        <v>897.869025</v>
      </c>
      <c r="N85" s="48"/>
      <c r="O85" s="48">
        <f t="shared" si="59"/>
        <v>2442.203748</v>
      </c>
      <c r="P85" s="69"/>
      <c r="Q85" s="72"/>
      <c r="R85" s="46">
        <f t="shared" si="60"/>
        <v>2442.203748</v>
      </c>
      <c r="S85" s="46">
        <f t="shared" si="61"/>
        <v>598.57935</v>
      </c>
      <c r="T85" s="46" t="b">
        <f t="shared" si="62"/>
        <v>1</v>
      </c>
      <c r="U85" s="46" t="b">
        <f t="shared" si="63"/>
        <v>0</v>
      </c>
    </row>
    <row r="86" s="63" customFormat="1" customHeight="1" spans="1:21">
      <c r="A86" s="32"/>
      <c r="B86" s="32" t="s">
        <v>176</v>
      </c>
      <c r="C86" s="32"/>
      <c r="D86" s="32"/>
      <c r="E86" s="32"/>
      <c r="F86" s="66"/>
      <c r="G86" s="48"/>
      <c r="H86" s="66"/>
      <c r="I86" s="49"/>
      <c r="J86" s="48"/>
      <c r="K86" s="48"/>
      <c r="L86" s="48"/>
      <c r="M86" s="48">
        <f>SUM(O87:O279)</f>
        <v>2138795.78238285</v>
      </c>
      <c r="N86" s="48"/>
      <c r="O86" s="48"/>
      <c r="P86" s="69"/>
      <c r="Q86" s="72"/>
      <c r="R86" s="46">
        <f t="shared" si="60"/>
        <v>0</v>
      </c>
      <c r="S86" s="46">
        <f t="shared" si="61"/>
        <v>0</v>
      </c>
      <c r="T86" s="46" t="b">
        <f t="shared" si="62"/>
        <v>1</v>
      </c>
      <c r="U86" s="46" t="b">
        <f t="shared" si="63"/>
        <v>0</v>
      </c>
    </row>
    <row r="87" s="63" customFormat="1" customHeight="1" spans="1:21">
      <c r="A87" s="32"/>
      <c r="B87" s="32" t="s">
        <v>177</v>
      </c>
      <c r="C87" s="32"/>
      <c r="D87" s="32"/>
      <c r="E87" s="32"/>
      <c r="F87" s="66"/>
      <c r="G87" s="48"/>
      <c r="H87" s="66"/>
      <c r="I87" s="49"/>
      <c r="J87" s="48"/>
      <c r="K87" s="48"/>
      <c r="L87" s="48"/>
      <c r="M87" s="48"/>
      <c r="N87" s="48"/>
      <c r="O87" s="48"/>
      <c r="P87" s="69"/>
      <c r="Q87" s="72"/>
      <c r="R87" s="46">
        <f t="shared" si="60"/>
        <v>0</v>
      </c>
      <c r="S87" s="46">
        <f t="shared" si="61"/>
        <v>0</v>
      </c>
      <c r="T87" s="46" t="b">
        <f t="shared" si="62"/>
        <v>1</v>
      </c>
      <c r="U87" s="46" t="b">
        <f t="shared" si="63"/>
        <v>1</v>
      </c>
    </row>
    <row r="88" s="63" customFormat="1" customHeight="1" outlineLevel="1" spans="1:21">
      <c r="A88" s="32">
        <v>69</v>
      </c>
      <c r="B88" s="32" t="s">
        <v>178</v>
      </c>
      <c r="C88" s="32" t="s">
        <v>179</v>
      </c>
      <c r="D88" s="32" t="s">
        <v>67</v>
      </c>
      <c r="E88" s="32">
        <v>3.82</v>
      </c>
      <c r="F88" s="66">
        <f t="shared" ref="F88:J88" si="67">F19</f>
        <v>190</v>
      </c>
      <c r="G88" s="48">
        <f t="shared" ref="G88:G93" si="68">H88*(1+I88)</f>
        <v>315</v>
      </c>
      <c r="H88" s="66">
        <f t="shared" si="67"/>
        <v>300</v>
      </c>
      <c r="I88" s="49">
        <f t="shared" si="67"/>
        <v>0.05</v>
      </c>
      <c r="J88" s="48">
        <f t="shared" si="67"/>
        <v>150</v>
      </c>
      <c r="K88" s="48">
        <f>(F88+G88+J88)*$K$5</f>
        <v>39.3</v>
      </c>
      <c r="L88" s="48">
        <f>(F88+G88+J88+K88)*$L$5</f>
        <v>20.829</v>
      </c>
      <c r="M88" s="48">
        <f>(F88+G88+J88+K88+L88)*1.5</f>
        <v>1072.6935</v>
      </c>
      <c r="N88" s="48"/>
      <c r="O88" s="48">
        <f t="shared" ref="O88:O93" si="69">M88*E88</f>
        <v>4097.68917</v>
      </c>
      <c r="P88" s="69" t="str">
        <f>P71</f>
        <v>厂家定制</v>
      </c>
      <c r="Q88" s="72"/>
      <c r="R88" s="46">
        <f t="shared" si="60"/>
        <v>4097.68917</v>
      </c>
      <c r="S88" s="46">
        <f t="shared" si="61"/>
        <v>715.129</v>
      </c>
      <c r="T88" s="46" t="b">
        <f t="shared" si="62"/>
        <v>1</v>
      </c>
      <c r="U88" s="46" t="b">
        <f t="shared" si="63"/>
        <v>0</v>
      </c>
    </row>
    <row r="89" s="63" customFormat="1" customHeight="1" outlineLevel="1" spans="1:21">
      <c r="A89" s="32">
        <v>70</v>
      </c>
      <c r="B89" s="32" t="s">
        <v>180</v>
      </c>
      <c r="C89" s="32" t="s">
        <v>181</v>
      </c>
      <c r="D89" s="32" t="s">
        <v>67</v>
      </c>
      <c r="E89" s="32">
        <v>9.83</v>
      </c>
      <c r="F89" s="66">
        <v>185</v>
      </c>
      <c r="G89" s="48">
        <f t="shared" si="68"/>
        <v>336</v>
      </c>
      <c r="H89" s="66">
        <v>320</v>
      </c>
      <c r="I89" s="49">
        <v>0.05</v>
      </c>
      <c r="J89" s="48">
        <v>35</v>
      </c>
      <c r="K89" s="48">
        <f>(F89+G89+J89)*$K$5</f>
        <v>33.36</v>
      </c>
      <c r="L89" s="48">
        <f>(F89+G89+J89+K89)*$L$5</f>
        <v>17.6808</v>
      </c>
      <c r="M89" s="48">
        <f>(F89+G89+J89+K89+L89)*1.5</f>
        <v>910.5612</v>
      </c>
      <c r="N89" s="48"/>
      <c r="O89" s="48">
        <f t="shared" si="69"/>
        <v>8950.816596</v>
      </c>
      <c r="P89" s="69"/>
      <c r="Q89" s="72"/>
      <c r="R89" s="46">
        <f t="shared" si="60"/>
        <v>8950.816596</v>
      </c>
      <c r="S89" s="46">
        <f t="shared" si="61"/>
        <v>607.0408</v>
      </c>
      <c r="T89" s="46" t="b">
        <f t="shared" si="62"/>
        <v>1</v>
      </c>
      <c r="U89" s="46" t="b">
        <f t="shared" si="63"/>
        <v>0</v>
      </c>
    </row>
    <row r="90" s="63" customFormat="1" customHeight="1" outlineLevel="1" spans="1:21">
      <c r="A90" s="51">
        <v>71</v>
      </c>
      <c r="B90" s="51" t="s">
        <v>182</v>
      </c>
      <c r="C90" s="51" t="s">
        <v>183</v>
      </c>
      <c r="D90" s="51" t="s">
        <v>67</v>
      </c>
      <c r="E90" s="51">
        <v>27.79</v>
      </c>
      <c r="F90" s="68">
        <v>260</v>
      </c>
      <c r="G90" s="67">
        <f t="shared" si="68"/>
        <v>441</v>
      </c>
      <c r="H90" s="68">
        <v>420</v>
      </c>
      <c r="I90" s="54">
        <v>0.05</v>
      </c>
      <c r="J90" s="67">
        <v>164</v>
      </c>
      <c r="K90" s="67">
        <f>(F90+G90+J90)*$K$5</f>
        <v>51.9</v>
      </c>
      <c r="L90" s="67">
        <f>(F90+G90+J90+K90)*$L$5</f>
        <v>27.507</v>
      </c>
      <c r="M90" s="48">
        <f>(F90+G90+J90+K90+L90)*1.5</f>
        <v>1416.6105</v>
      </c>
      <c r="N90" s="48"/>
      <c r="O90" s="67">
        <f t="shared" si="69"/>
        <v>39367.605795</v>
      </c>
      <c r="P90" s="75" t="str">
        <f>P88</f>
        <v>厂家定制</v>
      </c>
      <c r="Q90" s="72"/>
      <c r="R90" s="46">
        <f t="shared" si="60"/>
        <v>39367.605795</v>
      </c>
      <c r="S90" s="46">
        <f t="shared" si="61"/>
        <v>944.407</v>
      </c>
      <c r="T90" s="46" t="b">
        <f t="shared" si="62"/>
        <v>1</v>
      </c>
      <c r="U90" s="46" t="b">
        <f t="shared" si="63"/>
        <v>0</v>
      </c>
    </row>
    <row r="91" s="63" customFormat="1" customHeight="1" outlineLevel="1" spans="1:21">
      <c r="A91" s="51">
        <v>72</v>
      </c>
      <c r="B91" s="51" t="s">
        <v>184</v>
      </c>
      <c r="C91" s="51" t="s">
        <v>185</v>
      </c>
      <c r="D91" s="51" t="s">
        <v>67</v>
      </c>
      <c r="E91" s="51">
        <v>10.83</v>
      </c>
      <c r="F91" s="68">
        <v>220</v>
      </c>
      <c r="G91" s="67">
        <f t="shared" si="68"/>
        <v>273</v>
      </c>
      <c r="H91" s="68">
        <v>260</v>
      </c>
      <c r="I91" s="54">
        <v>0.05</v>
      </c>
      <c r="J91" s="67">
        <v>160</v>
      </c>
      <c r="K91" s="67">
        <f>(F91+G91+J91)*$K$5</f>
        <v>39.18</v>
      </c>
      <c r="L91" s="67">
        <f>(F91+G91+J91+K91)*$L$5</f>
        <v>20.7654</v>
      </c>
      <c r="M91" s="48">
        <f t="shared" ref="M91:M96" si="70">(F91+G91+J91+K91+L91)*1.5</f>
        <v>1069.4181</v>
      </c>
      <c r="N91" s="48"/>
      <c r="O91" s="67">
        <f t="shared" si="69"/>
        <v>11581.798023</v>
      </c>
      <c r="P91" s="75" t="str">
        <f>P88</f>
        <v>厂家定制</v>
      </c>
      <c r="Q91" s="72"/>
      <c r="R91" s="46">
        <f t="shared" si="60"/>
        <v>11581.798023</v>
      </c>
      <c r="S91" s="46">
        <f t="shared" si="61"/>
        <v>712.9454</v>
      </c>
      <c r="T91" s="46" t="b">
        <f t="shared" si="62"/>
        <v>1</v>
      </c>
      <c r="U91" s="46" t="b">
        <f t="shared" si="63"/>
        <v>0</v>
      </c>
    </row>
    <row r="92" s="63" customFormat="1" customHeight="1" outlineLevel="1" spans="1:21">
      <c r="A92" s="32">
        <v>73</v>
      </c>
      <c r="B92" s="32" t="s">
        <v>186</v>
      </c>
      <c r="C92" s="32" t="s">
        <v>187</v>
      </c>
      <c r="D92" s="32" t="s">
        <v>102</v>
      </c>
      <c r="E92" s="32">
        <v>21.92</v>
      </c>
      <c r="F92" s="66">
        <v>25</v>
      </c>
      <c r="G92" s="48">
        <f t="shared" si="68"/>
        <v>36.75</v>
      </c>
      <c r="H92" s="66">
        <v>35</v>
      </c>
      <c r="I92" s="49">
        <v>0.05</v>
      </c>
      <c r="J92" s="48">
        <v>5</v>
      </c>
      <c r="K92" s="48">
        <f>(F92+G92+J92)*$K$5</f>
        <v>4.005</v>
      </c>
      <c r="L92" s="48">
        <f>(F92+G92+J92+K92)*$L$5</f>
        <v>2.12265</v>
      </c>
      <c r="M92" s="48">
        <f t="shared" si="70"/>
        <v>109.316475</v>
      </c>
      <c r="N92" s="48"/>
      <c r="O92" s="48">
        <f t="shared" si="69"/>
        <v>2396.217132</v>
      </c>
      <c r="P92" s="69"/>
      <c r="Q92" s="72"/>
      <c r="R92" s="46">
        <f>E92*M92</f>
        <v>2396.217132</v>
      </c>
      <c r="S92" s="46">
        <f>F92+G92+J92+K92+L92</f>
        <v>72.87765</v>
      </c>
      <c r="T92" s="46" t="b">
        <f>O92=R92</f>
        <v>1</v>
      </c>
      <c r="U92" s="46" t="b">
        <f>M92=S92</f>
        <v>0</v>
      </c>
    </row>
    <row r="93" s="63" customFormat="1" customHeight="1" outlineLevel="1" spans="1:21">
      <c r="A93" s="32">
        <v>74</v>
      </c>
      <c r="B93" s="32" t="s">
        <v>186</v>
      </c>
      <c r="C93" s="32" t="s">
        <v>188</v>
      </c>
      <c r="D93" s="32" t="s">
        <v>102</v>
      </c>
      <c r="E93" s="32">
        <v>247.28</v>
      </c>
      <c r="F93" s="66">
        <f>F92</f>
        <v>25</v>
      </c>
      <c r="G93" s="48">
        <f t="shared" si="68"/>
        <v>33.6</v>
      </c>
      <c r="H93" s="66">
        <v>32</v>
      </c>
      <c r="I93" s="49">
        <v>0.05</v>
      </c>
      <c r="J93" s="48">
        <v>5</v>
      </c>
      <c r="K93" s="48">
        <f>(F93+G93+J93)*$K$5</f>
        <v>3.816</v>
      </c>
      <c r="L93" s="48">
        <f>(F93+G93+J93+K93)*$L$5</f>
        <v>2.02248</v>
      </c>
      <c r="M93" s="48">
        <f t="shared" si="70"/>
        <v>104.15772</v>
      </c>
      <c r="N93" s="48"/>
      <c r="O93" s="48">
        <f t="shared" si="69"/>
        <v>25756.1210016</v>
      </c>
      <c r="P93" s="69"/>
      <c r="Q93" s="72"/>
      <c r="R93" s="46">
        <f>E93*M93</f>
        <v>25756.1210016</v>
      </c>
      <c r="S93" s="46">
        <f>F93+G93+J93+K93+L93</f>
        <v>69.43848</v>
      </c>
      <c r="T93" s="46" t="b">
        <f>O93=R93</f>
        <v>1</v>
      </c>
      <c r="U93" s="46" t="b">
        <f>M93=S93</f>
        <v>0</v>
      </c>
    </row>
    <row r="94" s="63" customFormat="1" customHeight="1" spans="1:21">
      <c r="A94" s="32"/>
      <c r="B94" s="32" t="s">
        <v>189</v>
      </c>
      <c r="C94" s="32"/>
      <c r="D94" s="32"/>
      <c r="E94" s="32"/>
      <c r="F94" s="66"/>
      <c r="G94" s="48"/>
      <c r="H94" s="66"/>
      <c r="I94" s="49"/>
      <c r="J94" s="48"/>
      <c r="K94" s="48"/>
      <c r="L94" s="48"/>
      <c r="M94" s="48"/>
      <c r="N94" s="48"/>
      <c r="O94" s="48"/>
      <c r="P94" s="69"/>
      <c r="Q94" s="72"/>
      <c r="R94" s="46">
        <f>E94*M94</f>
        <v>0</v>
      </c>
      <c r="S94" s="46">
        <f>F94+G94+J94+K94+L94</f>
        <v>0</v>
      </c>
      <c r="T94" s="46" t="b">
        <f>O94=R94</f>
        <v>1</v>
      </c>
      <c r="U94" s="46" t="b">
        <f>M94=S94</f>
        <v>1</v>
      </c>
    </row>
    <row r="95" s="63" customFormat="1" customHeight="1" outlineLevel="1" spans="1:21">
      <c r="A95" s="32"/>
      <c r="B95" s="32" t="s">
        <v>190</v>
      </c>
      <c r="C95" s="32"/>
      <c r="D95" s="32"/>
      <c r="E95" s="32"/>
      <c r="F95" s="66"/>
      <c r="G95" s="48"/>
      <c r="H95" s="66"/>
      <c r="I95" s="49"/>
      <c r="J95" s="48"/>
      <c r="K95" s="48"/>
      <c r="L95" s="48"/>
      <c r="M95" s="48"/>
      <c r="N95" s="48"/>
      <c r="O95" s="48"/>
      <c r="P95" s="69"/>
      <c r="Q95" s="72"/>
      <c r="R95" s="46">
        <f>E95*M95</f>
        <v>0</v>
      </c>
      <c r="S95" s="46">
        <f>F95+G95+J95+K95+L95</f>
        <v>0</v>
      </c>
      <c r="T95" s="46" t="b">
        <f>O95=R95</f>
        <v>1</v>
      </c>
      <c r="U95" s="46" t="b">
        <f>M95=S95</f>
        <v>1</v>
      </c>
    </row>
    <row r="96" s="63" customFormat="1" ht="74" customHeight="1" outlineLevel="1" spans="1:21">
      <c r="A96" s="32">
        <v>75</v>
      </c>
      <c r="B96" s="32" t="s">
        <v>191</v>
      </c>
      <c r="C96" s="32" t="s">
        <v>192</v>
      </c>
      <c r="D96" s="32" t="s">
        <v>67</v>
      </c>
      <c r="E96" s="32">
        <v>38.76</v>
      </c>
      <c r="F96" s="66">
        <v>150</v>
      </c>
      <c r="G96" s="67">
        <f>H96*(1+I96)</f>
        <v>237.6</v>
      </c>
      <c r="H96" s="68">
        <v>220</v>
      </c>
      <c r="I96" s="54">
        <v>0.08</v>
      </c>
      <c r="J96" s="67">
        <v>75</v>
      </c>
      <c r="K96" s="67">
        <f>(F96+G96+J96)*$K$5</f>
        <v>27.756</v>
      </c>
      <c r="L96" s="67">
        <f>(F96+G96+J96+K96)*$L$5</f>
        <v>14.71068</v>
      </c>
      <c r="M96" s="48">
        <f t="shared" si="70"/>
        <v>757.60002</v>
      </c>
      <c r="N96" s="48"/>
      <c r="O96" s="67">
        <f>M96*E96</f>
        <v>29364.5767752</v>
      </c>
      <c r="P96" s="69" t="str">
        <f>P88</f>
        <v>厂家定制</v>
      </c>
      <c r="Q96" s="72" t="s">
        <v>165</v>
      </c>
      <c r="R96" s="46">
        <f>E96*M96</f>
        <v>29364.5767752</v>
      </c>
      <c r="S96" s="46">
        <f>F96+G96+J96+K96+L96</f>
        <v>505.06668</v>
      </c>
      <c r="T96" s="46" t="b">
        <f>O96=R96</f>
        <v>1</v>
      </c>
      <c r="U96" s="46" t="b">
        <f>M96=S96</f>
        <v>0</v>
      </c>
    </row>
    <row r="97" s="63" customFormat="1" customHeight="1" outlineLevel="1" spans="1:21">
      <c r="A97" s="32"/>
      <c r="B97" s="32" t="s">
        <v>193</v>
      </c>
      <c r="C97" s="32"/>
      <c r="D97" s="32"/>
      <c r="E97" s="32"/>
      <c r="F97" s="66"/>
      <c r="G97" s="48"/>
      <c r="H97" s="66"/>
      <c r="I97" s="49"/>
      <c r="J97" s="48"/>
      <c r="K97" s="48"/>
      <c r="L97" s="48"/>
      <c r="M97" s="48"/>
      <c r="N97" s="48"/>
      <c r="O97" s="48"/>
      <c r="P97" s="69"/>
      <c r="Q97" s="72"/>
      <c r="R97" s="46">
        <f>E97*M97</f>
        <v>0</v>
      </c>
      <c r="S97" s="46">
        <f>F97+G97+J97+K97+L97</f>
        <v>0</v>
      </c>
      <c r="T97" s="46" t="b">
        <f>O97=R97</f>
        <v>1</v>
      </c>
      <c r="U97" s="46" t="b">
        <f>M97=S97</f>
        <v>1</v>
      </c>
    </row>
    <row r="98" s="63" customFormat="1" customHeight="1" outlineLevel="1" spans="1:21">
      <c r="A98" s="51">
        <v>76</v>
      </c>
      <c r="B98" s="51" t="s">
        <v>191</v>
      </c>
      <c r="C98" s="51" t="s">
        <v>192</v>
      </c>
      <c r="D98" s="51" t="s">
        <v>67</v>
      </c>
      <c r="E98" s="51">
        <v>38.76</v>
      </c>
      <c r="F98" s="68">
        <f t="shared" ref="F98:J98" si="71">F96</f>
        <v>150</v>
      </c>
      <c r="G98" s="67">
        <f>H98*(1+I98)</f>
        <v>237.6</v>
      </c>
      <c r="H98" s="68">
        <f t="shared" si="71"/>
        <v>220</v>
      </c>
      <c r="I98" s="54">
        <f t="shared" si="71"/>
        <v>0.08</v>
      </c>
      <c r="J98" s="67">
        <f t="shared" si="71"/>
        <v>75</v>
      </c>
      <c r="K98" s="67">
        <f>(F98+G98+J98)*$K$5</f>
        <v>27.756</v>
      </c>
      <c r="L98" s="67">
        <f>(F98+G98+J98+K98)*$L$5</f>
        <v>14.71068</v>
      </c>
      <c r="M98" s="70">
        <f>(F98+G98+J98+K98+L98)*1.5</f>
        <v>757.60002</v>
      </c>
      <c r="N98" s="71"/>
      <c r="O98" s="67">
        <f>M98*E98</f>
        <v>29364.5767752</v>
      </c>
      <c r="P98" s="74" t="str">
        <f>P88</f>
        <v>厂家定制</v>
      </c>
      <c r="Q98" s="72" t="s">
        <v>165</v>
      </c>
      <c r="R98" s="46">
        <f>E98*M98</f>
        <v>29364.5767752</v>
      </c>
      <c r="S98" s="46">
        <f>F98+G98+J98+K98+L98</f>
        <v>505.06668</v>
      </c>
      <c r="T98" s="46" t="b">
        <f>O98=R98</f>
        <v>1</v>
      </c>
      <c r="U98" s="46" t="b">
        <f>M98=S98</f>
        <v>0</v>
      </c>
    </row>
    <row r="99" s="63" customFormat="1" customHeight="1" outlineLevel="1" spans="1:21">
      <c r="A99" s="32"/>
      <c r="B99" s="32" t="s">
        <v>194</v>
      </c>
      <c r="C99" s="32"/>
      <c r="D99" s="32"/>
      <c r="E99" s="32"/>
      <c r="F99" s="66"/>
      <c r="G99" s="48"/>
      <c r="H99" s="66"/>
      <c r="I99" s="49"/>
      <c r="J99" s="48"/>
      <c r="K99" s="48"/>
      <c r="L99" s="48"/>
      <c r="M99" s="48"/>
      <c r="N99" s="48"/>
      <c r="O99" s="48"/>
      <c r="P99" s="69"/>
      <c r="Q99" s="72"/>
      <c r="R99" s="46">
        <f>E99*M99</f>
        <v>0</v>
      </c>
      <c r="S99" s="46">
        <f>F99+G99+J99+K99+L99</f>
        <v>0</v>
      </c>
      <c r="T99" s="46" t="b">
        <f>O99=R99</f>
        <v>1</v>
      </c>
      <c r="U99" s="46" t="b">
        <f>M99=S99</f>
        <v>1</v>
      </c>
    </row>
    <row r="100" s="63" customFormat="1" customHeight="1" outlineLevel="1" spans="1:21">
      <c r="A100" s="32">
        <v>77</v>
      </c>
      <c r="B100" s="32" t="s">
        <v>195</v>
      </c>
      <c r="C100" s="32" t="s">
        <v>196</v>
      </c>
      <c r="D100" s="32" t="s">
        <v>67</v>
      </c>
      <c r="E100" s="32">
        <v>15.87</v>
      </c>
      <c r="F100" s="66">
        <v>35</v>
      </c>
      <c r="G100" s="48">
        <f t="shared" ref="G100:G102" si="72">H100*(1+I100)</f>
        <v>26.25</v>
      </c>
      <c r="H100" s="66">
        <v>25</v>
      </c>
      <c r="I100" s="49">
        <v>0.05</v>
      </c>
      <c r="J100" s="48">
        <v>15</v>
      </c>
      <c r="K100" s="48">
        <f>(F100+G100+J100)*$K$5</f>
        <v>4.575</v>
      </c>
      <c r="L100" s="48">
        <f>(F100+G100+J100+K100)*$L$5</f>
        <v>2.42475</v>
      </c>
      <c r="M100" s="70">
        <f>(F100+G100+J100+K100+L100)*1.5</f>
        <v>124.874625</v>
      </c>
      <c r="N100" s="71"/>
      <c r="O100" s="48">
        <f t="shared" ref="O100:O102" si="73">M100*E100</f>
        <v>1981.76029875</v>
      </c>
      <c r="P100" s="69"/>
      <c r="Q100" s="72"/>
      <c r="R100" s="46">
        <f>E100*M100</f>
        <v>1981.76029875</v>
      </c>
      <c r="S100" s="46">
        <f>F100+G100+J100+K100+L100</f>
        <v>83.24975</v>
      </c>
      <c r="T100" s="46" t="b">
        <f>O100=R100</f>
        <v>1</v>
      </c>
      <c r="U100" s="46" t="b">
        <f>M100=S100</f>
        <v>0</v>
      </c>
    </row>
    <row r="101" s="63" customFormat="1" customHeight="1" outlineLevel="1" spans="1:21">
      <c r="A101" s="32">
        <v>78</v>
      </c>
      <c r="B101" s="32" t="s">
        <v>197</v>
      </c>
      <c r="C101" s="32" t="s">
        <v>198</v>
      </c>
      <c r="D101" s="32" t="s">
        <v>102</v>
      </c>
      <c r="E101" s="32">
        <v>15.56</v>
      </c>
      <c r="F101" s="66">
        <v>15</v>
      </c>
      <c r="G101" s="48">
        <f t="shared" si="72"/>
        <v>29.4</v>
      </c>
      <c r="H101" s="66">
        <v>28</v>
      </c>
      <c r="I101" s="49">
        <v>0.05</v>
      </c>
      <c r="J101" s="48">
        <v>1</v>
      </c>
      <c r="K101" s="48">
        <f>(F101+G101+J101)*$K$5</f>
        <v>2.724</v>
      </c>
      <c r="L101" s="48">
        <f>(F101+G101+J101+K101)*$L$5</f>
        <v>1.44372</v>
      </c>
      <c r="M101" s="70">
        <f>(F101+G101+J101+K101+L101)*1.5</f>
        <v>74.35158</v>
      </c>
      <c r="N101" s="71"/>
      <c r="O101" s="48">
        <f t="shared" si="73"/>
        <v>1156.9105848</v>
      </c>
      <c r="P101" s="69"/>
      <c r="Q101" s="72"/>
      <c r="R101" s="46">
        <f>E101*M101</f>
        <v>1156.9105848</v>
      </c>
      <c r="S101" s="46">
        <f>F101+G101+J101+K101+L101</f>
        <v>49.56772</v>
      </c>
      <c r="T101" s="46" t="b">
        <f>O101=R101</f>
        <v>1</v>
      </c>
      <c r="U101" s="46" t="b">
        <f>M101=S101</f>
        <v>0</v>
      </c>
    </row>
    <row r="102" s="63" customFormat="1" customHeight="1" outlineLevel="1" spans="1:21">
      <c r="A102" s="32">
        <v>79</v>
      </c>
      <c r="B102" s="32" t="s">
        <v>86</v>
      </c>
      <c r="C102" s="32" t="s">
        <v>199</v>
      </c>
      <c r="D102" s="32" t="s">
        <v>67</v>
      </c>
      <c r="E102" s="32">
        <v>36.57</v>
      </c>
      <c r="F102" s="66">
        <v>95</v>
      </c>
      <c r="G102" s="48">
        <f t="shared" si="72"/>
        <v>89.25</v>
      </c>
      <c r="H102" s="66">
        <v>85</v>
      </c>
      <c r="I102" s="49">
        <v>0.05</v>
      </c>
      <c r="J102" s="48">
        <f>25+15+48</f>
        <v>88</v>
      </c>
      <c r="K102" s="48">
        <f>(F102+G102+J102)*$K$5</f>
        <v>16.335</v>
      </c>
      <c r="L102" s="48">
        <f>(F102+G102+J102+K102)*$L$5</f>
        <v>8.65755</v>
      </c>
      <c r="M102" s="70">
        <f>(F102+G102+J102+K102+L102)*1.5</f>
        <v>445.863825</v>
      </c>
      <c r="N102" s="71"/>
      <c r="O102" s="48">
        <f t="shared" si="73"/>
        <v>16305.24008025</v>
      </c>
      <c r="P102" s="69"/>
      <c r="Q102" s="72" t="s">
        <v>168</v>
      </c>
      <c r="R102" s="46">
        <f>E102*M102</f>
        <v>16305.24008025</v>
      </c>
      <c r="S102" s="46">
        <f>F102+G102+J102+K102+L102</f>
        <v>297.24255</v>
      </c>
      <c r="T102" s="46" t="b">
        <f>O102=R102</f>
        <v>1</v>
      </c>
      <c r="U102" s="46" t="b">
        <f>M102=S102</f>
        <v>0</v>
      </c>
    </row>
    <row r="103" s="63" customFormat="1" customHeight="1" spans="1:21">
      <c r="A103" s="32"/>
      <c r="B103" s="32" t="s">
        <v>200</v>
      </c>
      <c r="C103" s="32"/>
      <c r="D103" s="32"/>
      <c r="E103" s="32"/>
      <c r="F103" s="66"/>
      <c r="G103" s="48"/>
      <c r="H103" s="66"/>
      <c r="I103" s="49"/>
      <c r="J103" s="48"/>
      <c r="K103" s="48"/>
      <c r="L103" s="48"/>
      <c r="M103" s="70"/>
      <c r="N103" s="71"/>
      <c r="O103" s="48"/>
      <c r="P103" s="69"/>
      <c r="Q103" s="72"/>
      <c r="R103" s="46">
        <f>E103*M103</f>
        <v>0</v>
      </c>
      <c r="S103" s="46">
        <f>F103+G103+J103+K103+L103</f>
        <v>0</v>
      </c>
      <c r="T103" s="46" t="b">
        <f>O103=R103</f>
        <v>1</v>
      </c>
      <c r="U103" s="46" t="b">
        <f>M103=S103</f>
        <v>1</v>
      </c>
    </row>
    <row r="104" s="63" customFormat="1" customHeight="1" outlineLevel="1" spans="1:21">
      <c r="A104" s="32">
        <v>80</v>
      </c>
      <c r="B104" s="32" t="s">
        <v>201</v>
      </c>
      <c r="C104" s="32" t="s">
        <v>202</v>
      </c>
      <c r="D104" s="32" t="s">
        <v>67</v>
      </c>
      <c r="E104" s="32">
        <v>75.62</v>
      </c>
      <c r="F104" s="66">
        <f t="shared" ref="F104:J104" si="74">F18</f>
        <v>190</v>
      </c>
      <c r="G104" s="48">
        <f>H104*(1+I104)</f>
        <v>315</v>
      </c>
      <c r="H104" s="66">
        <f t="shared" si="74"/>
        <v>300</v>
      </c>
      <c r="I104" s="49">
        <v>0.05</v>
      </c>
      <c r="J104" s="66">
        <f t="shared" si="74"/>
        <v>150</v>
      </c>
      <c r="K104" s="48">
        <f>(F104+G104+J104)*$K$5</f>
        <v>39.3</v>
      </c>
      <c r="L104" s="48">
        <f>(F104+G104+J104+K104)*$L$5</f>
        <v>20.829</v>
      </c>
      <c r="M104" s="70">
        <f>(F104+G104+J104+K104+L104)*1.5</f>
        <v>1072.6935</v>
      </c>
      <c r="N104" s="71"/>
      <c r="O104" s="48">
        <f>M104*E104</f>
        <v>81117.08247</v>
      </c>
      <c r="P104" s="69" t="str">
        <f>P91</f>
        <v>厂家定制</v>
      </c>
      <c r="Q104" s="72"/>
      <c r="R104" s="46">
        <f>E104*M104</f>
        <v>81117.08247</v>
      </c>
      <c r="S104" s="46">
        <f>F104+G104+J104+K104+L104</f>
        <v>715.129</v>
      </c>
      <c r="T104" s="46" t="b">
        <f>O104=R104</f>
        <v>1</v>
      </c>
      <c r="U104" s="46" t="b">
        <f>M104=S104</f>
        <v>0</v>
      </c>
    </row>
    <row r="105" s="63" customFormat="1" customHeight="1" outlineLevel="1" spans="1:21">
      <c r="A105" s="32">
        <v>81</v>
      </c>
      <c r="B105" s="32" t="s">
        <v>201</v>
      </c>
      <c r="C105" s="32" t="s">
        <v>203</v>
      </c>
      <c r="D105" s="32" t="s">
        <v>67</v>
      </c>
      <c r="E105" s="32">
        <v>21.16</v>
      </c>
      <c r="F105" s="66">
        <f>F18</f>
        <v>190</v>
      </c>
      <c r="G105" s="67">
        <f>H105*(1+I105)</f>
        <v>315</v>
      </c>
      <c r="H105" s="68">
        <f t="shared" ref="H105:J105" si="75">H104</f>
        <v>300</v>
      </c>
      <c r="I105" s="54">
        <f t="shared" si="75"/>
        <v>0.05</v>
      </c>
      <c r="J105" s="66">
        <f>J18</f>
        <v>150</v>
      </c>
      <c r="K105" s="67">
        <f>(F105+G105+J105)*$K$5</f>
        <v>39.3</v>
      </c>
      <c r="L105" s="67">
        <f>(F105+G105+J105+K105)*$L$5</f>
        <v>20.829</v>
      </c>
      <c r="M105" s="70">
        <f>(F105+G105+J105+K105+L105)*1.5</f>
        <v>1072.6935</v>
      </c>
      <c r="N105" s="71"/>
      <c r="O105" s="67">
        <f>M105*E105</f>
        <v>22698.19446</v>
      </c>
      <c r="P105" s="69" t="str">
        <f>P104</f>
        <v>厂家定制</v>
      </c>
      <c r="Q105" s="72"/>
      <c r="R105" s="46">
        <f>E105*M105</f>
        <v>22698.19446</v>
      </c>
      <c r="S105" s="46">
        <f>F105+G105+J105+K105+L105</f>
        <v>715.129</v>
      </c>
      <c r="T105" s="46" t="b">
        <f>O105=R105</f>
        <v>1</v>
      </c>
      <c r="U105" s="46" t="b">
        <f>M105=S105</f>
        <v>0</v>
      </c>
    </row>
    <row r="106" s="63" customFormat="1" customHeight="1" outlineLevel="1" spans="1:21">
      <c r="A106" s="51">
        <v>82</v>
      </c>
      <c r="B106" s="51" t="s">
        <v>201</v>
      </c>
      <c r="C106" s="51" t="s">
        <v>204</v>
      </c>
      <c r="D106" s="51" t="s">
        <v>67</v>
      </c>
      <c r="E106" s="51">
        <v>25.2</v>
      </c>
      <c r="F106" s="68">
        <f>F105</f>
        <v>190</v>
      </c>
      <c r="G106" s="67">
        <f>H106*(1+I106)</f>
        <v>315</v>
      </c>
      <c r="H106" s="68">
        <f t="shared" ref="F106:J106" si="76">H104</f>
        <v>300</v>
      </c>
      <c r="I106" s="54">
        <f t="shared" si="76"/>
        <v>0.05</v>
      </c>
      <c r="J106" s="67">
        <f>J105</f>
        <v>150</v>
      </c>
      <c r="K106" s="67">
        <f>(F106+G106+J106)*$K$5</f>
        <v>39.3</v>
      </c>
      <c r="L106" s="67">
        <f>(F106+G106+J106+K106)*$L$5</f>
        <v>20.829</v>
      </c>
      <c r="M106" s="70">
        <f>(F106+G106+J106+K106+L106)*1.5</f>
        <v>1072.6935</v>
      </c>
      <c r="N106" s="71"/>
      <c r="O106" s="67">
        <f>M106*E106</f>
        <v>27031.8762</v>
      </c>
      <c r="P106" s="74" t="str">
        <f>P104</f>
        <v>厂家定制</v>
      </c>
      <c r="Q106" s="72"/>
      <c r="R106" s="46">
        <f>E106*M106</f>
        <v>27031.8762</v>
      </c>
      <c r="S106" s="46">
        <f>F106+G106+J106+K106+L106</f>
        <v>715.129</v>
      </c>
      <c r="T106" s="46" t="b">
        <f>O106=R106</f>
        <v>1</v>
      </c>
      <c r="U106" s="46" t="b">
        <f>M106=S106</f>
        <v>0</v>
      </c>
    </row>
    <row r="107" s="63" customFormat="1" customHeight="1" outlineLevel="1" spans="1:21">
      <c r="A107" s="32">
        <v>83</v>
      </c>
      <c r="B107" s="32" t="s">
        <v>195</v>
      </c>
      <c r="C107" s="32" t="s">
        <v>205</v>
      </c>
      <c r="D107" s="32" t="s">
        <v>67</v>
      </c>
      <c r="E107" s="32">
        <v>190.66</v>
      </c>
      <c r="F107" s="66">
        <f t="shared" ref="F107:J107" si="77">F100</f>
        <v>35</v>
      </c>
      <c r="G107" s="48">
        <f t="shared" ref="G107:G109" si="78">H107*(1+I107)</f>
        <v>26.25</v>
      </c>
      <c r="H107" s="66">
        <f t="shared" si="77"/>
        <v>25</v>
      </c>
      <c r="I107" s="49">
        <f t="shared" si="77"/>
        <v>0.05</v>
      </c>
      <c r="J107" s="48">
        <f t="shared" si="77"/>
        <v>15</v>
      </c>
      <c r="K107" s="48">
        <f>(F107+G107+J107)*$K$5</f>
        <v>4.575</v>
      </c>
      <c r="L107" s="48">
        <f>(F107+G107+J107+K107)*$L$5</f>
        <v>2.42475</v>
      </c>
      <c r="M107" s="70">
        <f>(F107+G107+J107+K107+L107)*1.5</f>
        <v>124.874625</v>
      </c>
      <c r="N107" s="71"/>
      <c r="O107" s="48">
        <f t="shared" ref="O107:O109" si="79">M107*E107</f>
        <v>23808.5960025</v>
      </c>
      <c r="P107" s="69"/>
      <c r="Q107" s="72"/>
      <c r="R107" s="46">
        <f>E107*M107</f>
        <v>23808.5960025</v>
      </c>
      <c r="S107" s="46">
        <f>F107+G107+J107+K107+L107</f>
        <v>83.24975</v>
      </c>
      <c r="T107" s="46" t="b">
        <f>O107=R107</f>
        <v>1</v>
      </c>
      <c r="U107" s="46" t="b">
        <f>M107=S107</f>
        <v>0</v>
      </c>
    </row>
    <row r="108" s="63" customFormat="1" customHeight="1" outlineLevel="1" spans="1:21">
      <c r="A108" s="32">
        <v>84</v>
      </c>
      <c r="B108" s="32" t="s">
        <v>197</v>
      </c>
      <c r="C108" s="32" t="s">
        <v>206</v>
      </c>
      <c r="D108" s="32" t="s">
        <v>102</v>
      </c>
      <c r="E108" s="32">
        <v>100.82</v>
      </c>
      <c r="F108" s="66">
        <f t="shared" ref="F108:J108" si="80">F101</f>
        <v>15</v>
      </c>
      <c r="G108" s="48">
        <f t="shared" si="78"/>
        <v>29.4</v>
      </c>
      <c r="H108" s="66">
        <f t="shared" si="80"/>
        <v>28</v>
      </c>
      <c r="I108" s="49">
        <f t="shared" si="80"/>
        <v>0.05</v>
      </c>
      <c r="J108" s="48">
        <f t="shared" si="80"/>
        <v>1</v>
      </c>
      <c r="K108" s="48">
        <f>(F108+G108+J108)*$K$5</f>
        <v>2.724</v>
      </c>
      <c r="L108" s="48">
        <f>(F108+G108+J108+K108)*$L$5</f>
        <v>1.44372</v>
      </c>
      <c r="M108" s="70">
        <f t="shared" ref="M108:M113" si="81">(F108+G108+J108+K108+L108)*1.5</f>
        <v>74.35158</v>
      </c>
      <c r="N108" s="71"/>
      <c r="O108" s="48">
        <f t="shared" si="79"/>
        <v>7496.1262956</v>
      </c>
      <c r="P108" s="69"/>
      <c r="Q108" s="72"/>
      <c r="R108" s="46">
        <f>E108*M108</f>
        <v>7496.1262956</v>
      </c>
      <c r="S108" s="46">
        <f>F108+G108+J108+K108+L108</f>
        <v>49.56772</v>
      </c>
      <c r="T108" s="46" t="b">
        <f>O108=R108</f>
        <v>1</v>
      </c>
      <c r="U108" s="46" t="b">
        <f>M108=S108</f>
        <v>0</v>
      </c>
    </row>
    <row r="109" s="63" customFormat="1" customHeight="1" outlineLevel="1" spans="1:21">
      <c r="A109" s="32">
        <v>85</v>
      </c>
      <c r="B109" s="32" t="s">
        <v>116</v>
      </c>
      <c r="C109" s="32" t="s">
        <v>207</v>
      </c>
      <c r="D109" s="32" t="s">
        <v>67</v>
      </c>
      <c r="E109" s="32">
        <v>95.76</v>
      </c>
      <c r="F109" s="66">
        <f t="shared" ref="F109:J109" si="82">F42</f>
        <v>35</v>
      </c>
      <c r="G109" s="67">
        <f t="shared" si="78"/>
        <v>126</v>
      </c>
      <c r="H109" s="68">
        <f t="shared" si="82"/>
        <v>120</v>
      </c>
      <c r="I109" s="54">
        <f t="shared" si="82"/>
        <v>0.05</v>
      </c>
      <c r="J109" s="67">
        <f t="shared" si="82"/>
        <v>220</v>
      </c>
      <c r="K109" s="67">
        <f>(F109+G109+J109)*$K$5</f>
        <v>22.86</v>
      </c>
      <c r="L109" s="67">
        <f>(F109+G109+J109+K109)*$L$5</f>
        <v>12.1158</v>
      </c>
      <c r="M109" s="70">
        <f t="shared" si="81"/>
        <v>623.9637</v>
      </c>
      <c r="N109" s="71"/>
      <c r="O109" s="67">
        <f t="shared" si="79"/>
        <v>59750.763912</v>
      </c>
      <c r="P109" s="69"/>
      <c r="Q109" s="72"/>
      <c r="R109" s="46">
        <f>E109*M109</f>
        <v>59750.763912</v>
      </c>
      <c r="S109" s="46">
        <f>F109+G109+J109+K109+L109</f>
        <v>415.9758</v>
      </c>
      <c r="T109" s="46" t="b">
        <f>O109=R109</f>
        <v>1</v>
      </c>
      <c r="U109" s="46" t="b">
        <f>M109=S109</f>
        <v>0</v>
      </c>
    </row>
    <row r="110" s="63" customFormat="1" customHeight="1" outlineLevel="1" spans="1:21">
      <c r="A110" s="32">
        <v>86</v>
      </c>
      <c r="B110" s="32" t="s">
        <v>208</v>
      </c>
      <c r="C110" s="32" t="s">
        <v>209</v>
      </c>
      <c r="D110" s="32" t="s">
        <v>99</v>
      </c>
      <c r="E110" s="32">
        <v>1</v>
      </c>
      <c r="F110" s="66">
        <v>200</v>
      </c>
      <c r="G110" s="67">
        <f>H110*(1+I110)</f>
        <v>1260.48</v>
      </c>
      <c r="H110" s="68">
        <f>0.8*2.4*650</f>
        <v>1248</v>
      </c>
      <c r="I110" s="54">
        <v>0.01</v>
      </c>
      <c r="J110" s="67">
        <v>150</v>
      </c>
      <c r="K110" s="67">
        <f>(F110+G110+J110)*$K$5</f>
        <v>96.6288</v>
      </c>
      <c r="L110" s="67">
        <f>(F110+G110+J110+K110)*$L$5</f>
        <v>51.213264</v>
      </c>
      <c r="M110" s="70">
        <f t="shared" si="81"/>
        <v>2637.483096</v>
      </c>
      <c r="N110" s="71"/>
      <c r="O110" s="67">
        <f>M110*E110</f>
        <v>2637.483096</v>
      </c>
      <c r="P110" s="69"/>
      <c r="Q110" s="72"/>
      <c r="R110" s="46">
        <f>E110*M110</f>
        <v>2637.483096</v>
      </c>
      <c r="S110" s="46">
        <f>F110+G110+J110+K110+L110</f>
        <v>1758.322064</v>
      </c>
      <c r="T110" s="46" t="b">
        <f>O110=R110</f>
        <v>1</v>
      </c>
      <c r="U110" s="46" t="b">
        <f>M110=S110</f>
        <v>0</v>
      </c>
    </row>
    <row r="111" s="63" customFormat="1" customHeight="1" spans="1:21">
      <c r="A111" s="32"/>
      <c r="B111" s="32" t="s">
        <v>210</v>
      </c>
      <c r="C111" s="32"/>
      <c r="D111" s="32"/>
      <c r="E111" s="32"/>
      <c r="F111" s="66"/>
      <c r="G111" s="48"/>
      <c r="H111" s="66"/>
      <c r="I111" s="49"/>
      <c r="J111" s="48"/>
      <c r="K111" s="48"/>
      <c r="L111" s="48"/>
      <c r="M111" s="48"/>
      <c r="N111" s="48"/>
      <c r="O111" s="48"/>
      <c r="P111" s="69"/>
      <c r="Q111" s="72"/>
      <c r="R111" s="46">
        <f>E111*M111</f>
        <v>0</v>
      </c>
      <c r="S111" s="46">
        <f>F111+G111+J111+K111+L111</f>
        <v>0</v>
      </c>
      <c r="T111" s="46" t="b">
        <f>O111=R111</f>
        <v>1</v>
      </c>
      <c r="U111" s="46" t="b">
        <f>M111=S111</f>
        <v>1</v>
      </c>
    </row>
    <row r="112" s="63" customFormat="1" customHeight="1" outlineLevel="1" spans="1:21">
      <c r="A112" s="32"/>
      <c r="B112" s="32" t="s">
        <v>211</v>
      </c>
      <c r="C112" s="32"/>
      <c r="D112" s="32"/>
      <c r="E112" s="32"/>
      <c r="F112" s="66"/>
      <c r="G112" s="48"/>
      <c r="H112" s="66"/>
      <c r="I112" s="49"/>
      <c r="J112" s="48"/>
      <c r="K112" s="48"/>
      <c r="L112" s="48"/>
      <c r="M112" s="48"/>
      <c r="N112" s="48"/>
      <c r="O112" s="48"/>
      <c r="P112" s="69"/>
      <c r="Q112" s="72"/>
      <c r="R112" s="46">
        <f>E112*M112</f>
        <v>0</v>
      </c>
      <c r="S112" s="46">
        <f>F112+G112+J112+K112+L112</f>
        <v>0</v>
      </c>
      <c r="T112" s="46" t="b">
        <f>O112=R112</f>
        <v>1</v>
      </c>
      <c r="U112" s="46" t="b">
        <f>M112=S112</f>
        <v>1</v>
      </c>
    </row>
    <row r="113" s="63" customFormat="1" customHeight="1" outlineLevel="1" spans="1:21">
      <c r="A113" s="32">
        <v>87</v>
      </c>
      <c r="B113" s="32" t="s">
        <v>201</v>
      </c>
      <c r="C113" s="32" t="s">
        <v>202</v>
      </c>
      <c r="D113" s="32" t="s">
        <v>67</v>
      </c>
      <c r="E113" s="32">
        <v>20.23</v>
      </c>
      <c r="F113" s="66">
        <f>F104</f>
        <v>190</v>
      </c>
      <c r="G113" s="48">
        <f t="shared" ref="G111:G116" si="83">H113*(1+I113)</f>
        <v>315</v>
      </c>
      <c r="H113" s="66">
        <f>H104</f>
        <v>300</v>
      </c>
      <c r="I113" s="49">
        <f t="shared" ref="F113:J113" si="84">I104</f>
        <v>0.05</v>
      </c>
      <c r="J113" s="48">
        <f t="shared" si="84"/>
        <v>150</v>
      </c>
      <c r="K113" s="48">
        <f>(F113+G113+J113)*$K$5</f>
        <v>39.3</v>
      </c>
      <c r="L113" s="48">
        <f>(F113+G113+J113+K113)*$L$5</f>
        <v>20.829</v>
      </c>
      <c r="M113" s="70">
        <f t="shared" si="81"/>
        <v>1072.6935</v>
      </c>
      <c r="N113" s="71"/>
      <c r="O113" s="48">
        <f t="shared" ref="O111:O116" si="85">M113*E113</f>
        <v>21700.589505</v>
      </c>
      <c r="P113" s="69" t="str">
        <f>P104</f>
        <v>厂家定制</v>
      </c>
      <c r="Q113" s="72"/>
      <c r="R113" s="46">
        <f>E113*M113</f>
        <v>21700.589505</v>
      </c>
      <c r="S113" s="46">
        <f>F113+G113+J113+K113+L113</f>
        <v>715.129</v>
      </c>
      <c r="T113" s="46" t="b">
        <f>O113=R113</f>
        <v>1</v>
      </c>
      <c r="U113" s="46" t="b">
        <f>M113=S113</f>
        <v>0</v>
      </c>
    </row>
    <row r="114" s="63" customFormat="1" customHeight="1" outlineLevel="1" spans="1:21">
      <c r="A114" s="32">
        <v>88</v>
      </c>
      <c r="B114" s="32" t="s">
        <v>195</v>
      </c>
      <c r="C114" s="32" t="s">
        <v>205</v>
      </c>
      <c r="D114" s="32" t="s">
        <v>67</v>
      </c>
      <c r="E114" s="32">
        <v>2.96</v>
      </c>
      <c r="F114" s="66">
        <f t="shared" ref="F114:J114" si="86">F100</f>
        <v>35</v>
      </c>
      <c r="G114" s="48">
        <f t="shared" si="83"/>
        <v>26.25</v>
      </c>
      <c r="H114" s="66">
        <f t="shared" si="86"/>
        <v>25</v>
      </c>
      <c r="I114" s="49">
        <f t="shared" si="86"/>
        <v>0.05</v>
      </c>
      <c r="J114" s="48">
        <f t="shared" si="86"/>
        <v>15</v>
      </c>
      <c r="K114" s="48">
        <f>(F114+G114+J114)*$K$5</f>
        <v>4.575</v>
      </c>
      <c r="L114" s="48">
        <f>(F114+G114+J114+K114)*$L$5</f>
        <v>2.42475</v>
      </c>
      <c r="M114" s="70">
        <f>(F114+G114+J114+K114+L114)*1.5</f>
        <v>124.874625</v>
      </c>
      <c r="N114" s="71"/>
      <c r="O114" s="48">
        <f t="shared" si="85"/>
        <v>369.62889</v>
      </c>
      <c r="P114" s="69"/>
      <c r="Q114" s="72"/>
      <c r="R114" s="46">
        <f>E114*M114</f>
        <v>369.62889</v>
      </c>
      <c r="S114" s="46">
        <f>F114+G114+J114+K114+L114</f>
        <v>83.24975</v>
      </c>
      <c r="T114" s="46" t="b">
        <f>O114=R114</f>
        <v>1</v>
      </c>
      <c r="U114" s="46" t="b">
        <f>M114=S114</f>
        <v>0</v>
      </c>
    </row>
    <row r="115" s="63" customFormat="1" customHeight="1" outlineLevel="1" spans="1:21">
      <c r="A115" s="32">
        <v>89</v>
      </c>
      <c r="B115" s="32" t="s">
        <v>197</v>
      </c>
      <c r="C115" s="32" t="s">
        <v>206</v>
      </c>
      <c r="D115" s="32" t="s">
        <v>102</v>
      </c>
      <c r="E115" s="32">
        <v>6.85</v>
      </c>
      <c r="F115" s="66">
        <f t="shared" ref="F115:J115" si="87">F101</f>
        <v>15</v>
      </c>
      <c r="G115" s="48">
        <f t="shared" si="83"/>
        <v>29.4</v>
      </c>
      <c r="H115" s="66">
        <f t="shared" si="87"/>
        <v>28</v>
      </c>
      <c r="I115" s="49">
        <f t="shared" si="87"/>
        <v>0.05</v>
      </c>
      <c r="J115" s="48">
        <f t="shared" si="87"/>
        <v>1</v>
      </c>
      <c r="K115" s="48">
        <f>(F115+G115+J115)*$K$5</f>
        <v>2.724</v>
      </c>
      <c r="L115" s="48">
        <f>(F115+G115+J115+K115)*$L$5</f>
        <v>1.44372</v>
      </c>
      <c r="M115" s="70">
        <f>(F115+G115+J115+K115+L115)*1.5</f>
        <v>74.35158</v>
      </c>
      <c r="N115" s="71"/>
      <c r="O115" s="48">
        <f t="shared" si="85"/>
        <v>509.308323</v>
      </c>
      <c r="P115" s="69"/>
      <c r="Q115" s="72"/>
      <c r="R115" s="46">
        <f>E115*M115</f>
        <v>509.308323</v>
      </c>
      <c r="S115" s="46">
        <f>F115+G115+J115+K115+L115</f>
        <v>49.56772</v>
      </c>
      <c r="T115" s="46" t="b">
        <f>O115=R115</f>
        <v>1</v>
      </c>
      <c r="U115" s="46" t="b">
        <f>M115=S115</f>
        <v>0</v>
      </c>
    </row>
    <row r="116" s="63" customFormat="1" customHeight="1" outlineLevel="1" spans="1:21">
      <c r="A116" s="32">
        <v>90</v>
      </c>
      <c r="B116" s="32" t="s">
        <v>116</v>
      </c>
      <c r="C116" s="32" t="s">
        <v>207</v>
      </c>
      <c r="D116" s="32" t="s">
        <v>67</v>
      </c>
      <c r="E116" s="32">
        <v>44.54</v>
      </c>
      <c r="F116" s="66">
        <f t="shared" ref="F116:J116" si="88">F109</f>
        <v>35</v>
      </c>
      <c r="G116" s="67">
        <f t="shared" si="83"/>
        <v>126</v>
      </c>
      <c r="H116" s="68">
        <f t="shared" si="88"/>
        <v>120</v>
      </c>
      <c r="I116" s="54">
        <f t="shared" si="88"/>
        <v>0.05</v>
      </c>
      <c r="J116" s="67">
        <f t="shared" si="88"/>
        <v>220</v>
      </c>
      <c r="K116" s="67">
        <f>(F116+G116+J116)*$K$5</f>
        <v>22.86</v>
      </c>
      <c r="L116" s="67">
        <f>(F116+G116+J116+K116)*$L$5</f>
        <v>12.1158</v>
      </c>
      <c r="M116" s="70">
        <f>(F116+G116+J116+K116+L116)*1.5</f>
        <v>623.9637</v>
      </c>
      <c r="N116" s="71"/>
      <c r="O116" s="67">
        <f t="shared" si="85"/>
        <v>27791.343198</v>
      </c>
      <c r="P116" s="69"/>
      <c r="Q116" s="72"/>
      <c r="R116" s="46">
        <f>E116*M116</f>
        <v>27791.343198</v>
      </c>
      <c r="S116" s="46">
        <f>F116+G116+J116+K116+L116</f>
        <v>415.9758</v>
      </c>
      <c r="T116" s="46" t="b">
        <f>O116=R116</f>
        <v>1</v>
      </c>
      <c r="U116" s="46" t="b">
        <f>M116=S116</f>
        <v>0</v>
      </c>
    </row>
    <row r="117" s="63" customFormat="1" customHeight="1" outlineLevel="1" spans="1:21">
      <c r="A117" s="32"/>
      <c r="B117" s="32" t="s">
        <v>212</v>
      </c>
      <c r="C117" s="32"/>
      <c r="D117" s="32"/>
      <c r="E117" s="32"/>
      <c r="F117" s="66"/>
      <c r="G117" s="48"/>
      <c r="H117" s="66"/>
      <c r="I117" s="49"/>
      <c r="J117" s="48"/>
      <c r="K117" s="48"/>
      <c r="L117" s="48"/>
      <c r="M117" s="70"/>
      <c r="N117" s="71"/>
      <c r="O117" s="48"/>
      <c r="P117" s="69"/>
      <c r="Q117" s="72"/>
      <c r="R117" s="46">
        <f>E117*M117</f>
        <v>0</v>
      </c>
      <c r="S117" s="46">
        <f>F117+G117+J117+K117+L117</f>
        <v>0</v>
      </c>
      <c r="T117" s="46" t="b">
        <f>O117=R117</f>
        <v>1</v>
      </c>
      <c r="U117" s="46" t="b">
        <f>M117=S117</f>
        <v>1</v>
      </c>
    </row>
    <row r="118" s="63" customFormat="1" customHeight="1" outlineLevel="1" spans="1:21">
      <c r="A118" s="32">
        <v>91</v>
      </c>
      <c r="B118" s="32" t="s">
        <v>86</v>
      </c>
      <c r="C118" s="32" t="s">
        <v>213</v>
      </c>
      <c r="D118" s="32" t="s">
        <v>67</v>
      </c>
      <c r="E118" s="32">
        <v>35.46</v>
      </c>
      <c r="F118" s="66">
        <v>155</v>
      </c>
      <c r="G118" s="48">
        <f t="shared" ref="G118:G122" si="89">H118*(1+I118)</f>
        <v>315</v>
      </c>
      <c r="H118" s="66">
        <f>H18</f>
        <v>300</v>
      </c>
      <c r="I118" s="49">
        <v>0.05</v>
      </c>
      <c r="J118" s="48">
        <v>80</v>
      </c>
      <c r="K118" s="48">
        <f>(F118+G118+J118)*$K$5</f>
        <v>33</v>
      </c>
      <c r="L118" s="48">
        <f>(F118+G118+J118+K118)*$L$5</f>
        <v>17.49</v>
      </c>
      <c r="M118" s="70">
        <f t="shared" ref="M117:M123" si="90">(F118+G118+J118+K118+L118)*1.5</f>
        <v>900.735</v>
      </c>
      <c r="N118" s="71"/>
      <c r="O118" s="48">
        <f t="shared" ref="O118:O122" si="91">M118*E118</f>
        <v>31940.0631</v>
      </c>
      <c r="P118" s="69" t="str">
        <f>P104</f>
        <v>厂家定制</v>
      </c>
      <c r="Q118" s="72"/>
      <c r="R118" s="46">
        <f>E118*M118</f>
        <v>31940.0631</v>
      </c>
      <c r="S118" s="46">
        <f>F118+G118+J118+K118+L118</f>
        <v>600.49</v>
      </c>
      <c r="T118" s="46" t="b">
        <f>O118=R118</f>
        <v>1</v>
      </c>
      <c r="U118" s="46" t="b">
        <f>M118=S118</f>
        <v>0</v>
      </c>
    </row>
    <row r="119" s="63" customFormat="1" customHeight="1" outlineLevel="1" spans="1:21">
      <c r="A119" s="32">
        <v>92</v>
      </c>
      <c r="B119" s="32" t="s">
        <v>186</v>
      </c>
      <c r="C119" s="32" t="s">
        <v>214</v>
      </c>
      <c r="D119" s="32" t="s">
        <v>102</v>
      </c>
      <c r="E119" s="32">
        <v>12</v>
      </c>
      <c r="F119" s="66">
        <f t="shared" ref="F119:J119" si="92">F92</f>
        <v>25</v>
      </c>
      <c r="G119" s="48">
        <f t="shared" si="89"/>
        <v>36.75</v>
      </c>
      <c r="H119" s="66">
        <f t="shared" si="92"/>
        <v>35</v>
      </c>
      <c r="I119" s="49">
        <f t="shared" si="92"/>
        <v>0.05</v>
      </c>
      <c r="J119" s="48">
        <f t="shared" si="92"/>
        <v>5</v>
      </c>
      <c r="K119" s="48">
        <f>(F119+G119+J119)*$K$5</f>
        <v>4.005</v>
      </c>
      <c r="L119" s="48">
        <f>(F119+G119+J119+K119)*$L$5</f>
        <v>2.12265</v>
      </c>
      <c r="M119" s="70">
        <f t="shared" si="90"/>
        <v>109.316475</v>
      </c>
      <c r="N119" s="71"/>
      <c r="O119" s="48">
        <f t="shared" si="91"/>
        <v>1311.7977</v>
      </c>
      <c r="P119" s="69"/>
      <c r="Q119" s="72"/>
      <c r="R119" s="46">
        <f>E119*M119</f>
        <v>1311.7977</v>
      </c>
      <c r="S119" s="46">
        <f>F119+G119+J119+K119+L119</f>
        <v>72.87765</v>
      </c>
      <c r="T119" s="46" t="b">
        <f>O119=R119</f>
        <v>1</v>
      </c>
      <c r="U119" s="46" t="b">
        <f>M119=S119</f>
        <v>0</v>
      </c>
    </row>
    <row r="120" s="63" customFormat="1" customHeight="1" outlineLevel="1" spans="1:21">
      <c r="A120" s="32">
        <v>93</v>
      </c>
      <c r="B120" s="32" t="s">
        <v>186</v>
      </c>
      <c r="C120" s="32" t="s">
        <v>215</v>
      </c>
      <c r="D120" s="32" t="s">
        <v>102</v>
      </c>
      <c r="E120" s="32">
        <v>1</v>
      </c>
      <c r="F120" s="66">
        <f t="shared" ref="F120:J120" si="93">F93</f>
        <v>25</v>
      </c>
      <c r="G120" s="48">
        <f t="shared" si="89"/>
        <v>33.6</v>
      </c>
      <c r="H120" s="66">
        <f t="shared" si="93"/>
        <v>32</v>
      </c>
      <c r="I120" s="49">
        <f t="shared" si="93"/>
        <v>0.05</v>
      </c>
      <c r="J120" s="48">
        <f t="shared" si="93"/>
        <v>5</v>
      </c>
      <c r="K120" s="48">
        <f>(F120+G120+J120)*$K$5</f>
        <v>3.816</v>
      </c>
      <c r="L120" s="48">
        <f>(F120+G120+J120+K120)*$L$5</f>
        <v>2.02248</v>
      </c>
      <c r="M120" s="70">
        <f t="shared" si="90"/>
        <v>104.15772</v>
      </c>
      <c r="N120" s="71"/>
      <c r="O120" s="48">
        <f t="shared" si="91"/>
        <v>104.15772</v>
      </c>
      <c r="P120" s="69"/>
      <c r="Q120" s="72"/>
      <c r="R120" s="46">
        <f>E120*M120</f>
        <v>104.15772</v>
      </c>
      <c r="S120" s="46">
        <f>F120+G120+J120+K120+L120</f>
        <v>69.43848</v>
      </c>
      <c r="T120" s="46" t="b">
        <f>O120=R120</f>
        <v>1</v>
      </c>
      <c r="U120" s="46" t="b">
        <f>M120=S120</f>
        <v>0</v>
      </c>
    </row>
    <row r="121" s="63" customFormat="1" customHeight="1" outlineLevel="1" spans="1:21">
      <c r="A121" s="32">
        <v>94</v>
      </c>
      <c r="B121" s="32" t="s">
        <v>94</v>
      </c>
      <c r="C121" s="32" t="s">
        <v>216</v>
      </c>
      <c r="D121" s="32" t="s">
        <v>96</v>
      </c>
      <c r="E121" s="32">
        <v>12</v>
      </c>
      <c r="F121" s="66">
        <f t="shared" ref="F121:J121" si="94">F23</f>
        <v>10</v>
      </c>
      <c r="G121" s="48">
        <f t="shared" si="89"/>
        <v>30.3</v>
      </c>
      <c r="H121" s="66">
        <f t="shared" si="94"/>
        <v>30</v>
      </c>
      <c r="I121" s="49">
        <f t="shared" si="94"/>
        <v>0.01</v>
      </c>
      <c r="J121" s="48">
        <f t="shared" si="94"/>
        <v>1</v>
      </c>
      <c r="K121" s="48">
        <f>(F121+G121+J121)*$K$5</f>
        <v>2.478</v>
      </c>
      <c r="L121" s="48">
        <f>(F121+G121+J121+K121)*$L$5</f>
        <v>1.31334</v>
      </c>
      <c r="M121" s="70">
        <f t="shared" si="90"/>
        <v>67.63701</v>
      </c>
      <c r="N121" s="71"/>
      <c r="O121" s="48">
        <f t="shared" si="91"/>
        <v>811.64412</v>
      </c>
      <c r="P121" s="69"/>
      <c r="Q121" s="72"/>
      <c r="R121" s="46">
        <f>E121*M121</f>
        <v>811.64412</v>
      </c>
      <c r="S121" s="46">
        <f>F121+G121+J121+K121+L121</f>
        <v>45.09134</v>
      </c>
      <c r="T121" s="46" t="b">
        <f>O121=R121</f>
        <v>1</v>
      </c>
      <c r="U121" s="46" t="b">
        <f>M121=S121</f>
        <v>0</v>
      </c>
    </row>
    <row r="122" s="63" customFormat="1" customHeight="1" outlineLevel="1" spans="1:21">
      <c r="A122" s="51">
        <v>95</v>
      </c>
      <c r="B122" s="51" t="s">
        <v>86</v>
      </c>
      <c r="C122" s="51" t="s">
        <v>217</v>
      </c>
      <c r="D122" s="51" t="s">
        <v>67</v>
      </c>
      <c r="E122" s="51">
        <v>22.75</v>
      </c>
      <c r="F122" s="68">
        <f>F113</f>
        <v>190</v>
      </c>
      <c r="G122" s="67">
        <f t="shared" si="89"/>
        <v>315</v>
      </c>
      <c r="H122" s="68">
        <f>H118</f>
        <v>300</v>
      </c>
      <c r="I122" s="54">
        <f>I118</f>
        <v>0.05</v>
      </c>
      <c r="J122" s="67">
        <f>J113</f>
        <v>150</v>
      </c>
      <c r="K122" s="67">
        <f>(F122+G122+J122)*$K$5</f>
        <v>39.3</v>
      </c>
      <c r="L122" s="67">
        <f>(F122+G122+J122+K122)*$L$5</f>
        <v>20.829</v>
      </c>
      <c r="M122" s="70">
        <f t="shared" si="90"/>
        <v>1072.6935</v>
      </c>
      <c r="N122" s="71"/>
      <c r="O122" s="67">
        <f t="shared" si="91"/>
        <v>24403.777125</v>
      </c>
      <c r="P122" s="74" t="s">
        <v>218</v>
      </c>
      <c r="Q122" s="72"/>
      <c r="R122" s="46">
        <f>E122*M122</f>
        <v>24403.777125</v>
      </c>
      <c r="S122" s="46">
        <f>F122+G122+J122+K122+L122</f>
        <v>715.129</v>
      </c>
      <c r="T122" s="46" t="b">
        <f>O122=R122</f>
        <v>1</v>
      </c>
      <c r="U122" s="46" t="b">
        <f>M122=S122</f>
        <v>0</v>
      </c>
    </row>
    <row r="123" s="63" customFormat="1" customHeight="1" outlineLevel="1" spans="1:21">
      <c r="A123" s="32">
        <v>96</v>
      </c>
      <c r="B123" s="32" t="s">
        <v>197</v>
      </c>
      <c r="C123" s="32" t="s">
        <v>206</v>
      </c>
      <c r="D123" s="32" t="s">
        <v>102</v>
      </c>
      <c r="E123" s="32">
        <v>8.32</v>
      </c>
      <c r="F123" s="66">
        <f t="shared" ref="F123:J123" si="95">F101</f>
        <v>15</v>
      </c>
      <c r="G123" s="48">
        <f t="shared" ref="G123:G127" si="96">H123*(1+I123)</f>
        <v>29.4</v>
      </c>
      <c r="H123" s="66">
        <f t="shared" si="95"/>
        <v>28</v>
      </c>
      <c r="I123" s="49">
        <f t="shared" si="95"/>
        <v>0.05</v>
      </c>
      <c r="J123" s="48">
        <f t="shared" si="95"/>
        <v>1</v>
      </c>
      <c r="K123" s="48">
        <f>(F123+G123+J123)*$K$5</f>
        <v>2.724</v>
      </c>
      <c r="L123" s="48">
        <f>(F123+G123+J123+K123)*$L$5</f>
        <v>1.44372</v>
      </c>
      <c r="M123" s="70">
        <f t="shared" si="90"/>
        <v>74.35158</v>
      </c>
      <c r="N123" s="71"/>
      <c r="O123" s="48">
        <f t="shared" ref="O123:O131" si="97">M123*E123</f>
        <v>618.6051456</v>
      </c>
      <c r="P123" s="69"/>
      <c r="Q123" s="72"/>
      <c r="R123" s="46">
        <f>E123*M123</f>
        <v>618.6051456</v>
      </c>
      <c r="S123" s="46">
        <f>F123+G123+J123+K123+L123</f>
        <v>49.56772</v>
      </c>
      <c r="T123" s="46" t="b">
        <f>O123=R123</f>
        <v>1</v>
      </c>
      <c r="U123" s="46" t="b">
        <f>M123=S123</f>
        <v>0</v>
      </c>
    </row>
    <row r="124" s="63" customFormat="1" customHeight="1" outlineLevel="1" spans="1:21">
      <c r="A124" s="32"/>
      <c r="B124" s="32" t="s">
        <v>219</v>
      </c>
      <c r="C124" s="32"/>
      <c r="D124" s="32"/>
      <c r="E124" s="32"/>
      <c r="F124" s="66"/>
      <c r="G124" s="48"/>
      <c r="H124" s="66"/>
      <c r="I124" s="49"/>
      <c r="J124" s="48"/>
      <c r="K124" s="48"/>
      <c r="L124" s="48"/>
      <c r="M124" s="70"/>
      <c r="N124" s="71"/>
      <c r="O124" s="48"/>
      <c r="P124" s="69"/>
      <c r="Q124" s="72"/>
      <c r="R124" s="46">
        <f>E124*M124</f>
        <v>0</v>
      </c>
      <c r="S124" s="46">
        <f>F124+G124+J124+K124+L124</f>
        <v>0</v>
      </c>
      <c r="T124" s="46" t="b">
        <f>O124=R124</f>
        <v>1</v>
      </c>
      <c r="U124" s="46" t="b">
        <f>M124=S124</f>
        <v>1</v>
      </c>
    </row>
    <row r="125" s="63" customFormat="1" customHeight="1" outlineLevel="1" spans="1:21">
      <c r="A125" s="32">
        <v>97</v>
      </c>
      <c r="B125" s="32" t="s">
        <v>86</v>
      </c>
      <c r="C125" s="32" t="s">
        <v>220</v>
      </c>
      <c r="D125" s="32" t="s">
        <v>67</v>
      </c>
      <c r="E125" s="32">
        <v>26.08</v>
      </c>
      <c r="F125" s="66">
        <v>145</v>
      </c>
      <c r="G125" s="48">
        <f t="shared" si="96"/>
        <v>236.25</v>
      </c>
      <c r="H125" s="66">
        <v>225</v>
      </c>
      <c r="I125" s="49">
        <v>0.05</v>
      </c>
      <c r="J125" s="48">
        <f>35+25+10</f>
        <v>70</v>
      </c>
      <c r="K125" s="48">
        <f>(F125+G125+J125)*$K$5</f>
        <v>27.075</v>
      </c>
      <c r="L125" s="48">
        <f>(F125+G125+J125+K125)*$L$5</f>
        <v>14.34975</v>
      </c>
      <c r="M125" s="70">
        <f t="shared" ref="M124:M155" si="98">(F125+G125+J125+K125+L125)*1.5</f>
        <v>739.012125</v>
      </c>
      <c r="N125" s="71"/>
      <c r="O125" s="48">
        <f t="shared" si="97"/>
        <v>19273.43622</v>
      </c>
      <c r="P125" s="69"/>
      <c r="Q125" s="72"/>
      <c r="R125" s="46">
        <f>E125*M125</f>
        <v>19273.43622</v>
      </c>
      <c r="S125" s="46">
        <f>F125+G125+J125+K125+L125</f>
        <v>492.67475</v>
      </c>
      <c r="T125" s="46" t="b">
        <f>O125=R125</f>
        <v>1</v>
      </c>
      <c r="U125" s="46" t="b">
        <f>M125=S125</f>
        <v>0</v>
      </c>
    </row>
    <row r="126" s="64" customFormat="1" customHeight="1" outlineLevel="1" spans="1:21">
      <c r="A126" s="32">
        <v>98</v>
      </c>
      <c r="B126" s="32" t="s">
        <v>86</v>
      </c>
      <c r="C126" s="32" t="s">
        <v>221</v>
      </c>
      <c r="D126" s="32" t="s">
        <v>67</v>
      </c>
      <c r="E126" s="32">
        <v>27.6</v>
      </c>
      <c r="F126" s="66">
        <v>150</v>
      </c>
      <c r="G126" s="48">
        <f t="shared" si="96"/>
        <v>173.25</v>
      </c>
      <c r="H126" s="66">
        <v>165</v>
      </c>
      <c r="I126" s="49">
        <v>0.05</v>
      </c>
      <c r="J126" s="48">
        <v>50</v>
      </c>
      <c r="K126" s="48">
        <f>(F126+G126+J126)*$K$5</f>
        <v>22.395</v>
      </c>
      <c r="L126" s="48">
        <f>(F126+G126+J126+K126)*$L$5</f>
        <v>11.86935</v>
      </c>
      <c r="M126" s="70">
        <f t="shared" si="98"/>
        <v>611.271525</v>
      </c>
      <c r="N126" s="71"/>
      <c r="O126" s="48">
        <f t="shared" si="97"/>
        <v>16871.09409</v>
      </c>
      <c r="P126" s="69"/>
      <c r="Q126" s="72"/>
      <c r="R126" s="46">
        <f>E126*M126</f>
        <v>16871.09409</v>
      </c>
      <c r="S126" s="46">
        <f>F126+G126+J126+K126+L126</f>
        <v>407.51435</v>
      </c>
      <c r="T126" s="46" t="b">
        <f>O126=R126</f>
        <v>1</v>
      </c>
      <c r="U126" s="46" t="b">
        <f>M126=S126</f>
        <v>0</v>
      </c>
    </row>
    <row r="127" s="64" customFormat="1" customHeight="1" outlineLevel="1" spans="1:21">
      <c r="A127" s="32">
        <v>99</v>
      </c>
      <c r="B127" s="32" t="s">
        <v>222</v>
      </c>
      <c r="C127" s="32" t="s">
        <v>223</v>
      </c>
      <c r="D127" s="32" t="s">
        <v>67</v>
      </c>
      <c r="E127" s="32">
        <v>13.68</v>
      </c>
      <c r="F127" s="66">
        <v>260</v>
      </c>
      <c r="G127" s="48">
        <f t="shared" si="96"/>
        <v>1942.5</v>
      </c>
      <c r="H127" s="66">
        <v>1850</v>
      </c>
      <c r="I127" s="50">
        <v>0.05</v>
      </c>
      <c r="J127" s="48">
        <v>120</v>
      </c>
      <c r="K127" s="48">
        <f>(F127+G127+J127)*$K$5</f>
        <v>139.35</v>
      </c>
      <c r="L127" s="48">
        <f>(F127+G127+J127+K127)*$L$5</f>
        <v>73.8555</v>
      </c>
      <c r="M127" s="70">
        <f t="shared" si="98"/>
        <v>3803.55825</v>
      </c>
      <c r="N127" s="71"/>
      <c r="O127" s="48">
        <f t="shared" si="97"/>
        <v>52032.67686</v>
      </c>
      <c r="P127" s="69"/>
      <c r="Q127" s="72"/>
      <c r="R127" s="46">
        <f>E127*M127</f>
        <v>52032.67686</v>
      </c>
      <c r="S127" s="46">
        <f>F127+G127+J127+K127+L127</f>
        <v>2535.7055</v>
      </c>
      <c r="T127" s="46" t="b">
        <f>O127=R127</f>
        <v>1</v>
      </c>
      <c r="U127" s="46" t="b">
        <f>M127=S127</f>
        <v>0</v>
      </c>
    </row>
    <row r="128" s="64" customFormat="1" customHeight="1" outlineLevel="1" spans="1:21">
      <c r="A128" s="32">
        <v>100</v>
      </c>
      <c r="B128" s="32" t="s">
        <v>222</v>
      </c>
      <c r="C128" s="32" t="s">
        <v>224</v>
      </c>
      <c r="D128" s="32" t="s">
        <v>67</v>
      </c>
      <c r="E128" s="32">
        <v>13.92</v>
      </c>
      <c r="F128" s="66">
        <v>260</v>
      </c>
      <c r="G128" s="48">
        <v>0</v>
      </c>
      <c r="H128" s="66">
        <v>0</v>
      </c>
      <c r="I128" s="50">
        <v>0</v>
      </c>
      <c r="J128" s="48">
        <v>120</v>
      </c>
      <c r="K128" s="48">
        <f>(F128+G128+J128)*$K$5</f>
        <v>22.8</v>
      </c>
      <c r="L128" s="48">
        <f>(F128+G128+J128+K128)*$L$5</f>
        <v>12.084</v>
      </c>
      <c r="M128" s="70">
        <f t="shared" si="98"/>
        <v>622.326</v>
      </c>
      <c r="N128" s="71"/>
      <c r="O128" s="48">
        <f t="shared" si="97"/>
        <v>8662.77792</v>
      </c>
      <c r="P128" s="69" t="s">
        <v>225</v>
      </c>
      <c r="Q128" s="72"/>
      <c r="R128" s="46">
        <f>E128*M128</f>
        <v>8662.77792</v>
      </c>
      <c r="S128" s="46">
        <f>F128+G128+J128+K128+L128</f>
        <v>414.884</v>
      </c>
      <c r="T128" s="46" t="b">
        <f>O128=R128</f>
        <v>1</v>
      </c>
      <c r="U128" s="46" t="b">
        <f>M128=S128</f>
        <v>0</v>
      </c>
    </row>
    <row r="129" s="63" customFormat="1" customHeight="1" outlineLevel="1" spans="1:21">
      <c r="A129" s="32">
        <v>101</v>
      </c>
      <c r="B129" s="32" t="s">
        <v>86</v>
      </c>
      <c r="C129" s="32" t="s">
        <v>226</v>
      </c>
      <c r="D129" s="32" t="s">
        <v>67</v>
      </c>
      <c r="E129" s="32">
        <v>11.61</v>
      </c>
      <c r="F129" s="66">
        <f>F104</f>
        <v>190</v>
      </c>
      <c r="G129" s="48">
        <f t="shared" ref="G129:G131" si="99">H129*(1+I129)</f>
        <v>315</v>
      </c>
      <c r="H129" s="66">
        <f>H19</f>
        <v>300</v>
      </c>
      <c r="I129" s="49">
        <f>I19</f>
        <v>0.05</v>
      </c>
      <c r="J129" s="48">
        <f>J104</f>
        <v>150</v>
      </c>
      <c r="K129" s="48">
        <f>(F129+G129+J129)*$K$5</f>
        <v>39.3</v>
      </c>
      <c r="L129" s="48">
        <f>(F129+G129+J129+K129)*$L$5</f>
        <v>20.829</v>
      </c>
      <c r="M129" s="70">
        <f t="shared" si="98"/>
        <v>1072.6935</v>
      </c>
      <c r="N129" s="71"/>
      <c r="O129" s="48">
        <f t="shared" si="97"/>
        <v>12453.971535</v>
      </c>
      <c r="P129" s="69" t="str">
        <f>P118</f>
        <v>厂家定制</v>
      </c>
      <c r="Q129" s="72"/>
      <c r="R129" s="46">
        <f>E129*M129</f>
        <v>12453.971535</v>
      </c>
      <c r="S129" s="46">
        <f>F129+G129+J129+K129+L129</f>
        <v>715.129</v>
      </c>
      <c r="T129" s="46" t="b">
        <f>O129=R129</f>
        <v>1</v>
      </c>
      <c r="U129" s="46" t="b">
        <f>M129=S129</f>
        <v>0</v>
      </c>
    </row>
    <row r="130" s="63" customFormat="1" customHeight="1" outlineLevel="1" spans="1:21">
      <c r="A130" s="32">
        <v>102</v>
      </c>
      <c r="B130" s="32" t="s">
        <v>86</v>
      </c>
      <c r="C130" s="32" t="s">
        <v>227</v>
      </c>
      <c r="D130" s="32" t="s">
        <v>67</v>
      </c>
      <c r="E130" s="32">
        <v>45.49</v>
      </c>
      <c r="F130" s="66">
        <f>F129</f>
        <v>190</v>
      </c>
      <c r="G130" s="48">
        <f t="shared" si="99"/>
        <v>336</v>
      </c>
      <c r="H130" s="66">
        <v>320</v>
      </c>
      <c r="I130" s="49">
        <v>0.05</v>
      </c>
      <c r="J130" s="48">
        <f>J129</f>
        <v>150</v>
      </c>
      <c r="K130" s="48">
        <f>(F130+G130+J130)*$K$5</f>
        <v>40.56</v>
      </c>
      <c r="L130" s="48">
        <f>(F130+G130+J130+K130)*$L$5</f>
        <v>21.4968</v>
      </c>
      <c r="M130" s="70">
        <f t="shared" si="98"/>
        <v>1107.0852</v>
      </c>
      <c r="N130" s="71"/>
      <c r="O130" s="48">
        <f t="shared" si="97"/>
        <v>50361.305748</v>
      </c>
      <c r="P130" s="69"/>
      <c r="Q130" s="72"/>
      <c r="R130" s="46">
        <f>E130*M130</f>
        <v>50361.305748</v>
      </c>
      <c r="S130" s="46">
        <f>F130+G130+J130+K130+L130</f>
        <v>738.0568</v>
      </c>
      <c r="T130" s="46" t="b">
        <f>O130=R130</f>
        <v>1</v>
      </c>
      <c r="U130" s="46" t="b">
        <f>M130=S130</f>
        <v>0</v>
      </c>
    </row>
    <row r="131" s="63" customFormat="1" customHeight="1" outlineLevel="1" spans="1:21">
      <c r="A131" s="32">
        <v>103</v>
      </c>
      <c r="B131" s="32" t="s">
        <v>197</v>
      </c>
      <c r="C131" s="32" t="s">
        <v>206</v>
      </c>
      <c r="D131" s="32" t="s">
        <v>102</v>
      </c>
      <c r="E131" s="32">
        <v>3.51</v>
      </c>
      <c r="F131" s="66">
        <f t="shared" ref="F131:J131" si="100">F101</f>
        <v>15</v>
      </c>
      <c r="G131" s="48">
        <f t="shared" si="99"/>
        <v>29.4</v>
      </c>
      <c r="H131" s="66">
        <f t="shared" si="100"/>
        <v>28</v>
      </c>
      <c r="I131" s="49">
        <f t="shared" si="100"/>
        <v>0.05</v>
      </c>
      <c r="J131" s="48">
        <f t="shared" si="100"/>
        <v>1</v>
      </c>
      <c r="K131" s="48">
        <f>(F131+G131+J131)*$K$5</f>
        <v>2.724</v>
      </c>
      <c r="L131" s="48">
        <f>(F131+G131+J131+K131)*$L$5</f>
        <v>1.44372</v>
      </c>
      <c r="M131" s="70">
        <f t="shared" si="98"/>
        <v>74.35158</v>
      </c>
      <c r="N131" s="71"/>
      <c r="O131" s="48">
        <f t="shared" si="97"/>
        <v>260.9740458</v>
      </c>
      <c r="P131" s="69"/>
      <c r="Q131" s="72"/>
      <c r="R131" s="46">
        <f>E131*M131</f>
        <v>260.9740458</v>
      </c>
      <c r="S131" s="46">
        <f>F131+G131+J131+K131+L131</f>
        <v>49.56772</v>
      </c>
      <c r="T131" s="46" t="b">
        <f>O131=R131</f>
        <v>1</v>
      </c>
      <c r="U131" s="46" t="b">
        <f>M131=S131</f>
        <v>0</v>
      </c>
    </row>
    <row r="132" s="63" customFormat="1" customHeight="1" spans="1:21">
      <c r="A132" s="32"/>
      <c r="B132" s="32" t="s">
        <v>228</v>
      </c>
      <c r="C132" s="32"/>
      <c r="D132" s="32"/>
      <c r="E132" s="32"/>
      <c r="F132" s="66"/>
      <c r="G132" s="48"/>
      <c r="H132" s="66"/>
      <c r="I132" s="49"/>
      <c r="J132" s="48"/>
      <c r="K132" s="48"/>
      <c r="L132" s="48"/>
      <c r="M132" s="70"/>
      <c r="N132" s="71"/>
      <c r="O132" s="48"/>
      <c r="P132" s="69"/>
      <c r="Q132" s="72"/>
      <c r="R132" s="46">
        <f>E132*M132</f>
        <v>0</v>
      </c>
      <c r="S132" s="46">
        <f>F132+G132+J132+K132+L132</f>
        <v>0</v>
      </c>
      <c r="T132" s="46" t="b">
        <f>O132=R132</f>
        <v>1</v>
      </c>
      <c r="U132" s="46" t="b">
        <f>M132=S132</f>
        <v>1</v>
      </c>
    </row>
    <row r="133" s="63" customFormat="1" customHeight="1" outlineLevel="1" spans="1:21">
      <c r="A133" s="32">
        <v>104</v>
      </c>
      <c r="B133" s="32" t="s">
        <v>195</v>
      </c>
      <c r="C133" s="32" t="s">
        <v>205</v>
      </c>
      <c r="D133" s="32" t="s">
        <v>67</v>
      </c>
      <c r="E133" s="32">
        <v>42.25</v>
      </c>
      <c r="F133" s="66">
        <f t="shared" ref="F133:J133" si="101">F100</f>
        <v>35</v>
      </c>
      <c r="G133" s="48">
        <f t="shared" ref="G133:G140" si="102">H133*(1+I133)</f>
        <v>26.25</v>
      </c>
      <c r="H133" s="66">
        <f t="shared" si="101"/>
        <v>25</v>
      </c>
      <c r="I133" s="49">
        <f t="shared" si="101"/>
        <v>0.05</v>
      </c>
      <c r="J133" s="48">
        <f t="shared" si="101"/>
        <v>15</v>
      </c>
      <c r="K133" s="48">
        <f>(F133+G133+J133)*$K$5</f>
        <v>4.575</v>
      </c>
      <c r="L133" s="48">
        <f>(F133+G133+J133+K133)*$L$5</f>
        <v>2.42475</v>
      </c>
      <c r="M133" s="70">
        <f t="shared" si="98"/>
        <v>124.874625</v>
      </c>
      <c r="N133" s="71"/>
      <c r="O133" s="48">
        <f t="shared" ref="O133:O140" si="103">M133*E133</f>
        <v>5275.95290625</v>
      </c>
      <c r="P133" s="69"/>
      <c r="Q133" s="72"/>
      <c r="R133" s="46">
        <f>E133*M133</f>
        <v>5275.95290625</v>
      </c>
      <c r="S133" s="46">
        <f>F133+G133+J133+K133+L133</f>
        <v>83.24975</v>
      </c>
      <c r="T133" s="46" t="b">
        <f>O133=R133</f>
        <v>1</v>
      </c>
      <c r="U133" s="46" t="b">
        <f>M133=S133</f>
        <v>0</v>
      </c>
    </row>
    <row r="134" s="63" customFormat="1" customHeight="1" outlineLevel="1" spans="1:21">
      <c r="A134" s="32">
        <v>105</v>
      </c>
      <c r="B134" s="32" t="s">
        <v>86</v>
      </c>
      <c r="C134" s="32" t="s">
        <v>220</v>
      </c>
      <c r="D134" s="32" t="s">
        <v>67</v>
      </c>
      <c r="E134" s="32">
        <v>10.59</v>
      </c>
      <c r="F134" s="66">
        <f t="shared" ref="F134:J134" si="104">F125</f>
        <v>145</v>
      </c>
      <c r="G134" s="48">
        <f t="shared" si="102"/>
        <v>236.25</v>
      </c>
      <c r="H134" s="66">
        <f t="shared" si="104"/>
        <v>225</v>
      </c>
      <c r="I134" s="49">
        <f t="shared" si="104"/>
        <v>0.05</v>
      </c>
      <c r="J134" s="48">
        <f t="shared" si="104"/>
        <v>70</v>
      </c>
      <c r="K134" s="48">
        <f>(F134+G134+J134)*$K$5</f>
        <v>27.075</v>
      </c>
      <c r="L134" s="48">
        <f>(F134+G134+J134+K134)*$L$5</f>
        <v>14.34975</v>
      </c>
      <c r="M134" s="70">
        <f t="shared" si="98"/>
        <v>739.012125</v>
      </c>
      <c r="N134" s="71"/>
      <c r="O134" s="48">
        <f t="shared" si="103"/>
        <v>7826.13840375</v>
      </c>
      <c r="P134" s="69"/>
      <c r="Q134" s="72"/>
      <c r="R134" s="46">
        <f>E134*M134</f>
        <v>7826.13840375</v>
      </c>
      <c r="S134" s="46">
        <f>F134+G134+J134+K134+L134</f>
        <v>492.67475</v>
      </c>
      <c r="T134" s="46" t="b">
        <f>O134=R134</f>
        <v>1</v>
      </c>
      <c r="U134" s="46" t="b">
        <f>M134=S134</f>
        <v>0</v>
      </c>
    </row>
    <row r="135" s="63" customFormat="1" customHeight="1" outlineLevel="1" spans="1:21">
      <c r="A135" s="32">
        <v>106</v>
      </c>
      <c r="B135" s="32" t="s">
        <v>222</v>
      </c>
      <c r="C135" s="32" t="s">
        <v>229</v>
      </c>
      <c r="D135" s="32" t="s">
        <v>67</v>
      </c>
      <c r="E135" s="32">
        <v>0</v>
      </c>
      <c r="F135" s="66">
        <f t="shared" ref="F135:J135" si="105">F127</f>
        <v>260</v>
      </c>
      <c r="G135" s="48">
        <f t="shared" si="102"/>
        <v>1942.5</v>
      </c>
      <c r="H135" s="66">
        <f t="shared" si="105"/>
        <v>1850</v>
      </c>
      <c r="I135" s="78">
        <f t="shared" si="105"/>
        <v>0.05</v>
      </c>
      <c r="J135" s="66">
        <f t="shared" si="105"/>
        <v>120</v>
      </c>
      <c r="K135" s="48">
        <f>(F135+G135+J135)*$K$5</f>
        <v>139.35</v>
      </c>
      <c r="L135" s="48">
        <f>(F135+G135+J135+K135)*$L$5</f>
        <v>73.8555</v>
      </c>
      <c r="M135" s="70">
        <f t="shared" si="98"/>
        <v>3803.55825</v>
      </c>
      <c r="N135" s="71"/>
      <c r="O135" s="48">
        <f t="shared" si="103"/>
        <v>0</v>
      </c>
      <c r="P135" s="32" t="s">
        <v>230</v>
      </c>
      <c r="Q135" s="72"/>
      <c r="R135" s="46">
        <f>E135*M135</f>
        <v>0</v>
      </c>
      <c r="S135" s="46">
        <f>F135+G135+J135+K135+L135</f>
        <v>2535.7055</v>
      </c>
      <c r="T135" s="46" t="b">
        <f>O135=R135</f>
        <v>1</v>
      </c>
      <c r="U135" s="46" t="b">
        <f>M135=S135</f>
        <v>0</v>
      </c>
    </row>
    <row r="136" s="63" customFormat="1" customHeight="1" outlineLevel="1" spans="1:21">
      <c r="A136" s="32">
        <v>107</v>
      </c>
      <c r="B136" s="32" t="s">
        <v>231</v>
      </c>
      <c r="C136" s="32" t="s">
        <v>232</v>
      </c>
      <c r="D136" s="32" t="s">
        <v>67</v>
      </c>
      <c r="E136" s="32">
        <v>44.66</v>
      </c>
      <c r="F136" s="66">
        <v>150</v>
      </c>
      <c r="G136" s="48">
        <f t="shared" si="102"/>
        <v>141.75</v>
      </c>
      <c r="H136" s="66">
        <f>35+15+85</f>
        <v>135</v>
      </c>
      <c r="I136" s="49">
        <v>0.05</v>
      </c>
      <c r="J136" s="48">
        <v>85</v>
      </c>
      <c r="K136" s="48">
        <f>(F136+G136+J136)*$K$5</f>
        <v>22.605</v>
      </c>
      <c r="L136" s="48">
        <f>(F136+G136+J136+K136)*$L$5</f>
        <v>11.98065</v>
      </c>
      <c r="M136" s="70">
        <f t="shared" si="98"/>
        <v>617.003475</v>
      </c>
      <c r="N136" s="71"/>
      <c r="O136" s="48">
        <f t="shared" si="103"/>
        <v>27555.3751935</v>
      </c>
      <c r="P136" s="69"/>
      <c r="Q136" s="72"/>
      <c r="R136" s="46">
        <f>E136*M136</f>
        <v>27555.3751935</v>
      </c>
      <c r="S136" s="46">
        <f>F136+G136+J136+K136+L136</f>
        <v>411.33565</v>
      </c>
      <c r="T136" s="46" t="b">
        <f>O136=R136</f>
        <v>1</v>
      </c>
      <c r="U136" s="46" t="b">
        <f>M136=S136</f>
        <v>0</v>
      </c>
    </row>
    <row r="137" s="64" customFormat="1" customHeight="1" outlineLevel="1" spans="1:21">
      <c r="A137" s="32">
        <v>108</v>
      </c>
      <c r="B137" s="32" t="s">
        <v>231</v>
      </c>
      <c r="C137" s="32" t="s">
        <v>233</v>
      </c>
      <c r="D137" s="32" t="s">
        <v>67</v>
      </c>
      <c r="E137" s="32">
        <v>28.15</v>
      </c>
      <c r="F137" s="76">
        <f>F136</f>
        <v>150</v>
      </c>
      <c r="G137" s="77">
        <f t="shared" si="102"/>
        <v>141.75</v>
      </c>
      <c r="H137" s="76">
        <f>H136</f>
        <v>135</v>
      </c>
      <c r="I137" s="49">
        <f>I136</f>
        <v>0.05</v>
      </c>
      <c r="J137" s="77">
        <f>J136</f>
        <v>85</v>
      </c>
      <c r="K137" s="48">
        <f>(F137+G137+J137)*$K$5</f>
        <v>22.605</v>
      </c>
      <c r="L137" s="48">
        <f>(F137+G137+J137+K137)*$L$5</f>
        <v>11.98065</v>
      </c>
      <c r="M137" s="70">
        <f t="shared" si="98"/>
        <v>617.003475</v>
      </c>
      <c r="N137" s="71"/>
      <c r="O137" s="48">
        <f t="shared" si="103"/>
        <v>17368.64782125</v>
      </c>
      <c r="P137" s="77"/>
      <c r="Q137" s="72"/>
      <c r="R137" s="46">
        <f>E137*M137</f>
        <v>17368.64782125</v>
      </c>
      <c r="S137" s="46">
        <f>F137+G137+J137+K137+L137</f>
        <v>411.33565</v>
      </c>
      <c r="T137" s="46" t="b">
        <f>O137=R137</f>
        <v>1</v>
      </c>
      <c r="U137" s="46" t="b">
        <f>M137=S137</f>
        <v>0</v>
      </c>
    </row>
    <row r="138" s="64" customFormat="1" customHeight="1" outlineLevel="1" spans="1:21">
      <c r="A138" s="32">
        <v>109</v>
      </c>
      <c r="B138" s="32" t="s">
        <v>222</v>
      </c>
      <c r="C138" s="32" t="s">
        <v>234</v>
      </c>
      <c r="D138" s="32" t="s">
        <v>67</v>
      </c>
      <c r="E138" s="32">
        <v>21.36</v>
      </c>
      <c r="F138" s="76">
        <f t="shared" ref="F138:J138" si="106">F127</f>
        <v>260</v>
      </c>
      <c r="G138" s="48">
        <f t="shared" si="102"/>
        <v>1942.5</v>
      </c>
      <c r="H138" s="76">
        <f t="shared" si="106"/>
        <v>1850</v>
      </c>
      <c r="I138" s="79">
        <f t="shared" si="106"/>
        <v>0.05</v>
      </c>
      <c r="J138" s="76">
        <f t="shared" si="106"/>
        <v>120</v>
      </c>
      <c r="K138" s="48">
        <f>(F138+G138+J138)*$K$5</f>
        <v>139.35</v>
      </c>
      <c r="L138" s="48">
        <f>(F138+G138+J138+K138)*$L$5</f>
        <v>73.8555</v>
      </c>
      <c r="M138" s="70">
        <f t="shared" si="98"/>
        <v>3803.55825</v>
      </c>
      <c r="N138" s="71"/>
      <c r="O138" s="48">
        <f t="shared" si="103"/>
        <v>81244.00422</v>
      </c>
      <c r="P138" s="69" t="s">
        <v>235</v>
      </c>
      <c r="Q138" s="72"/>
      <c r="R138" s="46">
        <f>E138*M138</f>
        <v>81244.00422</v>
      </c>
      <c r="S138" s="46">
        <f>F138+G138+J138+K138+L138</f>
        <v>2535.7055</v>
      </c>
      <c r="T138" s="46" t="b">
        <f>O138=R138</f>
        <v>1</v>
      </c>
      <c r="U138" s="46" t="b">
        <f>M138=S138</f>
        <v>0</v>
      </c>
    </row>
    <row r="139" s="63" customFormat="1" customHeight="1" outlineLevel="1" spans="1:21">
      <c r="A139" s="32">
        <v>110</v>
      </c>
      <c r="B139" s="32" t="s">
        <v>197</v>
      </c>
      <c r="C139" s="32" t="s">
        <v>206</v>
      </c>
      <c r="D139" s="32" t="s">
        <v>102</v>
      </c>
      <c r="E139" s="32">
        <v>59.51</v>
      </c>
      <c r="F139" s="66">
        <f t="shared" ref="F139:J139" si="107">F101</f>
        <v>15</v>
      </c>
      <c r="G139" s="48">
        <f t="shared" si="102"/>
        <v>29.4</v>
      </c>
      <c r="H139" s="66">
        <f t="shared" si="107"/>
        <v>28</v>
      </c>
      <c r="I139" s="49">
        <f t="shared" si="107"/>
        <v>0.05</v>
      </c>
      <c r="J139" s="48">
        <f t="shared" si="107"/>
        <v>1</v>
      </c>
      <c r="K139" s="48">
        <f>(F139+G139+J139)*$K$5</f>
        <v>2.724</v>
      </c>
      <c r="L139" s="48">
        <f>(F139+G139+J139+K139)*$L$5</f>
        <v>1.44372</v>
      </c>
      <c r="M139" s="70">
        <f t="shared" si="98"/>
        <v>74.35158</v>
      </c>
      <c r="N139" s="71"/>
      <c r="O139" s="48">
        <f t="shared" si="103"/>
        <v>4424.6625258</v>
      </c>
      <c r="P139" s="69"/>
      <c r="Q139" s="72"/>
      <c r="R139" s="46">
        <f>E139*M139</f>
        <v>4424.6625258</v>
      </c>
      <c r="S139" s="46">
        <f>F139+G139+J139+K139+L139</f>
        <v>49.56772</v>
      </c>
      <c r="T139" s="46" t="b">
        <f>O139=R139</f>
        <v>1</v>
      </c>
      <c r="U139" s="46" t="b">
        <f>M139=S139</f>
        <v>0</v>
      </c>
    </row>
    <row r="140" s="63" customFormat="1" customHeight="1" outlineLevel="1" spans="1:21">
      <c r="A140" s="32">
        <v>111</v>
      </c>
      <c r="B140" s="32" t="s">
        <v>236</v>
      </c>
      <c r="C140" s="32" t="s">
        <v>237</v>
      </c>
      <c r="D140" s="32" t="s">
        <v>67</v>
      </c>
      <c r="E140" s="32">
        <v>2.76</v>
      </c>
      <c r="F140" s="66">
        <f t="shared" ref="F140:J140" si="108">F136</f>
        <v>150</v>
      </c>
      <c r="G140" s="48">
        <f t="shared" si="102"/>
        <v>141.75</v>
      </c>
      <c r="H140" s="66">
        <f t="shared" si="108"/>
        <v>135</v>
      </c>
      <c r="I140" s="49">
        <f t="shared" si="108"/>
        <v>0.05</v>
      </c>
      <c r="J140" s="48">
        <f t="shared" si="108"/>
        <v>85</v>
      </c>
      <c r="K140" s="48">
        <f>(F140+G140+J140)*$K$5</f>
        <v>22.605</v>
      </c>
      <c r="L140" s="48">
        <f>(F140+G140+J140+K140)*$L$5</f>
        <v>11.98065</v>
      </c>
      <c r="M140" s="70">
        <f t="shared" si="98"/>
        <v>617.003475</v>
      </c>
      <c r="N140" s="71"/>
      <c r="O140" s="48">
        <f t="shared" si="103"/>
        <v>1702.929591</v>
      </c>
      <c r="P140" s="69"/>
      <c r="Q140" s="72"/>
      <c r="R140" s="46">
        <f>E140*M140</f>
        <v>1702.929591</v>
      </c>
      <c r="S140" s="46">
        <f>F140+G140+J140+K140+L140</f>
        <v>411.33565</v>
      </c>
      <c r="T140" s="46" t="b">
        <f>O140=R140</f>
        <v>1</v>
      </c>
      <c r="U140" s="46" t="b">
        <f>M140=S140</f>
        <v>0</v>
      </c>
    </row>
    <row r="141" s="63" customFormat="1" customHeight="1" spans="1:21">
      <c r="A141" s="32"/>
      <c r="B141" s="32" t="s">
        <v>238</v>
      </c>
      <c r="C141" s="32"/>
      <c r="D141" s="32"/>
      <c r="E141" s="32"/>
      <c r="F141" s="66"/>
      <c r="G141" s="48"/>
      <c r="H141" s="66"/>
      <c r="I141" s="49"/>
      <c r="J141" s="48"/>
      <c r="K141" s="48"/>
      <c r="L141" s="48"/>
      <c r="M141" s="70"/>
      <c r="N141" s="71"/>
      <c r="O141" s="48"/>
      <c r="P141" s="69"/>
      <c r="Q141" s="72"/>
      <c r="R141" s="46">
        <f>E141*M141</f>
        <v>0</v>
      </c>
      <c r="S141" s="46">
        <f>F141+G141+J141+K141+L141</f>
        <v>0</v>
      </c>
      <c r="T141" s="46" t="b">
        <f>O141=R141</f>
        <v>1</v>
      </c>
      <c r="U141" s="46" t="b">
        <f>M141=S141</f>
        <v>1</v>
      </c>
    </row>
    <row r="142" s="63" customFormat="1" customHeight="1" outlineLevel="1" spans="1:21">
      <c r="A142" s="51">
        <v>112</v>
      </c>
      <c r="B142" s="51" t="s">
        <v>191</v>
      </c>
      <c r="C142" s="51" t="s">
        <v>239</v>
      </c>
      <c r="D142" s="51" t="s">
        <v>67</v>
      </c>
      <c r="E142" s="51">
        <v>62.97</v>
      </c>
      <c r="F142" s="68">
        <f t="shared" ref="F142:J142" si="109">F96</f>
        <v>150</v>
      </c>
      <c r="G142" s="67">
        <f>H142*(1+I142)</f>
        <v>226.8</v>
      </c>
      <c r="H142" s="68">
        <v>210</v>
      </c>
      <c r="I142" s="54">
        <f t="shared" si="109"/>
        <v>0.08</v>
      </c>
      <c r="J142" s="67">
        <f t="shared" si="109"/>
        <v>75</v>
      </c>
      <c r="K142" s="67">
        <f>(F142+G142+J142)*$K$5</f>
        <v>27.108</v>
      </c>
      <c r="L142" s="67">
        <f>(F142+G142+J142+K142)*$L$5</f>
        <v>14.36724</v>
      </c>
      <c r="M142" s="70">
        <f t="shared" si="98"/>
        <v>739.91286</v>
      </c>
      <c r="N142" s="71"/>
      <c r="O142" s="67">
        <f>M142*E142</f>
        <v>46592.3127942</v>
      </c>
      <c r="P142" s="75"/>
      <c r="Q142" s="72"/>
      <c r="R142" s="46">
        <f>E142*M142</f>
        <v>46592.3127942</v>
      </c>
      <c r="S142" s="46">
        <f>F142+G142+J142+K142+L142</f>
        <v>493.27524</v>
      </c>
      <c r="T142" s="46" t="b">
        <f>O142=R142</f>
        <v>1</v>
      </c>
      <c r="U142" s="46" t="b">
        <f>M142=S142</f>
        <v>0</v>
      </c>
    </row>
    <row r="143" s="63" customFormat="1" customHeight="1" outlineLevel="1" spans="1:21">
      <c r="A143" s="32">
        <v>113</v>
      </c>
      <c r="B143" s="32" t="s">
        <v>197</v>
      </c>
      <c r="C143" s="32" t="s">
        <v>206</v>
      </c>
      <c r="D143" s="32" t="s">
        <v>102</v>
      </c>
      <c r="E143" s="32">
        <v>14.63</v>
      </c>
      <c r="F143" s="66">
        <f t="shared" ref="F143:J143" si="110">F101</f>
        <v>15</v>
      </c>
      <c r="G143" s="48">
        <f>H143*(1+I143)</f>
        <v>29.4</v>
      </c>
      <c r="H143" s="66">
        <f t="shared" si="110"/>
        <v>28</v>
      </c>
      <c r="I143" s="49">
        <f t="shared" si="110"/>
        <v>0.05</v>
      </c>
      <c r="J143" s="48">
        <f t="shared" si="110"/>
        <v>1</v>
      </c>
      <c r="K143" s="48">
        <f>(F143+G143+J143)*$K$5</f>
        <v>2.724</v>
      </c>
      <c r="L143" s="48">
        <f>(F143+G143+J143+K143)*$L$5</f>
        <v>1.44372</v>
      </c>
      <c r="M143" s="70">
        <f t="shared" si="98"/>
        <v>74.35158</v>
      </c>
      <c r="N143" s="71"/>
      <c r="O143" s="48">
        <f>M143*E143</f>
        <v>1087.7636154</v>
      </c>
      <c r="P143" s="69"/>
      <c r="Q143" s="72"/>
      <c r="R143" s="46">
        <f t="shared" ref="R143:R169" si="111">E143*M143</f>
        <v>1087.7636154</v>
      </c>
      <c r="S143" s="46">
        <f t="shared" ref="S143:S169" si="112">F143+G143+J143+K143+L143</f>
        <v>49.56772</v>
      </c>
      <c r="T143" s="46" t="b">
        <f t="shared" ref="T143:T169" si="113">O143=R143</f>
        <v>1</v>
      </c>
      <c r="U143" s="46" t="b">
        <f t="shared" ref="U143:U169" si="114">M143=S143</f>
        <v>0</v>
      </c>
    </row>
    <row r="144" s="63" customFormat="1" customHeight="1" outlineLevel="1" spans="1:21">
      <c r="A144" s="32">
        <v>114</v>
      </c>
      <c r="B144" s="32" t="s">
        <v>240</v>
      </c>
      <c r="C144" s="32" t="s">
        <v>241</v>
      </c>
      <c r="D144" s="32" t="s">
        <v>102</v>
      </c>
      <c r="E144" s="32">
        <v>14.63</v>
      </c>
      <c r="F144" s="66">
        <f t="shared" ref="F144:J144" si="115">F143</f>
        <v>15</v>
      </c>
      <c r="G144" s="48">
        <f>H144*(1+I144)</f>
        <v>29.4</v>
      </c>
      <c r="H144" s="66">
        <f t="shared" si="115"/>
        <v>28</v>
      </c>
      <c r="I144" s="49">
        <f t="shared" si="115"/>
        <v>0.05</v>
      </c>
      <c r="J144" s="48">
        <f t="shared" si="115"/>
        <v>1</v>
      </c>
      <c r="K144" s="48">
        <f>(F144+G144+J144)*$K$5</f>
        <v>2.724</v>
      </c>
      <c r="L144" s="48">
        <f>(F144+G144+J144+K144)*$L$5</f>
        <v>1.44372</v>
      </c>
      <c r="M144" s="70">
        <f t="shared" si="98"/>
        <v>74.35158</v>
      </c>
      <c r="N144" s="71"/>
      <c r="O144" s="48">
        <f>M144*E144</f>
        <v>1087.7636154</v>
      </c>
      <c r="P144" s="69"/>
      <c r="Q144" s="72"/>
      <c r="R144" s="46">
        <f t="shared" si="111"/>
        <v>1087.7636154</v>
      </c>
      <c r="S144" s="46">
        <f t="shared" si="112"/>
        <v>49.56772</v>
      </c>
      <c r="T144" s="46" t="b">
        <f t="shared" si="113"/>
        <v>1</v>
      </c>
      <c r="U144" s="46" t="b">
        <f t="shared" si="114"/>
        <v>0</v>
      </c>
    </row>
    <row r="145" s="63" customFormat="1" customHeight="1" spans="1:21">
      <c r="A145" s="32"/>
      <c r="B145" s="32" t="s">
        <v>242</v>
      </c>
      <c r="C145" s="32"/>
      <c r="D145" s="32"/>
      <c r="E145" s="32"/>
      <c r="F145" s="66"/>
      <c r="G145" s="48"/>
      <c r="H145" s="66"/>
      <c r="I145" s="49"/>
      <c r="J145" s="48"/>
      <c r="K145" s="48"/>
      <c r="L145" s="48"/>
      <c r="M145" s="70"/>
      <c r="N145" s="71"/>
      <c r="O145" s="48"/>
      <c r="P145" s="69"/>
      <c r="Q145" s="72"/>
      <c r="R145" s="46">
        <f t="shared" si="111"/>
        <v>0</v>
      </c>
      <c r="S145" s="46">
        <f t="shared" si="112"/>
        <v>0</v>
      </c>
      <c r="T145" s="46" t="b">
        <f t="shared" si="113"/>
        <v>1</v>
      </c>
      <c r="U145" s="46" t="b">
        <f t="shared" si="114"/>
        <v>1</v>
      </c>
    </row>
    <row r="146" s="63" customFormat="1" customHeight="1" outlineLevel="1" spans="1:21">
      <c r="A146" s="32">
        <v>115</v>
      </c>
      <c r="B146" s="32" t="s">
        <v>195</v>
      </c>
      <c r="C146" s="32" t="s">
        <v>205</v>
      </c>
      <c r="D146" s="32" t="s">
        <v>67</v>
      </c>
      <c r="E146" s="32">
        <v>32.1</v>
      </c>
      <c r="F146" s="66">
        <f t="shared" ref="F146:J146" si="116">F100</f>
        <v>35</v>
      </c>
      <c r="G146" s="48">
        <f t="shared" ref="G146:G153" si="117">H146*(1+I146)</f>
        <v>26.25</v>
      </c>
      <c r="H146" s="66">
        <f>H100</f>
        <v>25</v>
      </c>
      <c r="I146" s="49">
        <f t="shared" si="116"/>
        <v>0.05</v>
      </c>
      <c r="J146" s="48">
        <f t="shared" si="116"/>
        <v>15</v>
      </c>
      <c r="K146" s="48">
        <f>(F146+G146+J146)*$K$5</f>
        <v>4.575</v>
      </c>
      <c r="L146" s="48">
        <f>(F146+G146+J146+K146)*$L$5</f>
        <v>2.42475</v>
      </c>
      <c r="M146" s="70">
        <f t="shared" si="98"/>
        <v>124.874625</v>
      </c>
      <c r="N146" s="71"/>
      <c r="O146" s="48">
        <f t="shared" ref="O146:O153" si="118">M146*E146</f>
        <v>4008.4754625</v>
      </c>
      <c r="P146" s="69"/>
      <c r="Q146" s="72"/>
      <c r="R146" s="46">
        <f t="shared" si="111"/>
        <v>4008.4754625</v>
      </c>
      <c r="S146" s="46">
        <f t="shared" si="112"/>
        <v>83.24975</v>
      </c>
      <c r="T146" s="46" t="b">
        <f t="shared" si="113"/>
        <v>1</v>
      </c>
      <c r="U146" s="46" t="b">
        <f t="shared" si="114"/>
        <v>0</v>
      </c>
    </row>
    <row r="147" s="63" customFormat="1" customHeight="1" outlineLevel="1" spans="1:21">
      <c r="A147" s="32">
        <v>116</v>
      </c>
      <c r="B147" s="32" t="s">
        <v>197</v>
      </c>
      <c r="C147" s="32" t="s">
        <v>206</v>
      </c>
      <c r="D147" s="32" t="s">
        <v>102</v>
      </c>
      <c r="E147" s="32">
        <v>10.27</v>
      </c>
      <c r="F147" s="66">
        <f t="shared" ref="F147:J147" si="119">F101</f>
        <v>15</v>
      </c>
      <c r="G147" s="48">
        <f t="shared" si="117"/>
        <v>29.4</v>
      </c>
      <c r="H147" s="66">
        <f t="shared" si="119"/>
        <v>28</v>
      </c>
      <c r="I147" s="49">
        <f t="shared" si="119"/>
        <v>0.05</v>
      </c>
      <c r="J147" s="48">
        <f t="shared" si="119"/>
        <v>1</v>
      </c>
      <c r="K147" s="48">
        <f>(F147+G147+J147)*$K$5</f>
        <v>2.724</v>
      </c>
      <c r="L147" s="48">
        <f>(F147+G147+J147+K147)*$L$5</f>
        <v>1.44372</v>
      </c>
      <c r="M147" s="70">
        <f t="shared" si="98"/>
        <v>74.35158</v>
      </c>
      <c r="N147" s="71"/>
      <c r="O147" s="48">
        <f t="shared" si="118"/>
        <v>763.5907266</v>
      </c>
      <c r="P147" s="69"/>
      <c r="Q147" s="72"/>
      <c r="R147" s="46">
        <f t="shared" si="111"/>
        <v>763.5907266</v>
      </c>
      <c r="S147" s="46">
        <f t="shared" si="112"/>
        <v>49.56772</v>
      </c>
      <c r="T147" s="46" t="b">
        <f t="shared" si="113"/>
        <v>1</v>
      </c>
      <c r="U147" s="46" t="b">
        <f t="shared" si="114"/>
        <v>0</v>
      </c>
    </row>
    <row r="148" s="63" customFormat="1" customHeight="1" outlineLevel="1" spans="1:21">
      <c r="A148" s="32">
        <v>117</v>
      </c>
      <c r="B148" s="32" t="s">
        <v>243</v>
      </c>
      <c r="C148" s="32" t="s">
        <v>244</v>
      </c>
      <c r="D148" s="32" t="s">
        <v>67</v>
      </c>
      <c r="E148" s="32">
        <v>8.94</v>
      </c>
      <c r="F148" s="66">
        <v>150</v>
      </c>
      <c r="G148" s="48">
        <f t="shared" si="117"/>
        <v>336</v>
      </c>
      <c r="H148" s="66">
        <v>320</v>
      </c>
      <c r="I148" s="49">
        <v>0.05</v>
      </c>
      <c r="J148" s="48">
        <v>165</v>
      </c>
      <c r="K148" s="48">
        <f>(F148+G148+J148)*$K$5</f>
        <v>39.06</v>
      </c>
      <c r="L148" s="48">
        <f>(F148+G148+J148+K148)*$L$5</f>
        <v>20.7018</v>
      </c>
      <c r="M148" s="70">
        <f t="shared" si="98"/>
        <v>1066.1427</v>
      </c>
      <c r="N148" s="71"/>
      <c r="O148" s="48">
        <f t="shared" si="118"/>
        <v>9531.315738</v>
      </c>
      <c r="P148" s="69"/>
      <c r="Q148" s="72"/>
      <c r="R148" s="46">
        <f t="shared" si="111"/>
        <v>9531.315738</v>
      </c>
      <c r="S148" s="46">
        <f t="shared" si="112"/>
        <v>710.7618</v>
      </c>
      <c r="T148" s="46" t="b">
        <f t="shared" si="113"/>
        <v>1</v>
      </c>
      <c r="U148" s="46" t="b">
        <f t="shared" si="114"/>
        <v>0</v>
      </c>
    </row>
    <row r="149" s="63" customFormat="1" customHeight="1" outlineLevel="1" spans="1:21">
      <c r="A149" s="32">
        <v>118</v>
      </c>
      <c r="B149" s="32" t="s">
        <v>245</v>
      </c>
      <c r="C149" s="32" t="s">
        <v>246</v>
      </c>
      <c r="D149" s="32" t="s">
        <v>67</v>
      </c>
      <c r="E149" s="32">
        <v>0.68</v>
      </c>
      <c r="F149" s="66">
        <f t="shared" ref="F149:J149" si="120">F148</f>
        <v>150</v>
      </c>
      <c r="G149" s="48">
        <f t="shared" si="117"/>
        <v>336</v>
      </c>
      <c r="H149" s="66">
        <f t="shared" si="120"/>
        <v>320</v>
      </c>
      <c r="I149" s="49">
        <f t="shared" si="120"/>
        <v>0.05</v>
      </c>
      <c r="J149" s="48">
        <f t="shared" si="120"/>
        <v>165</v>
      </c>
      <c r="K149" s="48">
        <f>(F149+G149+J149)*$K$5</f>
        <v>39.06</v>
      </c>
      <c r="L149" s="48">
        <f>(F149+G149+J149+K149)*$L$5</f>
        <v>20.7018</v>
      </c>
      <c r="M149" s="70">
        <f t="shared" si="98"/>
        <v>1066.1427</v>
      </c>
      <c r="N149" s="71"/>
      <c r="O149" s="48">
        <f t="shared" si="118"/>
        <v>724.977036</v>
      </c>
      <c r="P149" s="69"/>
      <c r="Q149" s="72"/>
      <c r="R149" s="46">
        <f t="shared" si="111"/>
        <v>724.977036</v>
      </c>
      <c r="S149" s="46">
        <f t="shared" si="112"/>
        <v>710.7618</v>
      </c>
      <c r="T149" s="46" t="b">
        <f t="shared" si="113"/>
        <v>1</v>
      </c>
      <c r="U149" s="46" t="b">
        <f t="shared" si="114"/>
        <v>0</v>
      </c>
    </row>
    <row r="150" s="63" customFormat="1" customHeight="1" outlineLevel="1" spans="1:21">
      <c r="A150" s="32">
        <v>119</v>
      </c>
      <c r="B150" s="32" t="s">
        <v>247</v>
      </c>
      <c r="C150" s="32" t="s">
        <v>248</v>
      </c>
      <c r="D150" s="32" t="s">
        <v>102</v>
      </c>
      <c r="E150" s="32">
        <v>3.6</v>
      </c>
      <c r="F150" s="66">
        <v>450</v>
      </c>
      <c r="G150" s="48">
        <f t="shared" si="117"/>
        <v>959.5</v>
      </c>
      <c r="H150" s="66">
        <v>950</v>
      </c>
      <c r="I150" s="49">
        <v>0.01</v>
      </c>
      <c r="J150" s="48">
        <v>220</v>
      </c>
      <c r="K150" s="48">
        <f>(F150+G150+J150)*$K$5</f>
        <v>97.77</v>
      </c>
      <c r="L150" s="48">
        <f>(F150+G150+J150+K150)*$L$5</f>
        <v>51.8181</v>
      </c>
      <c r="M150" s="70">
        <f t="shared" si="98"/>
        <v>2668.63215</v>
      </c>
      <c r="N150" s="71"/>
      <c r="O150" s="48">
        <f t="shared" si="118"/>
        <v>9607.07574</v>
      </c>
      <c r="P150" s="69"/>
      <c r="Q150" s="72"/>
      <c r="R150" s="46">
        <f t="shared" si="111"/>
        <v>9607.07574</v>
      </c>
      <c r="S150" s="46">
        <f t="shared" si="112"/>
        <v>1779.0881</v>
      </c>
      <c r="T150" s="46" t="b">
        <f t="shared" si="113"/>
        <v>1</v>
      </c>
      <c r="U150" s="46" t="b">
        <f t="shared" si="114"/>
        <v>0</v>
      </c>
    </row>
    <row r="151" s="63" customFormat="1" customHeight="1" outlineLevel="1" spans="1:21">
      <c r="A151" s="32">
        <v>120</v>
      </c>
      <c r="B151" s="32" t="s">
        <v>208</v>
      </c>
      <c r="C151" s="32" t="s">
        <v>249</v>
      </c>
      <c r="D151" s="32" t="s">
        <v>67</v>
      </c>
      <c r="E151" s="32">
        <v>1.92</v>
      </c>
      <c r="F151" s="66">
        <v>150</v>
      </c>
      <c r="G151" s="48">
        <f t="shared" si="117"/>
        <v>682.5</v>
      </c>
      <c r="H151" s="66">
        <f>H110/$E$151</f>
        <v>650</v>
      </c>
      <c r="I151" s="49">
        <v>0.05</v>
      </c>
      <c r="J151" s="48">
        <v>100</v>
      </c>
      <c r="K151" s="48">
        <f>(F151+G151+J151)*$K$5</f>
        <v>55.95</v>
      </c>
      <c r="L151" s="48">
        <f>(F151+G151+J151+K151)*$L$5</f>
        <v>29.6535</v>
      </c>
      <c r="M151" s="70">
        <f t="shared" si="98"/>
        <v>1527.15525</v>
      </c>
      <c r="N151" s="71"/>
      <c r="O151" s="48">
        <f t="shared" si="118"/>
        <v>2932.13808</v>
      </c>
      <c r="P151" s="69"/>
      <c r="Q151" s="72"/>
      <c r="R151" s="46">
        <f t="shared" si="111"/>
        <v>2932.13808</v>
      </c>
      <c r="S151" s="46">
        <f t="shared" si="112"/>
        <v>1018.1035</v>
      </c>
      <c r="T151" s="46" t="b">
        <f t="shared" si="113"/>
        <v>1</v>
      </c>
      <c r="U151" s="46" t="b">
        <f t="shared" si="114"/>
        <v>0</v>
      </c>
    </row>
    <row r="152" s="63" customFormat="1" customHeight="1" outlineLevel="1" spans="1:21">
      <c r="A152" s="32">
        <v>121</v>
      </c>
      <c r="B152" s="32" t="s">
        <v>86</v>
      </c>
      <c r="C152" s="32" t="s">
        <v>250</v>
      </c>
      <c r="D152" s="32" t="s">
        <v>67</v>
      </c>
      <c r="E152" s="32">
        <v>1.28</v>
      </c>
      <c r="F152" s="66">
        <f>F21</f>
        <v>165</v>
      </c>
      <c r="G152" s="48">
        <f t="shared" si="117"/>
        <v>315</v>
      </c>
      <c r="H152" s="66">
        <f t="shared" ref="F152:I152" si="121">H118</f>
        <v>300</v>
      </c>
      <c r="I152" s="49">
        <f t="shared" si="121"/>
        <v>0.05</v>
      </c>
      <c r="J152" s="48">
        <v>135</v>
      </c>
      <c r="K152" s="48">
        <f>(F152+G152+J152)*$K$5</f>
        <v>36.9</v>
      </c>
      <c r="L152" s="48">
        <f>(F152+G152+J152+K152)*$L$5</f>
        <v>19.557</v>
      </c>
      <c r="M152" s="70">
        <f t="shared" si="98"/>
        <v>1007.1855</v>
      </c>
      <c r="N152" s="71"/>
      <c r="O152" s="48">
        <f t="shared" si="118"/>
        <v>1289.19744</v>
      </c>
      <c r="P152" s="69" t="str">
        <f>P129</f>
        <v>厂家定制</v>
      </c>
      <c r="Q152" s="72"/>
      <c r="R152" s="46">
        <f t="shared" si="111"/>
        <v>1289.19744</v>
      </c>
      <c r="S152" s="46">
        <f t="shared" si="112"/>
        <v>671.457</v>
      </c>
      <c r="T152" s="46" t="b">
        <f t="shared" si="113"/>
        <v>1</v>
      </c>
      <c r="U152" s="46" t="b">
        <f t="shared" si="114"/>
        <v>0</v>
      </c>
    </row>
    <row r="153" s="63" customFormat="1" customHeight="1" outlineLevel="1" spans="1:21">
      <c r="A153" s="32">
        <v>122</v>
      </c>
      <c r="B153" s="32" t="s">
        <v>178</v>
      </c>
      <c r="C153" s="32" t="s">
        <v>251</v>
      </c>
      <c r="D153" s="32" t="s">
        <v>99</v>
      </c>
      <c r="E153" s="32">
        <v>1</v>
      </c>
      <c r="F153" s="66">
        <v>300</v>
      </c>
      <c r="G153" s="48">
        <f t="shared" si="117"/>
        <v>1111</v>
      </c>
      <c r="H153" s="66">
        <v>1100</v>
      </c>
      <c r="I153" s="49">
        <v>0.01</v>
      </c>
      <c r="J153" s="48">
        <v>310</v>
      </c>
      <c r="K153" s="48">
        <f>(F153+G153+J153)*$K$5</f>
        <v>103.26</v>
      </c>
      <c r="L153" s="48">
        <f>(F153+G153+J153+K153)*$L$5</f>
        <v>54.7278</v>
      </c>
      <c r="M153" s="70">
        <f t="shared" si="98"/>
        <v>2818.4817</v>
      </c>
      <c r="N153" s="71"/>
      <c r="O153" s="48">
        <f t="shared" si="118"/>
        <v>2818.4817</v>
      </c>
      <c r="P153" s="69" t="str">
        <f>P129</f>
        <v>厂家定制</v>
      </c>
      <c r="Q153" s="72"/>
      <c r="R153" s="46">
        <f t="shared" si="111"/>
        <v>2818.4817</v>
      </c>
      <c r="S153" s="46">
        <f t="shared" si="112"/>
        <v>1878.9878</v>
      </c>
      <c r="T153" s="46" t="b">
        <f t="shared" si="113"/>
        <v>1</v>
      </c>
      <c r="U153" s="46" t="b">
        <f t="shared" si="114"/>
        <v>0</v>
      </c>
    </row>
    <row r="154" s="63" customFormat="1" customHeight="1" spans="1:21">
      <c r="A154" s="32"/>
      <c r="B154" s="32" t="s">
        <v>252</v>
      </c>
      <c r="C154" s="32"/>
      <c r="D154" s="32"/>
      <c r="E154" s="32"/>
      <c r="F154" s="66"/>
      <c r="G154" s="48"/>
      <c r="H154" s="66"/>
      <c r="I154" s="49"/>
      <c r="J154" s="48"/>
      <c r="K154" s="48"/>
      <c r="L154" s="48"/>
      <c r="M154" s="70"/>
      <c r="N154" s="71"/>
      <c r="O154" s="48"/>
      <c r="P154" s="69"/>
      <c r="Q154" s="72"/>
      <c r="R154" s="46">
        <f t="shared" si="111"/>
        <v>0</v>
      </c>
      <c r="S154" s="46">
        <f t="shared" si="112"/>
        <v>0</v>
      </c>
      <c r="T154" s="46" t="b">
        <f t="shared" si="113"/>
        <v>1</v>
      </c>
      <c r="U154" s="46" t="b">
        <f t="shared" si="114"/>
        <v>1</v>
      </c>
    </row>
    <row r="155" s="63" customFormat="1" customHeight="1" outlineLevel="1" spans="1:21">
      <c r="A155" s="32">
        <v>123</v>
      </c>
      <c r="B155" s="32" t="s">
        <v>86</v>
      </c>
      <c r="C155" s="32" t="s">
        <v>253</v>
      </c>
      <c r="D155" s="32" t="s">
        <v>67</v>
      </c>
      <c r="E155" s="32">
        <v>7.86</v>
      </c>
      <c r="F155" s="66">
        <f t="shared" ref="F155:J155" si="122">F152</f>
        <v>165</v>
      </c>
      <c r="G155" s="48">
        <f t="shared" ref="G155:G161" si="123">H155*(1+I155)</f>
        <v>315</v>
      </c>
      <c r="H155" s="66">
        <f t="shared" si="122"/>
        <v>300</v>
      </c>
      <c r="I155" s="49">
        <f t="shared" si="122"/>
        <v>0.05</v>
      </c>
      <c r="J155" s="48">
        <f t="shared" si="122"/>
        <v>135</v>
      </c>
      <c r="K155" s="48">
        <f>(F155+G155+J155)*$K$5</f>
        <v>36.9</v>
      </c>
      <c r="L155" s="48">
        <f>(F155+G155+J155+K155)*$L$5</f>
        <v>19.557</v>
      </c>
      <c r="M155" s="70">
        <f t="shared" si="98"/>
        <v>1007.1855</v>
      </c>
      <c r="N155" s="71"/>
      <c r="O155" s="48">
        <f t="shared" ref="O155:O161" si="124">M155*E155</f>
        <v>7916.47803</v>
      </c>
      <c r="P155" s="69" t="str">
        <f>P129</f>
        <v>厂家定制</v>
      </c>
      <c r="Q155" s="72"/>
      <c r="R155" s="46">
        <f t="shared" si="111"/>
        <v>7916.47803</v>
      </c>
      <c r="S155" s="46">
        <f t="shared" si="112"/>
        <v>671.457</v>
      </c>
      <c r="T155" s="46" t="b">
        <f t="shared" si="113"/>
        <v>1</v>
      </c>
      <c r="U155" s="46" t="b">
        <f t="shared" si="114"/>
        <v>0</v>
      </c>
    </row>
    <row r="156" s="63" customFormat="1" customHeight="1" outlineLevel="1" spans="1:21">
      <c r="A156" s="32">
        <v>124</v>
      </c>
      <c r="B156" s="32" t="s">
        <v>86</v>
      </c>
      <c r="C156" s="32" t="s">
        <v>254</v>
      </c>
      <c r="D156" s="32" t="s">
        <v>67</v>
      </c>
      <c r="E156" s="32">
        <v>32.33</v>
      </c>
      <c r="F156" s="66">
        <v>125</v>
      </c>
      <c r="G156" s="48">
        <f t="shared" si="123"/>
        <v>162</v>
      </c>
      <c r="H156" s="66">
        <v>135</v>
      </c>
      <c r="I156" s="49">
        <v>0.2</v>
      </c>
      <c r="J156" s="48">
        <f>38*2+25</f>
        <v>101</v>
      </c>
      <c r="K156" s="48">
        <f>(F156+G156+J156)*$K$5</f>
        <v>23.28</v>
      </c>
      <c r="L156" s="48">
        <f>(F156+G156+J156+K156)*$L$5</f>
        <v>12.3384</v>
      </c>
      <c r="M156" s="70">
        <f t="shared" ref="M156:M187" si="125">(F156+G156+J156+K156+L156)*1.5</f>
        <v>635.4276</v>
      </c>
      <c r="N156" s="71"/>
      <c r="O156" s="48">
        <f t="shared" si="124"/>
        <v>20543.374308</v>
      </c>
      <c r="P156" s="69"/>
      <c r="Q156" s="72"/>
      <c r="R156" s="46">
        <f t="shared" si="111"/>
        <v>20543.374308</v>
      </c>
      <c r="S156" s="46">
        <f t="shared" si="112"/>
        <v>423.6184</v>
      </c>
      <c r="T156" s="46" t="b">
        <f t="shared" si="113"/>
        <v>1</v>
      </c>
      <c r="U156" s="46" t="b">
        <f t="shared" si="114"/>
        <v>0</v>
      </c>
    </row>
    <row r="157" s="63" customFormat="1" customHeight="1" outlineLevel="1" spans="1:21">
      <c r="A157" s="32">
        <v>125</v>
      </c>
      <c r="B157" s="32" t="s">
        <v>86</v>
      </c>
      <c r="C157" s="32" t="s">
        <v>255</v>
      </c>
      <c r="D157" s="32" t="s">
        <v>67</v>
      </c>
      <c r="E157" s="32">
        <v>1.5</v>
      </c>
      <c r="F157" s="66">
        <f t="shared" ref="F157:I157" si="126">F125</f>
        <v>145</v>
      </c>
      <c r="G157" s="48">
        <f t="shared" si="123"/>
        <v>236.25</v>
      </c>
      <c r="H157" s="66">
        <f t="shared" si="126"/>
        <v>225</v>
      </c>
      <c r="I157" s="49">
        <f t="shared" si="126"/>
        <v>0.05</v>
      </c>
      <c r="J157" s="48">
        <f>J125+15</f>
        <v>85</v>
      </c>
      <c r="K157" s="48">
        <f>(F157+G157+J157)*$K$5</f>
        <v>27.975</v>
      </c>
      <c r="L157" s="48">
        <f>(F157+G157+J157+K157)*$L$5</f>
        <v>14.82675</v>
      </c>
      <c r="M157" s="70">
        <f t="shared" si="125"/>
        <v>763.577625</v>
      </c>
      <c r="N157" s="71"/>
      <c r="O157" s="48">
        <f t="shared" si="124"/>
        <v>1145.3664375</v>
      </c>
      <c r="P157" s="69"/>
      <c r="Q157" s="72"/>
      <c r="R157" s="46">
        <f t="shared" si="111"/>
        <v>1145.3664375</v>
      </c>
      <c r="S157" s="46">
        <f t="shared" si="112"/>
        <v>509.05175</v>
      </c>
      <c r="T157" s="46" t="b">
        <f t="shared" si="113"/>
        <v>1</v>
      </c>
      <c r="U157" s="46" t="b">
        <f t="shared" si="114"/>
        <v>0</v>
      </c>
    </row>
    <row r="158" s="63" customFormat="1" customHeight="1" outlineLevel="1" spans="1:21">
      <c r="A158" s="32">
        <v>126</v>
      </c>
      <c r="B158" s="32" t="s">
        <v>197</v>
      </c>
      <c r="C158" s="32" t="s">
        <v>206</v>
      </c>
      <c r="D158" s="32" t="s">
        <v>102</v>
      </c>
      <c r="E158" s="32">
        <v>9.01</v>
      </c>
      <c r="F158" s="66">
        <f t="shared" ref="F158:J158" si="127">F101</f>
        <v>15</v>
      </c>
      <c r="G158" s="48">
        <f t="shared" si="123"/>
        <v>29.4</v>
      </c>
      <c r="H158" s="66">
        <f t="shared" si="127"/>
        <v>28</v>
      </c>
      <c r="I158" s="49">
        <f t="shared" si="127"/>
        <v>0.05</v>
      </c>
      <c r="J158" s="48">
        <f t="shared" si="127"/>
        <v>1</v>
      </c>
      <c r="K158" s="48">
        <f>(F158+G158+J158)*$K$5</f>
        <v>2.724</v>
      </c>
      <c r="L158" s="48">
        <f>(F158+G158+J158+K158)*$L$5</f>
        <v>1.44372</v>
      </c>
      <c r="M158" s="70">
        <f t="shared" si="125"/>
        <v>74.35158</v>
      </c>
      <c r="N158" s="71"/>
      <c r="O158" s="48">
        <f t="shared" si="124"/>
        <v>669.9077358</v>
      </c>
      <c r="P158" s="69"/>
      <c r="Q158" s="72"/>
      <c r="R158" s="46">
        <f t="shared" si="111"/>
        <v>669.9077358</v>
      </c>
      <c r="S158" s="46">
        <f t="shared" si="112"/>
        <v>49.56772</v>
      </c>
      <c r="T158" s="46" t="b">
        <f t="shared" si="113"/>
        <v>1</v>
      </c>
      <c r="U158" s="46" t="b">
        <f t="shared" si="114"/>
        <v>0</v>
      </c>
    </row>
    <row r="159" s="63" customFormat="1" customHeight="1" outlineLevel="1" spans="1:21">
      <c r="A159" s="32">
        <v>127</v>
      </c>
      <c r="B159" s="32" t="s">
        <v>256</v>
      </c>
      <c r="C159" s="32" t="s">
        <v>257</v>
      </c>
      <c r="D159" s="32" t="s">
        <v>67</v>
      </c>
      <c r="E159" s="32">
        <v>6.49</v>
      </c>
      <c r="F159" s="66">
        <v>350</v>
      </c>
      <c r="G159" s="48">
        <f t="shared" si="123"/>
        <v>1111</v>
      </c>
      <c r="H159" s="66">
        <v>1100</v>
      </c>
      <c r="I159" s="49">
        <v>0.01</v>
      </c>
      <c r="J159" s="48">
        <v>350</v>
      </c>
      <c r="K159" s="48">
        <f>(F159+G159+J159)*$K$5</f>
        <v>108.66</v>
      </c>
      <c r="L159" s="48">
        <f>(F159+G159+J159+K159)*$L$5</f>
        <v>57.5898</v>
      </c>
      <c r="M159" s="70">
        <f t="shared" si="125"/>
        <v>2965.8747</v>
      </c>
      <c r="N159" s="71"/>
      <c r="O159" s="48">
        <f t="shared" si="124"/>
        <v>19248.526803</v>
      </c>
      <c r="P159" s="69" t="str">
        <f>P155</f>
        <v>厂家定制</v>
      </c>
      <c r="Q159" s="72"/>
      <c r="R159" s="46">
        <f t="shared" si="111"/>
        <v>19248.526803</v>
      </c>
      <c r="S159" s="46">
        <f t="shared" si="112"/>
        <v>1977.2498</v>
      </c>
      <c r="T159" s="46" t="b">
        <f t="shared" si="113"/>
        <v>1</v>
      </c>
      <c r="U159" s="46" t="b">
        <f t="shared" si="114"/>
        <v>0</v>
      </c>
    </row>
    <row r="160" s="63" customFormat="1" customHeight="1" outlineLevel="1" spans="1:21">
      <c r="A160" s="32">
        <v>128</v>
      </c>
      <c r="B160" s="32" t="s">
        <v>258</v>
      </c>
      <c r="C160" s="32" t="s">
        <v>259</v>
      </c>
      <c r="D160" s="32" t="s">
        <v>67</v>
      </c>
      <c r="E160" s="32">
        <v>1.83</v>
      </c>
      <c r="F160" s="66">
        <f>F159</f>
        <v>350</v>
      </c>
      <c r="G160" s="48">
        <f t="shared" si="123"/>
        <v>959.5</v>
      </c>
      <c r="H160" s="66">
        <v>950</v>
      </c>
      <c r="I160" s="49">
        <f>I159</f>
        <v>0.01</v>
      </c>
      <c r="J160" s="48">
        <v>260</v>
      </c>
      <c r="K160" s="48">
        <f>(F160+G160+J160)*$K$5</f>
        <v>94.17</v>
      </c>
      <c r="L160" s="48">
        <f>(F160+G160+J160+K160)*$L$5</f>
        <v>49.9101</v>
      </c>
      <c r="M160" s="70">
        <f t="shared" si="125"/>
        <v>2570.37015</v>
      </c>
      <c r="N160" s="71"/>
      <c r="O160" s="48">
        <f t="shared" si="124"/>
        <v>4703.7773745</v>
      </c>
      <c r="P160" s="69"/>
      <c r="Q160" s="72"/>
      <c r="R160" s="46">
        <f t="shared" si="111"/>
        <v>4703.7773745</v>
      </c>
      <c r="S160" s="46">
        <f t="shared" si="112"/>
        <v>1713.5801</v>
      </c>
      <c r="T160" s="46" t="b">
        <f t="shared" si="113"/>
        <v>1</v>
      </c>
      <c r="U160" s="46" t="b">
        <f t="shared" si="114"/>
        <v>0</v>
      </c>
    </row>
    <row r="161" s="63" customFormat="1" customHeight="1" outlineLevel="1" spans="1:21">
      <c r="A161" s="32">
        <v>129</v>
      </c>
      <c r="B161" s="32" t="s">
        <v>208</v>
      </c>
      <c r="C161" s="32" t="s">
        <v>260</v>
      </c>
      <c r="D161" s="32" t="s">
        <v>99</v>
      </c>
      <c r="E161" s="32">
        <v>1</v>
      </c>
      <c r="F161" s="66">
        <f t="shared" ref="F161:J161" si="128">F110</f>
        <v>200</v>
      </c>
      <c r="G161" s="67">
        <f t="shared" si="123"/>
        <v>1260.48</v>
      </c>
      <c r="H161" s="66">
        <f t="shared" si="128"/>
        <v>1248</v>
      </c>
      <c r="I161" s="49">
        <f t="shared" si="128"/>
        <v>0.01</v>
      </c>
      <c r="J161" s="48">
        <f t="shared" si="128"/>
        <v>150</v>
      </c>
      <c r="K161" s="67">
        <f>(F161+G161+J161)*$K$5</f>
        <v>96.6288</v>
      </c>
      <c r="L161" s="67">
        <f>(F161+G161+J161+K161)*$L$5</f>
        <v>51.213264</v>
      </c>
      <c r="M161" s="70">
        <f t="shared" si="125"/>
        <v>2637.483096</v>
      </c>
      <c r="N161" s="71"/>
      <c r="O161" s="67">
        <f t="shared" si="124"/>
        <v>2637.483096</v>
      </c>
      <c r="P161" s="69"/>
      <c r="Q161" s="72"/>
      <c r="R161" s="46">
        <f t="shared" si="111"/>
        <v>2637.483096</v>
      </c>
      <c r="S161" s="46">
        <f t="shared" si="112"/>
        <v>1758.322064</v>
      </c>
      <c r="T161" s="46" t="b">
        <f t="shared" si="113"/>
        <v>1</v>
      </c>
      <c r="U161" s="46" t="b">
        <f t="shared" si="114"/>
        <v>0</v>
      </c>
    </row>
    <row r="162" s="63" customFormat="1" customHeight="1" spans="1:21">
      <c r="A162" s="32"/>
      <c r="B162" s="32" t="s">
        <v>261</v>
      </c>
      <c r="C162" s="32"/>
      <c r="D162" s="32"/>
      <c r="E162" s="32"/>
      <c r="F162" s="66"/>
      <c r="G162" s="48"/>
      <c r="H162" s="66"/>
      <c r="I162" s="49"/>
      <c r="J162" s="48"/>
      <c r="K162" s="48"/>
      <c r="L162" s="48"/>
      <c r="M162" s="70"/>
      <c r="N162" s="71"/>
      <c r="O162" s="48"/>
      <c r="P162" s="69"/>
      <c r="Q162" s="72"/>
      <c r="R162" s="46">
        <f>E162*M162</f>
        <v>0</v>
      </c>
      <c r="S162" s="46">
        <f>F162+G162+J162+K162+L162</f>
        <v>0</v>
      </c>
      <c r="T162" s="46" t="b">
        <f>O162=R162</f>
        <v>1</v>
      </c>
      <c r="U162" s="46" t="b">
        <f>M162=S162</f>
        <v>1</v>
      </c>
    </row>
    <row r="163" s="63" customFormat="1" customHeight="1" outlineLevel="1" spans="1:21">
      <c r="A163" s="32">
        <v>130</v>
      </c>
      <c r="B163" s="32" t="s">
        <v>195</v>
      </c>
      <c r="C163" s="32" t="s">
        <v>262</v>
      </c>
      <c r="D163" s="32" t="s">
        <v>67</v>
      </c>
      <c r="E163" s="32">
        <v>74.96</v>
      </c>
      <c r="F163" s="66">
        <v>30</v>
      </c>
      <c r="G163" s="48">
        <f>H163*(1+I163)</f>
        <v>15.75</v>
      </c>
      <c r="H163" s="66">
        <v>15</v>
      </c>
      <c r="I163" s="50">
        <v>0.05</v>
      </c>
      <c r="J163" s="48">
        <v>8</v>
      </c>
      <c r="K163" s="48">
        <f>(F163+G163+J163)*$K$5</f>
        <v>3.225</v>
      </c>
      <c r="L163" s="48">
        <f>(F163+G163+J163+K163)*$L$5</f>
        <v>1.70925</v>
      </c>
      <c r="M163" s="70">
        <f t="shared" si="125"/>
        <v>88.026375</v>
      </c>
      <c r="N163" s="71"/>
      <c r="O163" s="48">
        <f t="shared" ref="O163:O167" si="129">M163*E163</f>
        <v>6598.45707</v>
      </c>
      <c r="P163" s="69" t="str">
        <f>P122</f>
        <v>立邦</v>
      </c>
      <c r="Q163" s="72"/>
      <c r="R163" s="46">
        <f>E163*M163</f>
        <v>6598.45707</v>
      </c>
      <c r="S163" s="46">
        <f>F163+G163+J163+K163+L163</f>
        <v>58.68425</v>
      </c>
      <c r="T163" s="46" t="b">
        <f>O163=R163</f>
        <v>1</v>
      </c>
      <c r="U163" s="46" t="b">
        <f>M163=S163</f>
        <v>0</v>
      </c>
    </row>
    <row r="164" s="63" customFormat="1" customHeight="1" outlineLevel="1" spans="1:21">
      <c r="A164" s="32">
        <v>131</v>
      </c>
      <c r="B164" s="32" t="s">
        <v>197</v>
      </c>
      <c r="C164" s="32" t="s">
        <v>206</v>
      </c>
      <c r="D164" s="32" t="s">
        <v>102</v>
      </c>
      <c r="E164" s="32">
        <v>23.32</v>
      </c>
      <c r="F164" s="66">
        <f t="shared" ref="F164:J164" si="130">F158</f>
        <v>15</v>
      </c>
      <c r="G164" s="48">
        <f t="shared" ref="G163:G167" si="131">H164*(1+I164)</f>
        <v>29.4</v>
      </c>
      <c r="H164" s="66">
        <f t="shared" si="130"/>
        <v>28</v>
      </c>
      <c r="I164" s="49">
        <f t="shared" si="130"/>
        <v>0.05</v>
      </c>
      <c r="J164" s="48">
        <f t="shared" si="130"/>
        <v>1</v>
      </c>
      <c r="K164" s="48">
        <f>(F164+G164+J164)*$K$5</f>
        <v>2.724</v>
      </c>
      <c r="L164" s="48">
        <f>(F164+G164+J164+K164)*$L$5</f>
        <v>1.44372</v>
      </c>
      <c r="M164" s="70">
        <f t="shared" si="125"/>
        <v>74.35158</v>
      </c>
      <c r="N164" s="71"/>
      <c r="O164" s="48">
        <f t="shared" si="129"/>
        <v>1733.8788456</v>
      </c>
      <c r="P164" s="69"/>
      <c r="Q164" s="72"/>
      <c r="R164" s="46">
        <f>E164*M164</f>
        <v>1733.8788456</v>
      </c>
      <c r="S164" s="46">
        <f>F164+G164+J164+K164+L164</f>
        <v>49.56772</v>
      </c>
      <c r="T164" s="46" t="b">
        <f>O164=R164</f>
        <v>1</v>
      </c>
      <c r="U164" s="46" t="b">
        <f>M164=S164</f>
        <v>0</v>
      </c>
    </row>
    <row r="165" s="63" customFormat="1" customHeight="1" outlineLevel="1" spans="1:21">
      <c r="A165" s="32">
        <v>132</v>
      </c>
      <c r="B165" s="32" t="s">
        <v>208</v>
      </c>
      <c r="C165" s="32" t="s">
        <v>249</v>
      </c>
      <c r="D165" s="32" t="s">
        <v>67</v>
      </c>
      <c r="E165" s="32">
        <v>1.92</v>
      </c>
      <c r="F165" s="66">
        <f t="shared" ref="F165:J165" si="132">F151</f>
        <v>150</v>
      </c>
      <c r="G165" s="48">
        <f t="shared" si="131"/>
        <v>682.5</v>
      </c>
      <c r="H165" s="66">
        <f t="shared" si="132"/>
        <v>650</v>
      </c>
      <c r="I165" s="49">
        <f t="shared" si="132"/>
        <v>0.05</v>
      </c>
      <c r="J165" s="48">
        <f t="shared" si="132"/>
        <v>100</v>
      </c>
      <c r="K165" s="48">
        <f>(F165+G165+J165)*$K$5</f>
        <v>55.95</v>
      </c>
      <c r="L165" s="48">
        <f>(F165+G165+J165+K165)*$L$5</f>
        <v>29.6535</v>
      </c>
      <c r="M165" s="70">
        <f t="shared" si="125"/>
        <v>1527.15525</v>
      </c>
      <c r="N165" s="71"/>
      <c r="O165" s="48">
        <f t="shared" si="129"/>
        <v>2932.13808</v>
      </c>
      <c r="P165" s="69"/>
      <c r="Q165" s="72"/>
      <c r="R165" s="46">
        <f>E165*M165</f>
        <v>2932.13808</v>
      </c>
      <c r="S165" s="46">
        <f>F165+G165+J165+K165+L165</f>
        <v>1018.1035</v>
      </c>
      <c r="T165" s="46" t="b">
        <f>O165=R165</f>
        <v>1</v>
      </c>
      <c r="U165" s="46" t="b">
        <f>M165=S165</f>
        <v>0</v>
      </c>
    </row>
    <row r="166" s="63" customFormat="1" customHeight="1" outlineLevel="1" spans="1:21">
      <c r="A166" s="32">
        <v>133</v>
      </c>
      <c r="B166" s="32" t="s">
        <v>86</v>
      </c>
      <c r="C166" s="32" t="s">
        <v>250</v>
      </c>
      <c r="D166" s="32" t="s">
        <v>67</v>
      </c>
      <c r="E166" s="32">
        <v>1.28</v>
      </c>
      <c r="F166" s="66">
        <f t="shared" ref="F166:J166" si="133">F152</f>
        <v>165</v>
      </c>
      <c r="G166" s="48">
        <f t="shared" si="131"/>
        <v>315</v>
      </c>
      <c r="H166" s="66">
        <f t="shared" si="133"/>
        <v>300</v>
      </c>
      <c r="I166" s="49">
        <f t="shared" si="133"/>
        <v>0.05</v>
      </c>
      <c r="J166" s="48">
        <f t="shared" si="133"/>
        <v>135</v>
      </c>
      <c r="K166" s="48">
        <f>(F166+G166+J166)*$K$5</f>
        <v>36.9</v>
      </c>
      <c r="L166" s="48">
        <f>(F166+G166+J166+K166)*$L$5</f>
        <v>19.557</v>
      </c>
      <c r="M166" s="70">
        <f t="shared" si="125"/>
        <v>1007.1855</v>
      </c>
      <c r="N166" s="71"/>
      <c r="O166" s="48">
        <f t="shared" si="129"/>
        <v>1289.19744</v>
      </c>
      <c r="P166" s="69" t="str">
        <f>P155</f>
        <v>厂家定制</v>
      </c>
      <c r="Q166" s="72"/>
      <c r="R166" s="46">
        <f>E166*M166</f>
        <v>1289.19744</v>
      </c>
      <c r="S166" s="46">
        <f>F166+G166+J166+K166+L166</f>
        <v>671.457</v>
      </c>
      <c r="T166" s="46" t="b">
        <f>O166=R166</f>
        <v>1</v>
      </c>
      <c r="U166" s="46" t="b">
        <f>M166=S166</f>
        <v>0</v>
      </c>
    </row>
    <row r="167" s="63" customFormat="1" customHeight="1" outlineLevel="1" spans="1:21">
      <c r="A167" s="32">
        <v>134</v>
      </c>
      <c r="B167" s="32" t="s">
        <v>178</v>
      </c>
      <c r="C167" s="32" t="s">
        <v>251</v>
      </c>
      <c r="D167" s="32" t="s">
        <v>99</v>
      </c>
      <c r="E167" s="32">
        <v>1</v>
      </c>
      <c r="F167" s="66">
        <f t="shared" ref="F167:J167" si="134">F153</f>
        <v>300</v>
      </c>
      <c r="G167" s="48">
        <f t="shared" si="131"/>
        <v>1111</v>
      </c>
      <c r="H167" s="66">
        <f t="shared" si="134"/>
        <v>1100</v>
      </c>
      <c r="I167" s="49">
        <f t="shared" si="134"/>
        <v>0.01</v>
      </c>
      <c r="J167" s="48">
        <f t="shared" si="134"/>
        <v>310</v>
      </c>
      <c r="K167" s="48">
        <f>(F167+G167+J167)*$K$5</f>
        <v>103.26</v>
      </c>
      <c r="L167" s="48">
        <f>(F167+G167+J167+K167)*$L$5</f>
        <v>54.7278</v>
      </c>
      <c r="M167" s="70">
        <f t="shared" si="125"/>
        <v>2818.4817</v>
      </c>
      <c r="N167" s="71"/>
      <c r="O167" s="48">
        <f t="shared" si="129"/>
        <v>2818.4817</v>
      </c>
      <c r="P167" s="69" t="str">
        <f>P155</f>
        <v>厂家定制</v>
      </c>
      <c r="Q167" s="72"/>
      <c r="R167" s="46">
        <f>E167*M167</f>
        <v>2818.4817</v>
      </c>
      <c r="S167" s="46">
        <f>F167+G167+J167+K167+L167</f>
        <v>1878.9878</v>
      </c>
      <c r="T167" s="46" t="b">
        <f>O167=R167</f>
        <v>1</v>
      </c>
      <c r="U167" s="46" t="b">
        <f>M167=S167</f>
        <v>0</v>
      </c>
    </row>
    <row r="168" s="63" customFormat="1" customHeight="1" spans="1:21">
      <c r="A168" s="32"/>
      <c r="B168" s="32" t="s">
        <v>263</v>
      </c>
      <c r="C168" s="32"/>
      <c r="D168" s="32"/>
      <c r="E168" s="32"/>
      <c r="F168" s="66"/>
      <c r="G168" s="48"/>
      <c r="H168" s="66"/>
      <c r="I168" s="49"/>
      <c r="J168" s="48"/>
      <c r="K168" s="48"/>
      <c r="L168" s="48"/>
      <c r="M168" s="70"/>
      <c r="N168" s="71"/>
      <c r="O168" s="48"/>
      <c r="P168" s="69"/>
      <c r="Q168" s="72"/>
      <c r="R168" s="46">
        <f t="shared" ref="R168:R231" si="135">E168*M168</f>
        <v>0</v>
      </c>
      <c r="S168" s="46">
        <f t="shared" ref="S168:S231" si="136">F168+G168+J168+K168+L168</f>
        <v>0</v>
      </c>
      <c r="T168" s="46" t="b">
        <f t="shared" ref="T168:T231" si="137">O168=R168</f>
        <v>1</v>
      </c>
      <c r="U168" s="46" t="b">
        <f t="shared" ref="U168:U231" si="138">M168=S168</f>
        <v>1</v>
      </c>
    </row>
    <row r="169" s="63" customFormat="1" customHeight="1" outlineLevel="1" spans="1:21">
      <c r="A169" s="32">
        <v>135</v>
      </c>
      <c r="B169" s="32" t="s">
        <v>195</v>
      </c>
      <c r="C169" s="32" t="s">
        <v>262</v>
      </c>
      <c r="D169" s="32" t="s">
        <v>67</v>
      </c>
      <c r="E169" s="32">
        <v>43.37</v>
      </c>
      <c r="F169" s="66">
        <f>F163</f>
        <v>30</v>
      </c>
      <c r="G169" s="48">
        <f t="shared" ref="G169:G174" si="139">H169*(1+I169)</f>
        <v>15.75</v>
      </c>
      <c r="H169" s="66">
        <f>H163</f>
        <v>15</v>
      </c>
      <c r="I169" s="49">
        <f>I100</f>
        <v>0.05</v>
      </c>
      <c r="J169" s="48">
        <f>J163</f>
        <v>8</v>
      </c>
      <c r="K169" s="48">
        <f>(F169+G169+J169)*$K$5</f>
        <v>3.225</v>
      </c>
      <c r="L169" s="48">
        <f>(F169+G169+J169+K169)*$L$5</f>
        <v>1.70925</v>
      </c>
      <c r="M169" s="70">
        <f t="shared" si="125"/>
        <v>88.026375</v>
      </c>
      <c r="N169" s="71"/>
      <c r="O169" s="48">
        <f t="shared" ref="O169:O174" si="140">M169*E169</f>
        <v>3817.70388375</v>
      </c>
      <c r="P169" s="69" t="str">
        <f>P122</f>
        <v>立邦</v>
      </c>
      <c r="Q169" s="72"/>
      <c r="R169" s="46">
        <f t="shared" si="135"/>
        <v>3817.70388375</v>
      </c>
      <c r="S169" s="46">
        <f t="shared" si="136"/>
        <v>58.68425</v>
      </c>
      <c r="T169" s="46" t="b">
        <f t="shared" si="137"/>
        <v>1</v>
      </c>
      <c r="U169" s="46" t="b">
        <f t="shared" si="138"/>
        <v>0</v>
      </c>
    </row>
    <row r="170" s="63" customFormat="1" customHeight="1" outlineLevel="1" spans="1:21">
      <c r="A170" s="32">
        <v>136</v>
      </c>
      <c r="B170" s="32" t="s">
        <v>180</v>
      </c>
      <c r="C170" s="32" t="s">
        <v>181</v>
      </c>
      <c r="D170" s="32" t="s">
        <v>67</v>
      </c>
      <c r="E170" s="32">
        <v>2.3</v>
      </c>
      <c r="F170" s="66">
        <f t="shared" ref="F170:J170" si="141">F89</f>
        <v>185</v>
      </c>
      <c r="G170" s="48">
        <f t="shared" si="139"/>
        <v>336</v>
      </c>
      <c r="H170" s="66">
        <f t="shared" si="141"/>
        <v>320</v>
      </c>
      <c r="I170" s="49">
        <f t="shared" si="141"/>
        <v>0.05</v>
      </c>
      <c r="J170" s="48">
        <f t="shared" si="141"/>
        <v>35</v>
      </c>
      <c r="K170" s="48">
        <f>(F170+G170+J170)*$K$5</f>
        <v>33.36</v>
      </c>
      <c r="L170" s="48">
        <f>(F170+G170+J170+K170)*$L$5</f>
        <v>17.6808</v>
      </c>
      <c r="M170" s="70">
        <f t="shared" si="125"/>
        <v>910.5612</v>
      </c>
      <c r="N170" s="71"/>
      <c r="O170" s="48">
        <f t="shared" si="140"/>
        <v>2094.29076</v>
      </c>
      <c r="P170" s="69"/>
      <c r="Q170" s="72"/>
      <c r="R170" s="46">
        <f t="shared" si="135"/>
        <v>2094.29076</v>
      </c>
      <c r="S170" s="46">
        <f t="shared" si="136"/>
        <v>607.0408</v>
      </c>
      <c r="T170" s="46" t="b">
        <f t="shared" si="137"/>
        <v>1</v>
      </c>
      <c r="U170" s="46" t="b">
        <f t="shared" si="138"/>
        <v>0</v>
      </c>
    </row>
    <row r="171" s="63" customFormat="1" customHeight="1" outlineLevel="1" spans="1:21">
      <c r="A171" s="32">
        <v>137</v>
      </c>
      <c r="B171" s="32" t="s">
        <v>197</v>
      </c>
      <c r="C171" s="32" t="s">
        <v>206</v>
      </c>
      <c r="D171" s="32" t="s">
        <v>102</v>
      </c>
      <c r="E171" s="32">
        <v>13.9</v>
      </c>
      <c r="F171" s="66">
        <f t="shared" ref="F171:J171" si="142">F158</f>
        <v>15</v>
      </c>
      <c r="G171" s="48">
        <f t="shared" si="139"/>
        <v>29.4</v>
      </c>
      <c r="H171" s="66">
        <f t="shared" si="142"/>
        <v>28</v>
      </c>
      <c r="I171" s="49">
        <f t="shared" si="142"/>
        <v>0.05</v>
      </c>
      <c r="J171" s="48">
        <f t="shared" si="142"/>
        <v>1</v>
      </c>
      <c r="K171" s="48">
        <f>(F171+G171+J171)*$K$5</f>
        <v>2.724</v>
      </c>
      <c r="L171" s="48">
        <f>(F171+G171+J171+K171)*$L$5</f>
        <v>1.44372</v>
      </c>
      <c r="M171" s="70">
        <f t="shared" si="125"/>
        <v>74.35158</v>
      </c>
      <c r="N171" s="71"/>
      <c r="O171" s="48">
        <f t="shared" si="140"/>
        <v>1033.486962</v>
      </c>
      <c r="P171" s="69"/>
      <c r="Q171" s="72"/>
      <c r="R171" s="46">
        <f t="shared" si="135"/>
        <v>1033.486962</v>
      </c>
      <c r="S171" s="46">
        <f t="shared" si="136"/>
        <v>49.56772</v>
      </c>
      <c r="T171" s="46" t="b">
        <f t="shared" si="137"/>
        <v>1</v>
      </c>
      <c r="U171" s="46" t="b">
        <f t="shared" si="138"/>
        <v>0</v>
      </c>
    </row>
    <row r="172" s="63" customFormat="1" customHeight="1" outlineLevel="1" spans="1:21">
      <c r="A172" s="32">
        <v>138</v>
      </c>
      <c r="B172" s="32" t="s">
        <v>208</v>
      </c>
      <c r="C172" s="32" t="s">
        <v>249</v>
      </c>
      <c r="D172" s="32" t="s">
        <v>67</v>
      </c>
      <c r="E172" s="32">
        <v>1.92</v>
      </c>
      <c r="F172" s="66">
        <f t="shared" ref="F172:J172" si="143">F151</f>
        <v>150</v>
      </c>
      <c r="G172" s="48">
        <f t="shared" si="139"/>
        <v>682.5</v>
      </c>
      <c r="H172" s="66">
        <f t="shared" si="143"/>
        <v>650</v>
      </c>
      <c r="I172" s="49">
        <f t="shared" si="143"/>
        <v>0.05</v>
      </c>
      <c r="J172" s="48">
        <f t="shared" si="143"/>
        <v>100</v>
      </c>
      <c r="K172" s="48">
        <f>(F172+G172+J172)*$K$5</f>
        <v>55.95</v>
      </c>
      <c r="L172" s="48">
        <f>(F172+G172+J172+K172)*$L$5</f>
        <v>29.6535</v>
      </c>
      <c r="M172" s="70">
        <f t="shared" si="125"/>
        <v>1527.15525</v>
      </c>
      <c r="N172" s="71"/>
      <c r="O172" s="48">
        <f t="shared" si="140"/>
        <v>2932.13808</v>
      </c>
      <c r="P172" s="69"/>
      <c r="Q172" s="72"/>
      <c r="R172" s="46">
        <f t="shared" si="135"/>
        <v>2932.13808</v>
      </c>
      <c r="S172" s="46">
        <f t="shared" si="136"/>
        <v>1018.1035</v>
      </c>
      <c r="T172" s="46" t="b">
        <f t="shared" si="137"/>
        <v>1</v>
      </c>
      <c r="U172" s="46" t="b">
        <f t="shared" si="138"/>
        <v>0</v>
      </c>
    </row>
    <row r="173" s="63" customFormat="1" customHeight="1" outlineLevel="1" spans="1:21">
      <c r="A173" s="32">
        <v>139</v>
      </c>
      <c r="B173" s="32" t="s">
        <v>86</v>
      </c>
      <c r="C173" s="32" t="s">
        <v>250</v>
      </c>
      <c r="D173" s="32" t="s">
        <v>67</v>
      </c>
      <c r="E173" s="32">
        <v>1.28</v>
      </c>
      <c r="F173" s="66">
        <f t="shared" ref="F173:J173" si="144">F152</f>
        <v>165</v>
      </c>
      <c r="G173" s="48">
        <f t="shared" si="139"/>
        <v>315</v>
      </c>
      <c r="H173" s="66">
        <f t="shared" si="144"/>
        <v>300</v>
      </c>
      <c r="I173" s="49">
        <f t="shared" si="144"/>
        <v>0.05</v>
      </c>
      <c r="J173" s="48">
        <f t="shared" si="144"/>
        <v>135</v>
      </c>
      <c r="K173" s="48">
        <f>(F173+G173+J173)*$K$5</f>
        <v>36.9</v>
      </c>
      <c r="L173" s="48">
        <f>(F173+G173+J173+K173)*$L$5</f>
        <v>19.557</v>
      </c>
      <c r="M173" s="70">
        <f t="shared" si="125"/>
        <v>1007.1855</v>
      </c>
      <c r="N173" s="71"/>
      <c r="O173" s="48">
        <f t="shared" si="140"/>
        <v>1289.19744</v>
      </c>
      <c r="P173" s="69" t="str">
        <f>P155</f>
        <v>厂家定制</v>
      </c>
      <c r="Q173" s="72"/>
      <c r="R173" s="46">
        <f t="shared" si="135"/>
        <v>1289.19744</v>
      </c>
      <c r="S173" s="46">
        <f t="shared" si="136"/>
        <v>671.457</v>
      </c>
      <c r="T173" s="46" t="b">
        <f t="shared" si="137"/>
        <v>1</v>
      </c>
      <c r="U173" s="46" t="b">
        <f t="shared" si="138"/>
        <v>0</v>
      </c>
    </row>
    <row r="174" s="63" customFormat="1" customHeight="1" outlineLevel="1" spans="1:21">
      <c r="A174" s="32">
        <v>140</v>
      </c>
      <c r="B174" s="32" t="s">
        <v>178</v>
      </c>
      <c r="C174" s="32" t="s">
        <v>251</v>
      </c>
      <c r="D174" s="32" t="s">
        <v>99</v>
      </c>
      <c r="E174" s="32">
        <v>1</v>
      </c>
      <c r="F174" s="66">
        <f t="shared" ref="F174:J174" si="145">F153</f>
        <v>300</v>
      </c>
      <c r="G174" s="48">
        <f t="shared" si="139"/>
        <v>1111</v>
      </c>
      <c r="H174" s="66">
        <f t="shared" si="145"/>
        <v>1100</v>
      </c>
      <c r="I174" s="49">
        <f t="shared" si="145"/>
        <v>0.01</v>
      </c>
      <c r="J174" s="48">
        <f t="shared" si="145"/>
        <v>310</v>
      </c>
      <c r="K174" s="48">
        <f>(F174+G174+J174)*$K$5</f>
        <v>103.26</v>
      </c>
      <c r="L174" s="48">
        <f>(F174+G174+J174+K174)*$L$5</f>
        <v>54.7278</v>
      </c>
      <c r="M174" s="70">
        <f t="shared" si="125"/>
        <v>2818.4817</v>
      </c>
      <c r="N174" s="71"/>
      <c r="O174" s="48">
        <f t="shared" si="140"/>
        <v>2818.4817</v>
      </c>
      <c r="P174" s="69" t="str">
        <f>P167</f>
        <v>厂家定制</v>
      </c>
      <c r="Q174" s="72"/>
      <c r="R174" s="46">
        <f t="shared" si="135"/>
        <v>2818.4817</v>
      </c>
      <c r="S174" s="46">
        <f t="shared" si="136"/>
        <v>1878.9878</v>
      </c>
      <c r="T174" s="46" t="b">
        <f t="shared" si="137"/>
        <v>1</v>
      </c>
      <c r="U174" s="46" t="b">
        <f t="shared" si="138"/>
        <v>0</v>
      </c>
    </row>
    <row r="175" s="63" customFormat="1" customHeight="1" spans="1:21">
      <c r="A175" s="32"/>
      <c r="B175" s="32" t="s">
        <v>264</v>
      </c>
      <c r="C175" s="32"/>
      <c r="D175" s="32"/>
      <c r="E175" s="32"/>
      <c r="F175" s="66"/>
      <c r="G175" s="48"/>
      <c r="H175" s="66"/>
      <c r="I175" s="49"/>
      <c r="J175" s="48"/>
      <c r="K175" s="48"/>
      <c r="L175" s="48"/>
      <c r="M175" s="70"/>
      <c r="N175" s="71"/>
      <c r="O175" s="48"/>
      <c r="P175" s="69"/>
      <c r="Q175" s="72"/>
      <c r="R175" s="46">
        <f t="shared" si="135"/>
        <v>0</v>
      </c>
      <c r="S175" s="46">
        <f t="shared" si="136"/>
        <v>0</v>
      </c>
      <c r="T175" s="46" t="b">
        <f t="shared" si="137"/>
        <v>1</v>
      </c>
      <c r="U175" s="46" t="b">
        <f t="shared" si="138"/>
        <v>1</v>
      </c>
    </row>
    <row r="176" s="63" customFormat="1" customHeight="1" outlineLevel="1" spans="1:21">
      <c r="A176" s="32">
        <v>141</v>
      </c>
      <c r="B176" s="32" t="s">
        <v>195</v>
      </c>
      <c r="C176" s="32" t="s">
        <v>262</v>
      </c>
      <c r="D176" s="32" t="s">
        <v>67</v>
      </c>
      <c r="E176" s="32">
        <v>31.81</v>
      </c>
      <c r="F176" s="66">
        <f>F163</f>
        <v>30</v>
      </c>
      <c r="G176" s="48">
        <f t="shared" ref="G176:G181" si="146">H176*(1+I176)</f>
        <v>15.75</v>
      </c>
      <c r="H176" s="66">
        <f>H163</f>
        <v>15</v>
      </c>
      <c r="I176" s="48">
        <f>I100</f>
        <v>0.05</v>
      </c>
      <c r="J176" s="48">
        <f>J163</f>
        <v>8</v>
      </c>
      <c r="K176" s="48">
        <f>(F176+G176+J176)*$K$5</f>
        <v>3.225</v>
      </c>
      <c r="L176" s="48">
        <f>(F176+G176+J176+K176)*$L$5</f>
        <v>1.70925</v>
      </c>
      <c r="M176" s="70">
        <f t="shared" si="125"/>
        <v>88.026375</v>
      </c>
      <c r="N176" s="71"/>
      <c r="O176" s="48">
        <f t="shared" ref="O176:O181" si="147">M176*E176</f>
        <v>2800.11898875</v>
      </c>
      <c r="P176" s="69" t="str">
        <f>P122</f>
        <v>立邦</v>
      </c>
      <c r="Q176" s="72"/>
      <c r="R176" s="46">
        <f t="shared" si="135"/>
        <v>2800.11898875</v>
      </c>
      <c r="S176" s="46">
        <f t="shared" si="136"/>
        <v>58.68425</v>
      </c>
      <c r="T176" s="46" t="b">
        <f t="shared" si="137"/>
        <v>1</v>
      </c>
      <c r="U176" s="46" t="b">
        <f t="shared" si="138"/>
        <v>0</v>
      </c>
    </row>
    <row r="177" s="63" customFormat="1" customHeight="1" outlineLevel="1" spans="1:21">
      <c r="A177" s="32">
        <v>142</v>
      </c>
      <c r="B177" s="32" t="s">
        <v>180</v>
      </c>
      <c r="C177" s="32" t="s">
        <v>181</v>
      </c>
      <c r="D177" s="32" t="s">
        <v>67</v>
      </c>
      <c r="E177" s="32">
        <v>8.63</v>
      </c>
      <c r="F177" s="66">
        <f t="shared" ref="F177:J177" si="148">F89</f>
        <v>185</v>
      </c>
      <c r="G177" s="48">
        <f t="shared" si="146"/>
        <v>336</v>
      </c>
      <c r="H177" s="66">
        <f t="shared" si="148"/>
        <v>320</v>
      </c>
      <c r="I177" s="49">
        <f t="shared" si="148"/>
        <v>0.05</v>
      </c>
      <c r="J177" s="48">
        <f t="shared" si="148"/>
        <v>35</v>
      </c>
      <c r="K177" s="48">
        <f>(F177+G177+J177)*$K$5</f>
        <v>33.36</v>
      </c>
      <c r="L177" s="48">
        <f>(F177+G177+J177+K177)*$L$5</f>
        <v>17.6808</v>
      </c>
      <c r="M177" s="70">
        <f t="shared" si="125"/>
        <v>910.5612</v>
      </c>
      <c r="N177" s="71"/>
      <c r="O177" s="48">
        <f t="shared" si="147"/>
        <v>7858.143156</v>
      </c>
      <c r="P177" s="69"/>
      <c r="Q177" s="72"/>
      <c r="R177" s="46">
        <f t="shared" si="135"/>
        <v>7858.143156</v>
      </c>
      <c r="S177" s="46">
        <f t="shared" si="136"/>
        <v>607.0408</v>
      </c>
      <c r="T177" s="46" t="b">
        <f t="shared" si="137"/>
        <v>1</v>
      </c>
      <c r="U177" s="46" t="b">
        <f t="shared" si="138"/>
        <v>0</v>
      </c>
    </row>
    <row r="178" s="63" customFormat="1" customHeight="1" outlineLevel="1" spans="1:21">
      <c r="A178" s="32">
        <v>143</v>
      </c>
      <c r="B178" s="32" t="s">
        <v>197</v>
      </c>
      <c r="C178" s="32" t="s">
        <v>206</v>
      </c>
      <c r="D178" s="32" t="s">
        <v>102</v>
      </c>
      <c r="E178" s="32">
        <v>10.2</v>
      </c>
      <c r="F178" s="66">
        <f t="shared" ref="F178:J178" si="149">F158</f>
        <v>15</v>
      </c>
      <c r="G178" s="48">
        <f t="shared" si="146"/>
        <v>29.4</v>
      </c>
      <c r="H178" s="66">
        <f t="shared" si="149"/>
        <v>28</v>
      </c>
      <c r="I178" s="49">
        <f t="shared" si="149"/>
        <v>0.05</v>
      </c>
      <c r="J178" s="48">
        <f t="shared" si="149"/>
        <v>1</v>
      </c>
      <c r="K178" s="48">
        <f>(F178+G178+J178)*$K$5</f>
        <v>2.724</v>
      </c>
      <c r="L178" s="48">
        <f>(F178+G178+J178+K178)*$L$5</f>
        <v>1.44372</v>
      </c>
      <c r="M178" s="70">
        <f t="shared" si="125"/>
        <v>74.35158</v>
      </c>
      <c r="N178" s="71"/>
      <c r="O178" s="48">
        <f t="shared" si="147"/>
        <v>758.386116</v>
      </c>
      <c r="P178" s="69"/>
      <c r="Q178" s="72"/>
      <c r="R178" s="46">
        <f t="shared" si="135"/>
        <v>758.386116</v>
      </c>
      <c r="S178" s="46">
        <f t="shared" si="136"/>
        <v>49.56772</v>
      </c>
      <c r="T178" s="46" t="b">
        <f t="shared" si="137"/>
        <v>1</v>
      </c>
      <c r="U178" s="46" t="b">
        <f t="shared" si="138"/>
        <v>0</v>
      </c>
    </row>
    <row r="179" s="63" customFormat="1" customHeight="1" outlineLevel="1" spans="1:21">
      <c r="A179" s="32">
        <v>144</v>
      </c>
      <c r="B179" s="32" t="s">
        <v>208</v>
      </c>
      <c r="C179" s="32" t="s">
        <v>249</v>
      </c>
      <c r="D179" s="32" t="s">
        <v>67</v>
      </c>
      <c r="E179" s="32">
        <v>1.92</v>
      </c>
      <c r="F179" s="66">
        <f t="shared" ref="F179:J179" si="150">F151</f>
        <v>150</v>
      </c>
      <c r="G179" s="48">
        <f t="shared" si="146"/>
        <v>682.5</v>
      </c>
      <c r="H179" s="66">
        <f t="shared" si="150"/>
        <v>650</v>
      </c>
      <c r="I179" s="49">
        <f t="shared" si="150"/>
        <v>0.05</v>
      </c>
      <c r="J179" s="48">
        <f t="shared" si="150"/>
        <v>100</v>
      </c>
      <c r="K179" s="48">
        <f>(F179+G179+J179)*$K$5</f>
        <v>55.95</v>
      </c>
      <c r="L179" s="48">
        <f>(F179+G179+J179+K179)*$L$5</f>
        <v>29.6535</v>
      </c>
      <c r="M179" s="70">
        <f t="shared" si="125"/>
        <v>1527.15525</v>
      </c>
      <c r="N179" s="71"/>
      <c r="O179" s="48">
        <f t="shared" si="147"/>
        <v>2932.13808</v>
      </c>
      <c r="P179" s="69"/>
      <c r="Q179" s="72"/>
      <c r="R179" s="46">
        <f t="shared" si="135"/>
        <v>2932.13808</v>
      </c>
      <c r="S179" s="46">
        <f t="shared" si="136"/>
        <v>1018.1035</v>
      </c>
      <c r="T179" s="46" t="b">
        <f t="shared" si="137"/>
        <v>1</v>
      </c>
      <c r="U179" s="46" t="b">
        <f t="shared" si="138"/>
        <v>0</v>
      </c>
    </row>
    <row r="180" s="63" customFormat="1" customHeight="1" outlineLevel="1" spans="1:21">
      <c r="A180" s="32">
        <v>145</v>
      </c>
      <c r="B180" s="32" t="s">
        <v>86</v>
      </c>
      <c r="C180" s="32" t="s">
        <v>250</v>
      </c>
      <c r="D180" s="32" t="s">
        <v>67</v>
      </c>
      <c r="E180" s="32">
        <v>1.28</v>
      </c>
      <c r="F180" s="66">
        <f t="shared" ref="F180:J180" si="151">F152</f>
        <v>165</v>
      </c>
      <c r="G180" s="48">
        <f t="shared" si="146"/>
        <v>315</v>
      </c>
      <c r="H180" s="66">
        <f t="shared" si="151"/>
        <v>300</v>
      </c>
      <c r="I180" s="49">
        <f t="shared" si="151"/>
        <v>0.05</v>
      </c>
      <c r="J180" s="48">
        <f t="shared" si="151"/>
        <v>135</v>
      </c>
      <c r="K180" s="48">
        <f>(F180+G180+J180)*$K$5</f>
        <v>36.9</v>
      </c>
      <c r="L180" s="48">
        <f>(F180+G180+J180+K180)*$L$5</f>
        <v>19.557</v>
      </c>
      <c r="M180" s="70">
        <f t="shared" si="125"/>
        <v>1007.1855</v>
      </c>
      <c r="N180" s="71"/>
      <c r="O180" s="48">
        <f t="shared" si="147"/>
        <v>1289.19744</v>
      </c>
      <c r="P180" s="69" t="str">
        <f>P167</f>
        <v>厂家定制</v>
      </c>
      <c r="Q180" s="72"/>
      <c r="R180" s="46">
        <f t="shared" si="135"/>
        <v>1289.19744</v>
      </c>
      <c r="S180" s="46">
        <f t="shared" si="136"/>
        <v>671.457</v>
      </c>
      <c r="T180" s="46" t="b">
        <f t="shared" si="137"/>
        <v>1</v>
      </c>
      <c r="U180" s="46" t="b">
        <f t="shared" si="138"/>
        <v>0</v>
      </c>
    </row>
    <row r="181" s="63" customFormat="1" customHeight="1" outlineLevel="1" spans="1:21">
      <c r="A181" s="32">
        <v>146</v>
      </c>
      <c r="B181" s="32" t="s">
        <v>178</v>
      </c>
      <c r="C181" s="32" t="s">
        <v>251</v>
      </c>
      <c r="D181" s="32" t="s">
        <v>99</v>
      </c>
      <c r="E181" s="32">
        <v>1</v>
      </c>
      <c r="F181" s="66">
        <f t="shared" ref="F181:J181" si="152">F153</f>
        <v>300</v>
      </c>
      <c r="G181" s="48">
        <f t="shared" si="146"/>
        <v>1111</v>
      </c>
      <c r="H181" s="66">
        <f t="shared" si="152"/>
        <v>1100</v>
      </c>
      <c r="I181" s="49">
        <f t="shared" si="152"/>
        <v>0.01</v>
      </c>
      <c r="J181" s="48">
        <f t="shared" si="152"/>
        <v>310</v>
      </c>
      <c r="K181" s="48">
        <f>(F181+G181+J181)*$K$5</f>
        <v>103.26</v>
      </c>
      <c r="L181" s="48">
        <f>(F181+G181+J181+K181)*$L$5</f>
        <v>54.7278</v>
      </c>
      <c r="M181" s="70">
        <f t="shared" si="125"/>
        <v>2818.4817</v>
      </c>
      <c r="N181" s="71"/>
      <c r="O181" s="48">
        <f t="shared" si="147"/>
        <v>2818.4817</v>
      </c>
      <c r="P181" s="69" t="str">
        <f>P167</f>
        <v>厂家定制</v>
      </c>
      <c r="Q181" s="72"/>
      <c r="R181" s="46">
        <f t="shared" si="135"/>
        <v>2818.4817</v>
      </c>
      <c r="S181" s="46">
        <f t="shared" si="136"/>
        <v>1878.9878</v>
      </c>
      <c r="T181" s="46" t="b">
        <f t="shared" si="137"/>
        <v>1</v>
      </c>
      <c r="U181" s="46" t="b">
        <f t="shared" si="138"/>
        <v>0</v>
      </c>
    </row>
    <row r="182" s="63" customFormat="1" customHeight="1" spans="1:21">
      <c r="A182" s="32"/>
      <c r="B182" s="32" t="s">
        <v>265</v>
      </c>
      <c r="C182" s="32"/>
      <c r="D182" s="32"/>
      <c r="E182" s="32"/>
      <c r="F182" s="66"/>
      <c r="G182" s="48"/>
      <c r="H182" s="66"/>
      <c r="I182" s="49"/>
      <c r="J182" s="48"/>
      <c r="K182" s="48"/>
      <c r="L182" s="48"/>
      <c r="M182" s="70"/>
      <c r="N182" s="71"/>
      <c r="O182" s="48"/>
      <c r="P182" s="69"/>
      <c r="Q182" s="72"/>
      <c r="R182" s="46">
        <f t="shared" si="135"/>
        <v>0</v>
      </c>
      <c r="S182" s="46">
        <f t="shared" si="136"/>
        <v>0</v>
      </c>
      <c r="T182" s="46" t="b">
        <f t="shared" si="137"/>
        <v>1</v>
      </c>
      <c r="U182" s="46" t="b">
        <f t="shared" si="138"/>
        <v>1</v>
      </c>
    </row>
    <row r="183" s="63" customFormat="1" customHeight="1" outlineLevel="1" spans="1:21">
      <c r="A183" s="32">
        <v>147</v>
      </c>
      <c r="B183" s="32" t="s">
        <v>195</v>
      </c>
      <c r="C183" s="32" t="s">
        <v>262</v>
      </c>
      <c r="D183" s="32" t="s">
        <v>67</v>
      </c>
      <c r="E183" s="32">
        <v>71.18</v>
      </c>
      <c r="F183" s="66">
        <f>F163</f>
        <v>30</v>
      </c>
      <c r="G183" s="48">
        <f t="shared" ref="G183:G188" si="153">H183*(1+I183)</f>
        <v>15.75</v>
      </c>
      <c r="H183" s="66">
        <f>H163</f>
        <v>15</v>
      </c>
      <c r="I183" s="49">
        <f>I100</f>
        <v>0.05</v>
      </c>
      <c r="J183" s="48">
        <f>J163</f>
        <v>8</v>
      </c>
      <c r="K183" s="48">
        <f>(F183+G183+J183)*$K$5</f>
        <v>3.225</v>
      </c>
      <c r="L183" s="48">
        <f>(F183+G183+J183+K183)*$L$5</f>
        <v>1.70925</v>
      </c>
      <c r="M183" s="70">
        <f t="shared" si="125"/>
        <v>88.026375</v>
      </c>
      <c r="N183" s="71"/>
      <c r="O183" s="48">
        <f t="shared" ref="O183:O188" si="154">M183*E183</f>
        <v>6265.7173725</v>
      </c>
      <c r="P183" s="69" t="str">
        <f>P163</f>
        <v>立邦</v>
      </c>
      <c r="Q183" s="72"/>
      <c r="R183" s="46">
        <f t="shared" si="135"/>
        <v>6265.7173725</v>
      </c>
      <c r="S183" s="46">
        <f t="shared" si="136"/>
        <v>58.68425</v>
      </c>
      <c r="T183" s="46" t="b">
        <f t="shared" si="137"/>
        <v>1</v>
      </c>
      <c r="U183" s="46" t="b">
        <f t="shared" si="138"/>
        <v>0</v>
      </c>
    </row>
    <row r="184" s="63" customFormat="1" customHeight="1" outlineLevel="1" spans="1:21">
      <c r="A184" s="32">
        <v>148</v>
      </c>
      <c r="B184" s="32" t="s">
        <v>180</v>
      </c>
      <c r="C184" s="32" t="s">
        <v>181</v>
      </c>
      <c r="D184" s="32" t="s">
        <v>67</v>
      </c>
      <c r="E184" s="32">
        <v>9.89</v>
      </c>
      <c r="F184" s="66">
        <f t="shared" ref="F184:J184" si="155">F89</f>
        <v>185</v>
      </c>
      <c r="G184" s="48">
        <f t="shared" si="153"/>
        <v>336</v>
      </c>
      <c r="H184" s="66">
        <f t="shared" si="155"/>
        <v>320</v>
      </c>
      <c r="I184" s="49">
        <f t="shared" si="155"/>
        <v>0.05</v>
      </c>
      <c r="J184" s="48">
        <f t="shared" si="155"/>
        <v>35</v>
      </c>
      <c r="K184" s="48">
        <f>(F184+G184+J184)*$K$5</f>
        <v>33.36</v>
      </c>
      <c r="L184" s="48">
        <f>(F184+G184+J184+K184)*$L$5</f>
        <v>17.6808</v>
      </c>
      <c r="M184" s="70">
        <f t="shared" si="125"/>
        <v>910.5612</v>
      </c>
      <c r="N184" s="71"/>
      <c r="O184" s="48">
        <f t="shared" si="154"/>
        <v>9005.450268</v>
      </c>
      <c r="P184" s="69"/>
      <c r="Q184" s="72"/>
      <c r="R184" s="46">
        <f t="shared" si="135"/>
        <v>9005.450268</v>
      </c>
      <c r="S184" s="46">
        <f t="shared" si="136"/>
        <v>607.0408</v>
      </c>
      <c r="T184" s="46" t="b">
        <f t="shared" si="137"/>
        <v>1</v>
      </c>
      <c r="U184" s="46" t="b">
        <f t="shared" si="138"/>
        <v>0</v>
      </c>
    </row>
    <row r="185" s="63" customFormat="1" customHeight="1" outlineLevel="1" spans="1:21">
      <c r="A185" s="32">
        <v>149</v>
      </c>
      <c r="B185" s="32" t="s">
        <v>197</v>
      </c>
      <c r="C185" s="32" t="s">
        <v>206</v>
      </c>
      <c r="D185" s="32" t="s">
        <v>102</v>
      </c>
      <c r="E185" s="32">
        <v>22.92</v>
      </c>
      <c r="F185" s="66">
        <f t="shared" ref="F185:J185" si="156">F158</f>
        <v>15</v>
      </c>
      <c r="G185" s="48">
        <f t="shared" si="153"/>
        <v>29.4</v>
      </c>
      <c r="H185" s="66">
        <f t="shared" si="156"/>
        <v>28</v>
      </c>
      <c r="I185" s="49">
        <f t="shared" si="156"/>
        <v>0.05</v>
      </c>
      <c r="J185" s="48">
        <f t="shared" si="156"/>
        <v>1</v>
      </c>
      <c r="K185" s="48">
        <f>(F185+G185+J185)*$K$5</f>
        <v>2.724</v>
      </c>
      <c r="L185" s="48">
        <f>(F185+G185+J185+K185)*$L$5</f>
        <v>1.44372</v>
      </c>
      <c r="M185" s="70">
        <f t="shared" si="125"/>
        <v>74.35158</v>
      </c>
      <c r="N185" s="71"/>
      <c r="O185" s="48">
        <f t="shared" si="154"/>
        <v>1704.1382136</v>
      </c>
      <c r="P185" s="69"/>
      <c r="Q185" s="72"/>
      <c r="R185" s="46">
        <f t="shared" si="135"/>
        <v>1704.1382136</v>
      </c>
      <c r="S185" s="46">
        <f t="shared" si="136"/>
        <v>49.56772</v>
      </c>
      <c r="T185" s="46" t="b">
        <f t="shared" si="137"/>
        <v>1</v>
      </c>
      <c r="U185" s="46" t="b">
        <f t="shared" si="138"/>
        <v>0</v>
      </c>
    </row>
    <row r="186" s="63" customFormat="1" customHeight="1" outlineLevel="1" spans="1:21">
      <c r="A186" s="32">
        <v>150</v>
      </c>
      <c r="B186" s="32" t="s">
        <v>208</v>
      </c>
      <c r="C186" s="32" t="s">
        <v>249</v>
      </c>
      <c r="D186" s="32" t="s">
        <v>67</v>
      </c>
      <c r="E186" s="32">
        <v>1.92</v>
      </c>
      <c r="F186" s="66">
        <f t="shared" ref="F186:J186" si="157">F151</f>
        <v>150</v>
      </c>
      <c r="G186" s="48">
        <f t="shared" si="153"/>
        <v>682.5</v>
      </c>
      <c r="H186" s="66">
        <f t="shared" si="157"/>
        <v>650</v>
      </c>
      <c r="I186" s="49">
        <f t="shared" si="157"/>
        <v>0.05</v>
      </c>
      <c r="J186" s="48">
        <f t="shared" si="157"/>
        <v>100</v>
      </c>
      <c r="K186" s="48">
        <f>(F186+G186+J186)*$K$5</f>
        <v>55.95</v>
      </c>
      <c r="L186" s="48">
        <f>(F186+G186+J186+K186)*$L$5</f>
        <v>29.6535</v>
      </c>
      <c r="M186" s="70">
        <f t="shared" si="125"/>
        <v>1527.15525</v>
      </c>
      <c r="N186" s="71"/>
      <c r="O186" s="48">
        <f t="shared" si="154"/>
        <v>2932.13808</v>
      </c>
      <c r="P186" s="69"/>
      <c r="Q186" s="72"/>
      <c r="R186" s="46">
        <f t="shared" si="135"/>
        <v>2932.13808</v>
      </c>
      <c r="S186" s="46">
        <f t="shared" si="136"/>
        <v>1018.1035</v>
      </c>
      <c r="T186" s="46" t="b">
        <f t="shared" si="137"/>
        <v>1</v>
      </c>
      <c r="U186" s="46" t="b">
        <f t="shared" si="138"/>
        <v>0</v>
      </c>
    </row>
    <row r="187" s="63" customFormat="1" customHeight="1" outlineLevel="1" spans="1:21">
      <c r="A187" s="32">
        <v>151</v>
      </c>
      <c r="B187" s="32" t="s">
        <v>86</v>
      </c>
      <c r="C187" s="32" t="s">
        <v>250</v>
      </c>
      <c r="D187" s="32" t="s">
        <v>67</v>
      </c>
      <c r="E187" s="32">
        <v>1.28</v>
      </c>
      <c r="F187" s="66">
        <f t="shared" ref="F187:J187" si="158">F152</f>
        <v>165</v>
      </c>
      <c r="G187" s="48">
        <f t="shared" si="153"/>
        <v>315</v>
      </c>
      <c r="H187" s="66">
        <f t="shared" si="158"/>
        <v>300</v>
      </c>
      <c r="I187" s="49">
        <f t="shared" si="158"/>
        <v>0.05</v>
      </c>
      <c r="J187" s="48">
        <f t="shared" si="158"/>
        <v>135</v>
      </c>
      <c r="K187" s="48">
        <f>(F187+G187+J187)*$K$5</f>
        <v>36.9</v>
      </c>
      <c r="L187" s="48">
        <f>(F187+G187+J187+K187)*$L$5</f>
        <v>19.557</v>
      </c>
      <c r="M187" s="70">
        <f t="shared" si="125"/>
        <v>1007.1855</v>
      </c>
      <c r="N187" s="71"/>
      <c r="O187" s="48">
        <f t="shared" si="154"/>
        <v>1289.19744</v>
      </c>
      <c r="P187" s="69" t="str">
        <f>P180</f>
        <v>厂家定制</v>
      </c>
      <c r="Q187" s="72"/>
      <c r="R187" s="46">
        <f t="shared" si="135"/>
        <v>1289.19744</v>
      </c>
      <c r="S187" s="46">
        <f t="shared" si="136"/>
        <v>671.457</v>
      </c>
      <c r="T187" s="46" t="b">
        <f t="shared" si="137"/>
        <v>1</v>
      </c>
      <c r="U187" s="46" t="b">
        <f t="shared" si="138"/>
        <v>0</v>
      </c>
    </row>
    <row r="188" s="63" customFormat="1" customHeight="1" outlineLevel="1" spans="1:21">
      <c r="A188" s="32">
        <v>152</v>
      </c>
      <c r="B188" s="32" t="s">
        <v>178</v>
      </c>
      <c r="C188" s="32" t="s">
        <v>251</v>
      </c>
      <c r="D188" s="32" t="s">
        <v>99</v>
      </c>
      <c r="E188" s="32">
        <v>1</v>
      </c>
      <c r="F188" s="66">
        <f t="shared" ref="F188:J188" si="159">F153</f>
        <v>300</v>
      </c>
      <c r="G188" s="48">
        <f t="shared" si="153"/>
        <v>1111</v>
      </c>
      <c r="H188" s="66">
        <f t="shared" si="159"/>
        <v>1100</v>
      </c>
      <c r="I188" s="49">
        <f t="shared" si="159"/>
        <v>0.01</v>
      </c>
      <c r="J188" s="48">
        <f t="shared" si="159"/>
        <v>310</v>
      </c>
      <c r="K188" s="48">
        <f>(F188+G188+J188)*$K$5</f>
        <v>103.26</v>
      </c>
      <c r="L188" s="48">
        <f>(F188+G188+J188+K188)*$L$5</f>
        <v>54.7278</v>
      </c>
      <c r="M188" s="70">
        <f t="shared" ref="M188:M219" si="160">(F188+G188+J188+K188+L188)*1.5</f>
        <v>2818.4817</v>
      </c>
      <c r="N188" s="71"/>
      <c r="O188" s="48">
        <f t="shared" si="154"/>
        <v>2818.4817</v>
      </c>
      <c r="P188" s="69" t="str">
        <f>P180</f>
        <v>厂家定制</v>
      </c>
      <c r="Q188" s="72"/>
      <c r="R188" s="46">
        <f t="shared" si="135"/>
        <v>2818.4817</v>
      </c>
      <c r="S188" s="46">
        <f t="shared" si="136"/>
        <v>1878.9878</v>
      </c>
      <c r="T188" s="46" t="b">
        <f t="shared" si="137"/>
        <v>1</v>
      </c>
      <c r="U188" s="46" t="b">
        <f t="shared" si="138"/>
        <v>0</v>
      </c>
    </row>
    <row r="189" s="63" customFormat="1" customHeight="1" spans="1:21">
      <c r="A189" s="32"/>
      <c r="B189" s="32" t="s">
        <v>266</v>
      </c>
      <c r="C189" s="32"/>
      <c r="D189" s="32"/>
      <c r="E189" s="32"/>
      <c r="F189" s="66"/>
      <c r="G189" s="48"/>
      <c r="H189" s="66"/>
      <c r="I189" s="49"/>
      <c r="J189" s="48"/>
      <c r="K189" s="48"/>
      <c r="L189" s="48"/>
      <c r="M189" s="70"/>
      <c r="N189" s="71"/>
      <c r="O189" s="48"/>
      <c r="P189" s="69"/>
      <c r="Q189" s="72"/>
      <c r="R189" s="46">
        <f t="shared" si="135"/>
        <v>0</v>
      </c>
      <c r="S189" s="46">
        <f t="shared" si="136"/>
        <v>0</v>
      </c>
      <c r="T189" s="46" t="b">
        <f t="shared" si="137"/>
        <v>1</v>
      </c>
      <c r="U189" s="46" t="b">
        <f t="shared" si="138"/>
        <v>1</v>
      </c>
    </row>
    <row r="190" s="63" customFormat="1" customHeight="1" outlineLevel="1" spans="1:21">
      <c r="A190" s="32">
        <v>153</v>
      </c>
      <c r="B190" s="32" t="s">
        <v>195</v>
      </c>
      <c r="C190" s="32" t="s">
        <v>262</v>
      </c>
      <c r="D190" s="32" t="s">
        <v>67</v>
      </c>
      <c r="E190" s="32">
        <v>37.66</v>
      </c>
      <c r="F190" s="66">
        <f>F163</f>
        <v>30</v>
      </c>
      <c r="G190" s="48">
        <f t="shared" ref="G190:G194" si="161">H190*(1+I190)</f>
        <v>15.75</v>
      </c>
      <c r="H190" s="66">
        <f>H163</f>
        <v>15</v>
      </c>
      <c r="I190" s="49">
        <f>I100</f>
        <v>0.05</v>
      </c>
      <c r="J190" s="48">
        <f>J163</f>
        <v>8</v>
      </c>
      <c r="K190" s="48">
        <f>(F190+G190+J190)*$K$5</f>
        <v>3.225</v>
      </c>
      <c r="L190" s="48">
        <f>(F190+G190+J190+K190)*$L$5</f>
        <v>1.70925</v>
      </c>
      <c r="M190" s="70">
        <f t="shared" si="160"/>
        <v>88.026375</v>
      </c>
      <c r="N190" s="71"/>
      <c r="O190" s="48">
        <f t="shared" ref="O190:O194" si="162">M190*E190</f>
        <v>3315.0732825</v>
      </c>
      <c r="P190" s="69" t="str">
        <f>P163</f>
        <v>立邦</v>
      </c>
      <c r="Q190" s="72"/>
      <c r="R190" s="46">
        <f t="shared" si="135"/>
        <v>3315.0732825</v>
      </c>
      <c r="S190" s="46">
        <f t="shared" si="136"/>
        <v>58.68425</v>
      </c>
      <c r="T190" s="46" t="b">
        <f t="shared" si="137"/>
        <v>1</v>
      </c>
      <c r="U190" s="46" t="b">
        <f t="shared" si="138"/>
        <v>0</v>
      </c>
    </row>
    <row r="191" s="63" customFormat="1" customHeight="1" outlineLevel="1" spans="1:21">
      <c r="A191" s="32">
        <v>154</v>
      </c>
      <c r="B191" s="32" t="s">
        <v>197</v>
      </c>
      <c r="C191" s="32" t="s">
        <v>206</v>
      </c>
      <c r="D191" s="32" t="s">
        <v>102</v>
      </c>
      <c r="E191" s="32">
        <v>12.27</v>
      </c>
      <c r="F191" s="66">
        <f t="shared" ref="F191:J191" si="163">F164</f>
        <v>15</v>
      </c>
      <c r="G191" s="48">
        <f t="shared" si="161"/>
        <v>29.4</v>
      </c>
      <c r="H191" s="66">
        <f t="shared" si="163"/>
        <v>28</v>
      </c>
      <c r="I191" s="49">
        <f t="shared" si="163"/>
        <v>0.05</v>
      </c>
      <c r="J191" s="48">
        <f t="shared" si="163"/>
        <v>1</v>
      </c>
      <c r="K191" s="48">
        <f>(F191+G191+J191)*$K$5</f>
        <v>2.724</v>
      </c>
      <c r="L191" s="48">
        <f>(F191+G191+J191+K191)*$L$5</f>
        <v>1.44372</v>
      </c>
      <c r="M191" s="70">
        <f t="shared" si="160"/>
        <v>74.35158</v>
      </c>
      <c r="N191" s="71"/>
      <c r="O191" s="48">
        <f t="shared" si="162"/>
        <v>912.2938866</v>
      </c>
      <c r="P191" s="69"/>
      <c r="Q191" s="72"/>
      <c r="R191" s="46">
        <f t="shared" si="135"/>
        <v>912.2938866</v>
      </c>
      <c r="S191" s="46">
        <f t="shared" si="136"/>
        <v>49.56772</v>
      </c>
      <c r="T191" s="46" t="b">
        <f t="shared" si="137"/>
        <v>1</v>
      </c>
      <c r="U191" s="46" t="b">
        <f t="shared" si="138"/>
        <v>0</v>
      </c>
    </row>
    <row r="192" s="63" customFormat="1" customHeight="1" outlineLevel="1" spans="1:21">
      <c r="A192" s="32">
        <v>155</v>
      </c>
      <c r="B192" s="32" t="s">
        <v>208</v>
      </c>
      <c r="C192" s="32" t="s">
        <v>249</v>
      </c>
      <c r="D192" s="32" t="s">
        <v>67</v>
      </c>
      <c r="E192" s="32">
        <v>1.92</v>
      </c>
      <c r="F192" s="66">
        <f t="shared" ref="F192:J192" si="164">F151</f>
        <v>150</v>
      </c>
      <c r="G192" s="48">
        <f t="shared" si="161"/>
        <v>682.5</v>
      </c>
      <c r="H192" s="66">
        <f t="shared" si="164"/>
        <v>650</v>
      </c>
      <c r="I192" s="49">
        <f t="shared" si="164"/>
        <v>0.05</v>
      </c>
      <c r="J192" s="48">
        <f t="shared" si="164"/>
        <v>100</v>
      </c>
      <c r="K192" s="48">
        <f>(F192+G192+J192)*$K$5</f>
        <v>55.95</v>
      </c>
      <c r="L192" s="48">
        <f>(F192+G192+J192+K192)*$L$5</f>
        <v>29.6535</v>
      </c>
      <c r="M192" s="70">
        <f t="shared" si="160"/>
        <v>1527.15525</v>
      </c>
      <c r="N192" s="71"/>
      <c r="O192" s="48">
        <f t="shared" si="162"/>
        <v>2932.13808</v>
      </c>
      <c r="P192" s="69"/>
      <c r="Q192" s="72"/>
      <c r="R192" s="46">
        <f t="shared" si="135"/>
        <v>2932.13808</v>
      </c>
      <c r="S192" s="46">
        <f t="shared" si="136"/>
        <v>1018.1035</v>
      </c>
      <c r="T192" s="46" t="b">
        <f t="shared" si="137"/>
        <v>1</v>
      </c>
      <c r="U192" s="46" t="b">
        <f t="shared" si="138"/>
        <v>0</v>
      </c>
    </row>
    <row r="193" s="63" customFormat="1" customHeight="1" outlineLevel="1" spans="1:21">
      <c r="A193" s="32">
        <v>156</v>
      </c>
      <c r="B193" s="32" t="s">
        <v>86</v>
      </c>
      <c r="C193" s="32" t="s">
        <v>250</v>
      </c>
      <c r="D193" s="32" t="s">
        <v>67</v>
      </c>
      <c r="E193" s="32">
        <v>1.28</v>
      </c>
      <c r="F193" s="66">
        <f t="shared" ref="F193:J193" si="165">F152</f>
        <v>165</v>
      </c>
      <c r="G193" s="48">
        <f t="shared" si="161"/>
        <v>315</v>
      </c>
      <c r="H193" s="66">
        <f t="shared" si="165"/>
        <v>300</v>
      </c>
      <c r="I193" s="49">
        <f t="shared" si="165"/>
        <v>0.05</v>
      </c>
      <c r="J193" s="48">
        <f t="shared" si="165"/>
        <v>135</v>
      </c>
      <c r="K193" s="48">
        <f>(F193+G193+J193)*$K$5</f>
        <v>36.9</v>
      </c>
      <c r="L193" s="48">
        <f>(F193+G193+J193+K193)*$L$5</f>
        <v>19.557</v>
      </c>
      <c r="M193" s="70">
        <f t="shared" si="160"/>
        <v>1007.1855</v>
      </c>
      <c r="N193" s="71"/>
      <c r="O193" s="48">
        <f t="shared" si="162"/>
        <v>1289.19744</v>
      </c>
      <c r="P193" s="69" t="str">
        <f>P180</f>
        <v>厂家定制</v>
      </c>
      <c r="Q193" s="72"/>
      <c r="R193" s="46">
        <f t="shared" si="135"/>
        <v>1289.19744</v>
      </c>
      <c r="S193" s="46">
        <f t="shared" si="136"/>
        <v>671.457</v>
      </c>
      <c r="T193" s="46" t="b">
        <f t="shared" si="137"/>
        <v>1</v>
      </c>
      <c r="U193" s="46" t="b">
        <f t="shared" si="138"/>
        <v>0</v>
      </c>
    </row>
    <row r="194" s="63" customFormat="1" customHeight="1" outlineLevel="1" spans="1:21">
      <c r="A194" s="32">
        <v>157</v>
      </c>
      <c r="B194" s="32" t="s">
        <v>178</v>
      </c>
      <c r="C194" s="32" t="s">
        <v>251</v>
      </c>
      <c r="D194" s="32" t="s">
        <v>99</v>
      </c>
      <c r="E194" s="32">
        <v>1</v>
      </c>
      <c r="F194" s="66">
        <f t="shared" ref="F194:J194" si="166">F153</f>
        <v>300</v>
      </c>
      <c r="G194" s="48">
        <f t="shared" si="161"/>
        <v>1111</v>
      </c>
      <c r="H194" s="66">
        <f t="shared" si="166"/>
        <v>1100</v>
      </c>
      <c r="I194" s="49">
        <f t="shared" si="166"/>
        <v>0.01</v>
      </c>
      <c r="J194" s="48">
        <f t="shared" si="166"/>
        <v>310</v>
      </c>
      <c r="K194" s="48">
        <f>(F194+G194+J194)*$K$5</f>
        <v>103.26</v>
      </c>
      <c r="L194" s="48">
        <f>(F194+G194+J194+K194)*$L$5</f>
        <v>54.7278</v>
      </c>
      <c r="M194" s="70">
        <f t="shared" si="160"/>
        <v>2818.4817</v>
      </c>
      <c r="N194" s="71"/>
      <c r="O194" s="48">
        <f t="shared" si="162"/>
        <v>2818.4817</v>
      </c>
      <c r="P194" s="69" t="str">
        <f>P180</f>
        <v>厂家定制</v>
      </c>
      <c r="Q194" s="72"/>
      <c r="R194" s="46">
        <f t="shared" si="135"/>
        <v>2818.4817</v>
      </c>
      <c r="S194" s="46">
        <f t="shared" si="136"/>
        <v>1878.9878</v>
      </c>
      <c r="T194" s="46" t="b">
        <f t="shared" si="137"/>
        <v>1</v>
      </c>
      <c r="U194" s="46" t="b">
        <f t="shared" si="138"/>
        <v>0</v>
      </c>
    </row>
    <row r="195" s="63" customFormat="1" customHeight="1" spans="1:21">
      <c r="A195" s="32"/>
      <c r="B195" s="32" t="s">
        <v>267</v>
      </c>
      <c r="C195" s="32"/>
      <c r="D195" s="32"/>
      <c r="E195" s="32"/>
      <c r="F195" s="66"/>
      <c r="G195" s="48"/>
      <c r="H195" s="66"/>
      <c r="I195" s="49"/>
      <c r="J195" s="48"/>
      <c r="K195" s="48"/>
      <c r="L195" s="48"/>
      <c r="M195" s="70"/>
      <c r="N195" s="71"/>
      <c r="O195" s="48"/>
      <c r="P195" s="69"/>
      <c r="Q195" s="72"/>
      <c r="R195" s="46">
        <f t="shared" si="135"/>
        <v>0</v>
      </c>
      <c r="S195" s="46">
        <f t="shared" si="136"/>
        <v>0</v>
      </c>
      <c r="T195" s="46" t="b">
        <f t="shared" si="137"/>
        <v>1</v>
      </c>
      <c r="U195" s="46" t="b">
        <f t="shared" si="138"/>
        <v>1</v>
      </c>
    </row>
    <row r="196" s="63" customFormat="1" customHeight="1" outlineLevel="1" spans="1:21">
      <c r="A196" s="32">
        <v>158</v>
      </c>
      <c r="B196" s="32" t="s">
        <v>195</v>
      </c>
      <c r="C196" s="32" t="s">
        <v>262</v>
      </c>
      <c r="D196" s="32" t="s">
        <v>67</v>
      </c>
      <c r="E196" s="32">
        <v>38.28</v>
      </c>
      <c r="F196" s="66">
        <f>F163</f>
        <v>30</v>
      </c>
      <c r="G196" s="48">
        <f t="shared" ref="G196:G200" si="167">H196*(1+I196)</f>
        <v>15.75</v>
      </c>
      <c r="H196" s="66">
        <f>H163</f>
        <v>15</v>
      </c>
      <c r="I196" s="49">
        <f>I100</f>
        <v>0.05</v>
      </c>
      <c r="J196" s="48">
        <f>J163</f>
        <v>8</v>
      </c>
      <c r="K196" s="48">
        <f>(F196+G196+J196)*$K$5</f>
        <v>3.225</v>
      </c>
      <c r="L196" s="48">
        <f>(F196+G196+J196+K196)*$L$5</f>
        <v>1.70925</v>
      </c>
      <c r="M196" s="70">
        <f t="shared" si="160"/>
        <v>88.026375</v>
      </c>
      <c r="N196" s="71"/>
      <c r="O196" s="48">
        <f t="shared" ref="O196:O200" si="168">M196*E196</f>
        <v>3369.649635</v>
      </c>
      <c r="P196" s="69" t="str">
        <f>P163</f>
        <v>立邦</v>
      </c>
      <c r="Q196" s="72"/>
      <c r="R196" s="46">
        <f t="shared" si="135"/>
        <v>3369.649635</v>
      </c>
      <c r="S196" s="46">
        <f t="shared" si="136"/>
        <v>58.68425</v>
      </c>
      <c r="T196" s="46" t="b">
        <f t="shared" si="137"/>
        <v>1</v>
      </c>
      <c r="U196" s="46" t="b">
        <f t="shared" si="138"/>
        <v>0</v>
      </c>
    </row>
    <row r="197" s="63" customFormat="1" customHeight="1" outlineLevel="1" spans="1:21">
      <c r="A197" s="32">
        <v>159</v>
      </c>
      <c r="B197" s="32" t="s">
        <v>197</v>
      </c>
      <c r="C197" s="32" t="s">
        <v>206</v>
      </c>
      <c r="D197" s="32" t="s">
        <v>102</v>
      </c>
      <c r="E197" s="32">
        <v>12.07</v>
      </c>
      <c r="F197" s="66">
        <f t="shared" ref="F197:J197" si="169">F171</f>
        <v>15</v>
      </c>
      <c r="G197" s="48">
        <f t="shared" si="167"/>
        <v>29.4</v>
      </c>
      <c r="H197" s="66">
        <f t="shared" si="169"/>
        <v>28</v>
      </c>
      <c r="I197" s="49">
        <f t="shared" si="169"/>
        <v>0.05</v>
      </c>
      <c r="J197" s="48">
        <f t="shared" si="169"/>
        <v>1</v>
      </c>
      <c r="K197" s="48">
        <f>(F197+G197+J197)*$K$5</f>
        <v>2.724</v>
      </c>
      <c r="L197" s="48">
        <f>(F197+G197+J197+K197)*$L$5</f>
        <v>1.44372</v>
      </c>
      <c r="M197" s="70">
        <f t="shared" si="160"/>
        <v>74.35158</v>
      </c>
      <c r="N197" s="71"/>
      <c r="O197" s="48">
        <f t="shared" si="168"/>
        <v>897.4235706</v>
      </c>
      <c r="P197" s="69"/>
      <c r="Q197" s="72"/>
      <c r="R197" s="46">
        <f t="shared" si="135"/>
        <v>897.4235706</v>
      </c>
      <c r="S197" s="46">
        <f t="shared" si="136"/>
        <v>49.56772</v>
      </c>
      <c r="T197" s="46" t="b">
        <f t="shared" si="137"/>
        <v>1</v>
      </c>
      <c r="U197" s="46" t="b">
        <f t="shared" si="138"/>
        <v>0</v>
      </c>
    </row>
    <row r="198" s="63" customFormat="1" customHeight="1" outlineLevel="1" spans="1:21">
      <c r="A198" s="32">
        <v>160</v>
      </c>
      <c r="B198" s="32" t="s">
        <v>208</v>
      </c>
      <c r="C198" s="32" t="s">
        <v>249</v>
      </c>
      <c r="D198" s="32" t="s">
        <v>67</v>
      </c>
      <c r="E198" s="32">
        <v>1.92</v>
      </c>
      <c r="F198" s="66">
        <f t="shared" ref="F198:J198" si="170">F151</f>
        <v>150</v>
      </c>
      <c r="G198" s="48">
        <f t="shared" si="167"/>
        <v>682.5</v>
      </c>
      <c r="H198" s="66">
        <f t="shared" si="170"/>
        <v>650</v>
      </c>
      <c r="I198" s="49">
        <f t="shared" si="170"/>
        <v>0.05</v>
      </c>
      <c r="J198" s="48">
        <f t="shared" si="170"/>
        <v>100</v>
      </c>
      <c r="K198" s="48">
        <f>(F198+G198+J198)*$K$5</f>
        <v>55.95</v>
      </c>
      <c r="L198" s="48">
        <f>(F198+G198+J198+K198)*$L$5</f>
        <v>29.6535</v>
      </c>
      <c r="M198" s="70">
        <f t="shared" si="160"/>
        <v>1527.15525</v>
      </c>
      <c r="N198" s="71"/>
      <c r="O198" s="48">
        <f t="shared" si="168"/>
        <v>2932.13808</v>
      </c>
      <c r="P198" s="69"/>
      <c r="Q198" s="72"/>
      <c r="R198" s="46">
        <f t="shared" si="135"/>
        <v>2932.13808</v>
      </c>
      <c r="S198" s="46">
        <f t="shared" si="136"/>
        <v>1018.1035</v>
      </c>
      <c r="T198" s="46" t="b">
        <f t="shared" si="137"/>
        <v>1</v>
      </c>
      <c r="U198" s="46" t="b">
        <f t="shared" si="138"/>
        <v>0</v>
      </c>
    </row>
    <row r="199" s="63" customFormat="1" customHeight="1" outlineLevel="1" spans="1:21">
      <c r="A199" s="32">
        <v>161</v>
      </c>
      <c r="B199" s="32" t="s">
        <v>86</v>
      </c>
      <c r="C199" s="32" t="s">
        <v>250</v>
      </c>
      <c r="D199" s="32" t="s">
        <v>67</v>
      </c>
      <c r="E199" s="32">
        <v>1.28</v>
      </c>
      <c r="F199" s="66">
        <f t="shared" ref="F199:J199" si="171">F152</f>
        <v>165</v>
      </c>
      <c r="G199" s="48">
        <f t="shared" si="167"/>
        <v>315</v>
      </c>
      <c r="H199" s="66">
        <f t="shared" si="171"/>
        <v>300</v>
      </c>
      <c r="I199" s="49">
        <f t="shared" si="171"/>
        <v>0.05</v>
      </c>
      <c r="J199" s="48">
        <f t="shared" si="171"/>
        <v>135</v>
      </c>
      <c r="K199" s="48">
        <f>(F199+G199+J199)*$K$5</f>
        <v>36.9</v>
      </c>
      <c r="L199" s="48">
        <f>(F199+G199+J199+K199)*$L$5</f>
        <v>19.557</v>
      </c>
      <c r="M199" s="70">
        <f t="shared" si="160"/>
        <v>1007.1855</v>
      </c>
      <c r="N199" s="71"/>
      <c r="O199" s="48">
        <f t="shared" si="168"/>
        <v>1289.19744</v>
      </c>
      <c r="P199" s="69" t="str">
        <f>P180</f>
        <v>厂家定制</v>
      </c>
      <c r="Q199" s="72"/>
      <c r="R199" s="46">
        <f t="shared" si="135"/>
        <v>1289.19744</v>
      </c>
      <c r="S199" s="46">
        <f t="shared" si="136"/>
        <v>671.457</v>
      </c>
      <c r="T199" s="46" t="b">
        <f t="shared" si="137"/>
        <v>1</v>
      </c>
      <c r="U199" s="46" t="b">
        <f t="shared" si="138"/>
        <v>0</v>
      </c>
    </row>
    <row r="200" s="63" customFormat="1" customHeight="1" outlineLevel="1" spans="1:21">
      <c r="A200" s="32">
        <v>162</v>
      </c>
      <c r="B200" s="32" t="s">
        <v>178</v>
      </c>
      <c r="C200" s="32" t="s">
        <v>251</v>
      </c>
      <c r="D200" s="32" t="s">
        <v>99</v>
      </c>
      <c r="E200" s="32">
        <v>1</v>
      </c>
      <c r="F200" s="66">
        <f t="shared" ref="F200:J200" si="172">F153</f>
        <v>300</v>
      </c>
      <c r="G200" s="48">
        <f t="shared" si="167"/>
        <v>1111</v>
      </c>
      <c r="H200" s="66">
        <f t="shared" si="172"/>
        <v>1100</v>
      </c>
      <c r="I200" s="49">
        <f t="shared" si="172"/>
        <v>0.01</v>
      </c>
      <c r="J200" s="48">
        <f t="shared" si="172"/>
        <v>310</v>
      </c>
      <c r="K200" s="48">
        <f>(F200+G200+J200)*$K$5</f>
        <v>103.26</v>
      </c>
      <c r="L200" s="48">
        <f>(F200+G200+J200+K200)*$L$5</f>
        <v>54.7278</v>
      </c>
      <c r="M200" s="70">
        <f t="shared" si="160"/>
        <v>2818.4817</v>
      </c>
      <c r="N200" s="71"/>
      <c r="O200" s="48">
        <f t="shared" si="168"/>
        <v>2818.4817</v>
      </c>
      <c r="P200" s="69" t="str">
        <f>P181</f>
        <v>厂家定制</v>
      </c>
      <c r="Q200" s="72"/>
      <c r="R200" s="46">
        <f t="shared" si="135"/>
        <v>2818.4817</v>
      </c>
      <c r="S200" s="46">
        <f t="shared" si="136"/>
        <v>1878.9878</v>
      </c>
      <c r="T200" s="46" t="b">
        <f t="shared" si="137"/>
        <v>1</v>
      </c>
      <c r="U200" s="46" t="b">
        <f t="shared" si="138"/>
        <v>0</v>
      </c>
    </row>
    <row r="201" s="63" customFormat="1" customHeight="1" spans="1:21">
      <c r="A201" s="32"/>
      <c r="B201" s="32" t="s">
        <v>268</v>
      </c>
      <c r="C201" s="32"/>
      <c r="D201" s="32"/>
      <c r="E201" s="32"/>
      <c r="F201" s="66"/>
      <c r="G201" s="48"/>
      <c r="H201" s="66"/>
      <c r="I201" s="49"/>
      <c r="J201" s="48"/>
      <c r="K201" s="48"/>
      <c r="L201" s="48"/>
      <c r="M201" s="70"/>
      <c r="N201" s="71"/>
      <c r="O201" s="48"/>
      <c r="P201" s="69"/>
      <c r="Q201" s="72"/>
      <c r="R201" s="46">
        <f t="shared" si="135"/>
        <v>0</v>
      </c>
      <c r="S201" s="46">
        <f t="shared" si="136"/>
        <v>0</v>
      </c>
      <c r="T201" s="46" t="b">
        <f t="shared" si="137"/>
        <v>1</v>
      </c>
      <c r="U201" s="46" t="b">
        <f t="shared" si="138"/>
        <v>1</v>
      </c>
    </row>
    <row r="202" s="63" customFormat="1" customHeight="1" outlineLevel="1" spans="1:21">
      <c r="A202" s="32">
        <v>163</v>
      </c>
      <c r="B202" s="32" t="s">
        <v>195</v>
      </c>
      <c r="C202" s="32" t="s">
        <v>205</v>
      </c>
      <c r="D202" s="32" t="s">
        <v>67</v>
      </c>
      <c r="E202" s="32">
        <v>64.69</v>
      </c>
      <c r="F202" s="66">
        <f t="shared" ref="F202:J202" si="173">F100</f>
        <v>35</v>
      </c>
      <c r="G202" s="48">
        <f t="shared" ref="G202:G206" si="174">H202*(1+I202)</f>
        <v>26.25</v>
      </c>
      <c r="H202" s="66">
        <f t="shared" si="173"/>
        <v>25</v>
      </c>
      <c r="I202" s="49">
        <f t="shared" si="173"/>
        <v>0.05</v>
      </c>
      <c r="J202" s="48">
        <f t="shared" si="173"/>
        <v>15</v>
      </c>
      <c r="K202" s="48">
        <f>(F202+G202+J202)*$K$5</f>
        <v>4.575</v>
      </c>
      <c r="L202" s="48">
        <f>(F202+G202+J202+K202)*$L$5</f>
        <v>2.42475</v>
      </c>
      <c r="M202" s="70">
        <f t="shared" si="160"/>
        <v>124.874625</v>
      </c>
      <c r="N202" s="71"/>
      <c r="O202" s="48">
        <f t="shared" ref="O202:O206" si="175">M202*E202</f>
        <v>8078.13949125</v>
      </c>
      <c r="P202" s="69"/>
      <c r="Q202" s="72"/>
      <c r="R202" s="46">
        <f t="shared" si="135"/>
        <v>8078.13949125</v>
      </c>
      <c r="S202" s="46">
        <f t="shared" si="136"/>
        <v>83.24975</v>
      </c>
      <c r="T202" s="46" t="b">
        <f t="shared" si="137"/>
        <v>1</v>
      </c>
      <c r="U202" s="46" t="b">
        <f t="shared" si="138"/>
        <v>0</v>
      </c>
    </row>
    <row r="203" s="63" customFormat="1" customHeight="1" outlineLevel="1" spans="1:21">
      <c r="A203" s="32">
        <v>164</v>
      </c>
      <c r="B203" s="32" t="s">
        <v>197</v>
      </c>
      <c r="C203" s="32" t="s">
        <v>206</v>
      </c>
      <c r="D203" s="32" t="s">
        <v>102</v>
      </c>
      <c r="E203" s="32">
        <v>21.62</v>
      </c>
      <c r="F203" s="66">
        <f t="shared" ref="F203:J203" si="176">F178</f>
        <v>15</v>
      </c>
      <c r="G203" s="48">
        <f t="shared" si="174"/>
        <v>29.4</v>
      </c>
      <c r="H203" s="66">
        <f t="shared" si="176"/>
        <v>28</v>
      </c>
      <c r="I203" s="49">
        <f t="shared" si="176"/>
        <v>0.05</v>
      </c>
      <c r="J203" s="48">
        <f t="shared" si="176"/>
        <v>1</v>
      </c>
      <c r="K203" s="48">
        <f>(F203+G203+J203)*$K$5</f>
        <v>2.724</v>
      </c>
      <c r="L203" s="48">
        <f>(F203+G203+J203+K203)*$L$5</f>
        <v>1.44372</v>
      </c>
      <c r="M203" s="70">
        <f t="shared" si="160"/>
        <v>74.35158</v>
      </c>
      <c r="N203" s="71"/>
      <c r="O203" s="48">
        <f t="shared" si="175"/>
        <v>1607.4811596</v>
      </c>
      <c r="P203" s="69"/>
      <c r="Q203" s="72"/>
      <c r="R203" s="46">
        <f t="shared" si="135"/>
        <v>1607.4811596</v>
      </c>
      <c r="S203" s="46">
        <f t="shared" si="136"/>
        <v>49.56772</v>
      </c>
      <c r="T203" s="46" t="b">
        <f t="shared" si="137"/>
        <v>1</v>
      </c>
      <c r="U203" s="46" t="b">
        <f t="shared" si="138"/>
        <v>0</v>
      </c>
    </row>
    <row r="204" s="63" customFormat="1" customHeight="1" outlineLevel="1" spans="1:21">
      <c r="A204" s="32">
        <v>165</v>
      </c>
      <c r="B204" s="32" t="s">
        <v>180</v>
      </c>
      <c r="C204" s="32" t="s">
        <v>269</v>
      </c>
      <c r="D204" s="32" t="s">
        <v>67</v>
      </c>
      <c r="E204" s="32">
        <v>3.07</v>
      </c>
      <c r="F204" s="66">
        <f t="shared" ref="F204:J204" si="177">F89</f>
        <v>185</v>
      </c>
      <c r="G204" s="48">
        <f t="shared" si="174"/>
        <v>336</v>
      </c>
      <c r="H204" s="66">
        <f t="shared" si="177"/>
        <v>320</v>
      </c>
      <c r="I204" s="49">
        <f t="shared" si="177"/>
        <v>0.05</v>
      </c>
      <c r="J204" s="48">
        <f t="shared" si="177"/>
        <v>35</v>
      </c>
      <c r="K204" s="48">
        <f>(F204+G204+J204)*$K$5</f>
        <v>33.36</v>
      </c>
      <c r="L204" s="48">
        <f>(F204+G204+J204+K204)*$L$5</f>
        <v>17.6808</v>
      </c>
      <c r="M204" s="70">
        <f t="shared" si="160"/>
        <v>910.5612</v>
      </c>
      <c r="N204" s="71"/>
      <c r="O204" s="48">
        <f t="shared" si="175"/>
        <v>2795.422884</v>
      </c>
      <c r="P204" s="69"/>
      <c r="Q204" s="72"/>
      <c r="R204" s="46">
        <f t="shared" si="135"/>
        <v>2795.422884</v>
      </c>
      <c r="S204" s="46">
        <f t="shared" si="136"/>
        <v>607.0408</v>
      </c>
      <c r="T204" s="46" t="b">
        <f t="shared" si="137"/>
        <v>1</v>
      </c>
      <c r="U204" s="46" t="b">
        <f t="shared" si="138"/>
        <v>0</v>
      </c>
    </row>
    <row r="205" s="63" customFormat="1" customHeight="1" outlineLevel="1" spans="1:21">
      <c r="A205" s="32">
        <v>166</v>
      </c>
      <c r="B205" s="32" t="s">
        <v>236</v>
      </c>
      <c r="C205" s="32" t="s">
        <v>270</v>
      </c>
      <c r="D205" s="32" t="s">
        <v>67</v>
      </c>
      <c r="E205" s="32">
        <v>2.76</v>
      </c>
      <c r="F205" s="66">
        <f t="shared" ref="F205:J205" si="178">F140</f>
        <v>150</v>
      </c>
      <c r="G205" s="48">
        <f t="shared" si="174"/>
        <v>141.75</v>
      </c>
      <c r="H205" s="66">
        <f t="shared" si="178"/>
        <v>135</v>
      </c>
      <c r="I205" s="49">
        <f t="shared" si="178"/>
        <v>0.05</v>
      </c>
      <c r="J205" s="48">
        <f t="shared" si="178"/>
        <v>85</v>
      </c>
      <c r="K205" s="48">
        <f>(F205+G205+J205)*$K$5</f>
        <v>22.605</v>
      </c>
      <c r="L205" s="48">
        <f>(F205+G205+J205+K205)*$L$5</f>
        <v>11.98065</v>
      </c>
      <c r="M205" s="70">
        <f t="shared" si="160"/>
        <v>617.003475</v>
      </c>
      <c r="N205" s="71"/>
      <c r="O205" s="48">
        <f t="shared" si="175"/>
        <v>1702.929591</v>
      </c>
      <c r="P205" s="69"/>
      <c r="Q205" s="72"/>
      <c r="R205" s="46">
        <f t="shared" si="135"/>
        <v>1702.929591</v>
      </c>
      <c r="S205" s="46">
        <f t="shared" si="136"/>
        <v>411.33565</v>
      </c>
      <c r="T205" s="46" t="b">
        <f t="shared" si="137"/>
        <v>1</v>
      </c>
      <c r="U205" s="46" t="b">
        <f t="shared" si="138"/>
        <v>0</v>
      </c>
    </row>
    <row r="206" s="64" customFormat="1" customHeight="1" outlineLevel="1" spans="1:21">
      <c r="A206" s="32">
        <v>167</v>
      </c>
      <c r="B206" s="32" t="s">
        <v>271</v>
      </c>
      <c r="C206" s="32" t="s">
        <v>272</v>
      </c>
      <c r="D206" s="32" t="s">
        <v>273</v>
      </c>
      <c r="E206" s="32">
        <v>1</v>
      </c>
      <c r="F206" s="66">
        <v>10000</v>
      </c>
      <c r="G206" s="48">
        <f t="shared" si="174"/>
        <v>191900</v>
      </c>
      <c r="H206" s="66">
        <v>190000</v>
      </c>
      <c r="I206" s="49">
        <v>0.01</v>
      </c>
      <c r="J206" s="48">
        <v>50</v>
      </c>
      <c r="K206" s="48">
        <f>(F206+G206+J206)*$K$5</f>
        <v>12117</v>
      </c>
      <c r="L206" s="48">
        <f>(F206+G206+J206+K206)*$L$5</f>
        <v>6422.01</v>
      </c>
      <c r="M206" s="70">
        <f t="shared" si="160"/>
        <v>330733.515</v>
      </c>
      <c r="N206" s="71"/>
      <c r="O206" s="48">
        <f t="shared" si="175"/>
        <v>330733.515</v>
      </c>
      <c r="P206" s="69"/>
      <c r="Q206" s="72"/>
      <c r="R206" s="46">
        <f t="shared" si="135"/>
        <v>330733.515</v>
      </c>
      <c r="S206" s="46">
        <f t="shared" si="136"/>
        <v>220489.01</v>
      </c>
      <c r="T206" s="46" t="b">
        <f t="shared" si="137"/>
        <v>1</v>
      </c>
      <c r="U206" s="46" t="b">
        <f t="shared" si="138"/>
        <v>0</v>
      </c>
    </row>
    <row r="207" s="63" customFormat="1" customHeight="1" spans="1:21">
      <c r="A207" s="32"/>
      <c r="B207" s="32" t="s">
        <v>274</v>
      </c>
      <c r="C207" s="32"/>
      <c r="D207" s="32"/>
      <c r="E207" s="32"/>
      <c r="F207" s="66"/>
      <c r="G207" s="48"/>
      <c r="H207" s="66"/>
      <c r="I207" s="49"/>
      <c r="J207" s="48"/>
      <c r="K207" s="48"/>
      <c r="L207" s="48"/>
      <c r="M207" s="70"/>
      <c r="N207" s="71"/>
      <c r="O207" s="48"/>
      <c r="P207" s="69"/>
      <c r="Q207" s="72"/>
      <c r="R207" s="46">
        <f t="shared" si="135"/>
        <v>0</v>
      </c>
      <c r="S207" s="46">
        <f t="shared" si="136"/>
        <v>0</v>
      </c>
      <c r="T207" s="46" t="b">
        <f t="shared" si="137"/>
        <v>1</v>
      </c>
      <c r="U207" s="46" t="b">
        <f t="shared" si="138"/>
        <v>1</v>
      </c>
    </row>
    <row r="208" s="63" customFormat="1" customHeight="1" outlineLevel="1" spans="1:21">
      <c r="A208" s="32">
        <v>168</v>
      </c>
      <c r="B208" s="32" t="s">
        <v>195</v>
      </c>
      <c r="C208" s="32" t="s">
        <v>205</v>
      </c>
      <c r="D208" s="32" t="s">
        <v>67</v>
      </c>
      <c r="E208" s="32">
        <v>43.65</v>
      </c>
      <c r="F208" s="66">
        <f>F100</f>
        <v>35</v>
      </c>
      <c r="G208" s="48">
        <f t="shared" ref="G208:G210" si="179">H208*(1+I208)</f>
        <v>26.25</v>
      </c>
      <c r="H208" s="66">
        <f t="shared" ref="F208:J208" si="180">H100</f>
        <v>25</v>
      </c>
      <c r="I208" s="49">
        <f t="shared" si="180"/>
        <v>0.05</v>
      </c>
      <c r="J208" s="48">
        <f t="shared" si="180"/>
        <v>15</v>
      </c>
      <c r="K208" s="48">
        <f>(F208+G208+J208)*$K$5</f>
        <v>4.575</v>
      </c>
      <c r="L208" s="48">
        <f>(F208+G208+J208+K208)*$L$5</f>
        <v>2.42475</v>
      </c>
      <c r="M208" s="70">
        <f t="shared" si="160"/>
        <v>124.874625</v>
      </c>
      <c r="N208" s="71"/>
      <c r="O208" s="48">
        <f t="shared" ref="O208:O210" si="181">M208*E208</f>
        <v>5450.77738125</v>
      </c>
      <c r="P208" s="69"/>
      <c r="Q208" s="72"/>
      <c r="R208" s="46">
        <f t="shared" si="135"/>
        <v>5450.77738125</v>
      </c>
      <c r="S208" s="46">
        <f t="shared" si="136"/>
        <v>83.24975</v>
      </c>
      <c r="T208" s="46" t="b">
        <f t="shared" si="137"/>
        <v>1</v>
      </c>
      <c r="U208" s="46" t="b">
        <f t="shared" si="138"/>
        <v>0</v>
      </c>
    </row>
    <row r="209" s="63" customFormat="1" customHeight="1" outlineLevel="1" spans="1:21">
      <c r="A209" s="32">
        <v>169</v>
      </c>
      <c r="B209" s="32" t="s">
        <v>197</v>
      </c>
      <c r="C209" s="32" t="s">
        <v>206</v>
      </c>
      <c r="D209" s="32" t="s">
        <v>102</v>
      </c>
      <c r="E209" s="32">
        <v>13.99</v>
      </c>
      <c r="F209" s="66">
        <f t="shared" ref="F209:J209" si="182">F185</f>
        <v>15</v>
      </c>
      <c r="G209" s="48">
        <f t="shared" si="179"/>
        <v>29.4</v>
      </c>
      <c r="H209" s="66">
        <f t="shared" si="182"/>
        <v>28</v>
      </c>
      <c r="I209" s="49">
        <f t="shared" si="182"/>
        <v>0.05</v>
      </c>
      <c r="J209" s="48">
        <f t="shared" si="182"/>
        <v>1</v>
      </c>
      <c r="K209" s="48">
        <f>(F209+G209+J209)*$K$5</f>
        <v>2.724</v>
      </c>
      <c r="L209" s="48">
        <f>(F209+G209+J209+K209)*$L$5</f>
        <v>1.44372</v>
      </c>
      <c r="M209" s="70">
        <f t="shared" si="160"/>
        <v>74.35158</v>
      </c>
      <c r="N209" s="71"/>
      <c r="O209" s="48">
        <f t="shared" si="181"/>
        <v>1040.1786042</v>
      </c>
      <c r="P209" s="69"/>
      <c r="Q209" s="72"/>
      <c r="R209" s="46">
        <f t="shared" si="135"/>
        <v>1040.1786042</v>
      </c>
      <c r="S209" s="46">
        <f t="shared" si="136"/>
        <v>49.56772</v>
      </c>
      <c r="T209" s="46" t="b">
        <f t="shared" si="137"/>
        <v>1</v>
      </c>
      <c r="U209" s="46" t="b">
        <f t="shared" si="138"/>
        <v>0</v>
      </c>
    </row>
    <row r="210" s="63" customFormat="1" customHeight="1" outlineLevel="1" spans="1:21">
      <c r="A210" s="32">
        <v>170</v>
      </c>
      <c r="B210" s="32" t="s">
        <v>275</v>
      </c>
      <c r="C210" s="32" t="s">
        <v>276</v>
      </c>
      <c r="D210" s="32" t="s">
        <v>67</v>
      </c>
      <c r="E210" s="32">
        <v>20.4</v>
      </c>
      <c r="F210" s="66">
        <f t="shared" ref="F210:J210" si="183">F247</f>
        <v>150</v>
      </c>
      <c r="G210" s="48">
        <f t="shared" si="179"/>
        <v>472.5</v>
      </c>
      <c r="H210" s="66">
        <f t="shared" si="183"/>
        <v>450</v>
      </c>
      <c r="I210" s="49">
        <f t="shared" si="183"/>
        <v>0.05</v>
      </c>
      <c r="J210" s="48">
        <f t="shared" si="183"/>
        <v>75</v>
      </c>
      <c r="K210" s="48">
        <f>(F210+G210+J210)*$K$5</f>
        <v>41.85</v>
      </c>
      <c r="L210" s="48">
        <f>(F210+G210+J210+K210)*$L$5</f>
        <v>22.1805</v>
      </c>
      <c r="M210" s="70">
        <f t="shared" si="160"/>
        <v>1142.29575</v>
      </c>
      <c r="N210" s="71"/>
      <c r="O210" s="48">
        <f t="shared" si="181"/>
        <v>23302.8333</v>
      </c>
      <c r="P210" s="69"/>
      <c r="Q210" s="72"/>
      <c r="R210" s="46">
        <f t="shared" si="135"/>
        <v>23302.8333</v>
      </c>
      <c r="S210" s="46">
        <f t="shared" si="136"/>
        <v>761.5305</v>
      </c>
      <c r="T210" s="46" t="b">
        <f t="shared" si="137"/>
        <v>1</v>
      </c>
      <c r="U210" s="46" t="b">
        <f t="shared" si="138"/>
        <v>0</v>
      </c>
    </row>
    <row r="211" s="63" customFormat="1" customHeight="1" spans="1:21">
      <c r="A211" s="32"/>
      <c r="B211" s="32" t="s">
        <v>277</v>
      </c>
      <c r="C211" s="32"/>
      <c r="D211" s="32"/>
      <c r="E211" s="32"/>
      <c r="F211" s="66"/>
      <c r="G211" s="48"/>
      <c r="H211" s="66"/>
      <c r="I211" s="49"/>
      <c r="J211" s="48"/>
      <c r="K211" s="48"/>
      <c r="L211" s="48"/>
      <c r="M211" s="70"/>
      <c r="N211" s="71"/>
      <c r="O211" s="48"/>
      <c r="P211" s="69"/>
      <c r="Q211" s="72"/>
      <c r="R211" s="46">
        <f t="shared" si="135"/>
        <v>0</v>
      </c>
      <c r="S211" s="46">
        <f t="shared" si="136"/>
        <v>0</v>
      </c>
      <c r="T211" s="46" t="b">
        <f t="shared" si="137"/>
        <v>1</v>
      </c>
      <c r="U211" s="46" t="b">
        <f t="shared" si="138"/>
        <v>1</v>
      </c>
    </row>
    <row r="212" s="63" customFormat="1" customHeight="1" outlineLevel="1" spans="1:21">
      <c r="A212" s="32">
        <v>171</v>
      </c>
      <c r="B212" s="32" t="s">
        <v>195</v>
      </c>
      <c r="C212" s="32" t="s">
        <v>205</v>
      </c>
      <c r="D212" s="32" t="s">
        <v>67</v>
      </c>
      <c r="E212" s="32">
        <v>44.41</v>
      </c>
      <c r="F212" s="66">
        <f t="shared" ref="F212:J212" si="184">F100</f>
        <v>35</v>
      </c>
      <c r="G212" s="48">
        <f t="shared" ref="G212:G214" si="185">H212*(1+I212)</f>
        <v>26.25</v>
      </c>
      <c r="H212" s="66">
        <f t="shared" si="184"/>
        <v>25</v>
      </c>
      <c r="I212" s="49">
        <f t="shared" si="184"/>
        <v>0.05</v>
      </c>
      <c r="J212" s="48">
        <f t="shared" si="184"/>
        <v>15</v>
      </c>
      <c r="K212" s="48">
        <f>(F212+G212+J212)*$K$5</f>
        <v>4.575</v>
      </c>
      <c r="L212" s="48">
        <f>(F212+G212+J212+K212)*$L$5</f>
        <v>2.42475</v>
      </c>
      <c r="M212" s="70">
        <f t="shared" si="160"/>
        <v>124.874625</v>
      </c>
      <c r="N212" s="71"/>
      <c r="O212" s="48">
        <f t="shared" ref="O212:O214" si="186">M212*E212</f>
        <v>5545.68209625</v>
      </c>
      <c r="P212" s="69"/>
      <c r="Q212" s="72"/>
      <c r="R212" s="46">
        <f t="shared" si="135"/>
        <v>5545.68209625</v>
      </c>
      <c r="S212" s="46">
        <f t="shared" si="136"/>
        <v>83.24975</v>
      </c>
      <c r="T212" s="46" t="b">
        <f t="shared" si="137"/>
        <v>1</v>
      </c>
      <c r="U212" s="46" t="b">
        <f t="shared" si="138"/>
        <v>0</v>
      </c>
    </row>
    <row r="213" s="63" customFormat="1" customHeight="1" outlineLevel="1" spans="1:21">
      <c r="A213" s="32">
        <v>172</v>
      </c>
      <c r="B213" s="32" t="s">
        <v>197</v>
      </c>
      <c r="C213" s="32" t="s">
        <v>206</v>
      </c>
      <c r="D213" s="32" t="s">
        <v>102</v>
      </c>
      <c r="E213" s="32">
        <v>14.24</v>
      </c>
      <c r="F213" s="66">
        <f t="shared" ref="F213:J213" si="187">F191</f>
        <v>15</v>
      </c>
      <c r="G213" s="48">
        <f t="shared" si="185"/>
        <v>29.4</v>
      </c>
      <c r="H213" s="66">
        <f t="shared" si="187"/>
        <v>28</v>
      </c>
      <c r="I213" s="49">
        <f t="shared" si="187"/>
        <v>0.05</v>
      </c>
      <c r="J213" s="48">
        <f t="shared" si="187"/>
        <v>1</v>
      </c>
      <c r="K213" s="48">
        <f>(F213+G213+J213)*$K$5</f>
        <v>2.724</v>
      </c>
      <c r="L213" s="48">
        <f>(F213+G213+J213+K213)*$L$5</f>
        <v>1.44372</v>
      </c>
      <c r="M213" s="70">
        <f t="shared" si="160"/>
        <v>74.35158</v>
      </c>
      <c r="N213" s="71"/>
      <c r="O213" s="48">
        <f t="shared" si="186"/>
        <v>1058.7664992</v>
      </c>
      <c r="P213" s="69"/>
      <c r="Q213" s="72"/>
      <c r="R213" s="46">
        <f t="shared" si="135"/>
        <v>1058.7664992</v>
      </c>
      <c r="S213" s="46">
        <f t="shared" si="136"/>
        <v>49.56772</v>
      </c>
      <c r="T213" s="46" t="b">
        <f t="shared" si="137"/>
        <v>1</v>
      </c>
      <c r="U213" s="46" t="b">
        <f t="shared" si="138"/>
        <v>0</v>
      </c>
    </row>
    <row r="214" s="63" customFormat="1" customHeight="1" outlineLevel="1" spans="1:21">
      <c r="A214" s="32">
        <v>173</v>
      </c>
      <c r="B214" s="32" t="s">
        <v>208</v>
      </c>
      <c r="C214" s="32" t="s">
        <v>278</v>
      </c>
      <c r="D214" s="32" t="s">
        <v>99</v>
      </c>
      <c r="E214" s="32">
        <v>1</v>
      </c>
      <c r="F214" s="66">
        <v>300</v>
      </c>
      <c r="G214" s="48">
        <f t="shared" si="185"/>
        <v>3383.5</v>
      </c>
      <c r="H214" s="66">
        <v>3350</v>
      </c>
      <c r="I214" s="49">
        <v>0.01</v>
      </c>
      <c r="J214" s="48">
        <v>265</v>
      </c>
      <c r="K214" s="48">
        <f>(F214+G214+J214)*$K$5</f>
        <v>236.91</v>
      </c>
      <c r="L214" s="48">
        <f>(F214+G214+J214+K214)*$L$5</f>
        <v>125.5623</v>
      </c>
      <c r="M214" s="70">
        <f t="shared" si="160"/>
        <v>6466.45845</v>
      </c>
      <c r="N214" s="71"/>
      <c r="O214" s="48">
        <f t="shared" si="186"/>
        <v>6466.45845</v>
      </c>
      <c r="P214" s="69"/>
      <c r="Q214" s="72"/>
      <c r="R214" s="46">
        <f t="shared" si="135"/>
        <v>6466.45845</v>
      </c>
      <c r="S214" s="46">
        <f t="shared" si="136"/>
        <v>4310.9723</v>
      </c>
      <c r="T214" s="46" t="b">
        <f t="shared" si="137"/>
        <v>1</v>
      </c>
      <c r="U214" s="46" t="b">
        <f t="shared" si="138"/>
        <v>0</v>
      </c>
    </row>
    <row r="215" s="63" customFormat="1" customHeight="1" spans="1:21">
      <c r="A215" s="32"/>
      <c r="B215" s="32" t="s">
        <v>279</v>
      </c>
      <c r="C215" s="32"/>
      <c r="D215" s="32"/>
      <c r="E215" s="32"/>
      <c r="F215" s="66"/>
      <c r="G215" s="48"/>
      <c r="H215" s="66"/>
      <c r="I215" s="49"/>
      <c r="J215" s="48"/>
      <c r="K215" s="48"/>
      <c r="L215" s="48"/>
      <c r="M215" s="70"/>
      <c r="N215" s="71"/>
      <c r="O215" s="48"/>
      <c r="P215" s="69"/>
      <c r="Q215" s="72"/>
      <c r="R215" s="46">
        <f>E215*M215</f>
        <v>0</v>
      </c>
      <c r="S215" s="46">
        <f>F215+G215+J215+K215+L215</f>
        <v>0</v>
      </c>
      <c r="T215" s="46" t="b">
        <f>O215=R215</f>
        <v>1</v>
      </c>
      <c r="U215" s="46" t="b">
        <f>M215=S215</f>
        <v>1</v>
      </c>
    </row>
    <row r="216" s="63" customFormat="1" customHeight="1" outlineLevel="1" spans="1:21">
      <c r="A216" s="32">
        <v>174</v>
      </c>
      <c r="B216" s="32" t="s">
        <v>195</v>
      </c>
      <c r="C216" s="32" t="s">
        <v>205</v>
      </c>
      <c r="D216" s="32" t="s">
        <v>67</v>
      </c>
      <c r="E216" s="32">
        <v>28.11</v>
      </c>
      <c r="F216" s="66">
        <f t="shared" ref="F216:J216" si="188">F100</f>
        <v>35</v>
      </c>
      <c r="G216" s="48">
        <f t="shared" ref="G216:G219" si="189">H216*(1+I216)</f>
        <v>26.25</v>
      </c>
      <c r="H216" s="66">
        <f t="shared" si="188"/>
        <v>25</v>
      </c>
      <c r="I216" s="49">
        <f t="shared" si="188"/>
        <v>0.05</v>
      </c>
      <c r="J216" s="48">
        <f t="shared" si="188"/>
        <v>15</v>
      </c>
      <c r="K216" s="48">
        <f>(F216+G216+J216)*$K$5</f>
        <v>4.575</v>
      </c>
      <c r="L216" s="48">
        <f>(F216+G216+J216+K216)*$L$5</f>
        <v>2.42475</v>
      </c>
      <c r="M216" s="70">
        <f t="shared" si="160"/>
        <v>124.874625</v>
      </c>
      <c r="N216" s="71"/>
      <c r="O216" s="48">
        <f t="shared" ref="O216:O219" si="190">M216*E216</f>
        <v>3510.22570875</v>
      </c>
      <c r="P216" s="69"/>
      <c r="Q216" s="72"/>
      <c r="R216" s="46">
        <f>E216*M216</f>
        <v>3510.22570875</v>
      </c>
      <c r="S216" s="46">
        <f>F216+G216+J216+K216+L216</f>
        <v>83.24975</v>
      </c>
      <c r="T216" s="46" t="b">
        <f>O216=R216</f>
        <v>1</v>
      </c>
      <c r="U216" s="46" t="b">
        <f>M216=S216</f>
        <v>0</v>
      </c>
    </row>
    <row r="217" s="63" customFormat="1" customHeight="1" outlineLevel="1" spans="1:21">
      <c r="A217" s="32">
        <v>175</v>
      </c>
      <c r="B217" s="32" t="s">
        <v>180</v>
      </c>
      <c r="C217" s="32" t="s">
        <v>280</v>
      </c>
      <c r="D217" s="32" t="s">
        <v>67</v>
      </c>
      <c r="E217" s="32">
        <v>8.88</v>
      </c>
      <c r="F217" s="66">
        <f t="shared" ref="F217:J217" si="191">F89</f>
        <v>185</v>
      </c>
      <c r="G217" s="48">
        <f t="shared" si="189"/>
        <v>336</v>
      </c>
      <c r="H217" s="66">
        <f t="shared" si="191"/>
        <v>320</v>
      </c>
      <c r="I217" s="49">
        <f t="shared" si="191"/>
        <v>0.05</v>
      </c>
      <c r="J217" s="48">
        <f t="shared" si="191"/>
        <v>35</v>
      </c>
      <c r="K217" s="48">
        <f>(F217+G217+J217)*$K$5</f>
        <v>33.36</v>
      </c>
      <c r="L217" s="48">
        <f>(F217+G217+J217+K217)*$L$5</f>
        <v>17.6808</v>
      </c>
      <c r="M217" s="70">
        <f t="shared" si="160"/>
        <v>910.5612</v>
      </c>
      <c r="N217" s="71"/>
      <c r="O217" s="48">
        <f t="shared" si="190"/>
        <v>8085.783456</v>
      </c>
      <c r="P217" s="69"/>
      <c r="Q217" s="72"/>
      <c r="R217" s="46">
        <f>E217*M217</f>
        <v>8085.783456</v>
      </c>
      <c r="S217" s="46">
        <f>F217+G217+J217+K217+L217</f>
        <v>607.0408</v>
      </c>
      <c r="T217" s="46" t="b">
        <f>O217=R217</f>
        <v>1</v>
      </c>
      <c r="U217" s="46" t="b">
        <f>M217=S217</f>
        <v>0</v>
      </c>
    </row>
    <row r="218" s="63" customFormat="1" customHeight="1" outlineLevel="1" spans="1:21">
      <c r="A218" s="32">
        <v>176</v>
      </c>
      <c r="B218" s="32" t="s">
        <v>197</v>
      </c>
      <c r="C218" s="32" t="s">
        <v>206</v>
      </c>
      <c r="D218" s="32" t="s">
        <v>102</v>
      </c>
      <c r="E218" s="32">
        <v>9.01</v>
      </c>
      <c r="F218" s="66">
        <f t="shared" ref="F218:J218" si="192">F197</f>
        <v>15</v>
      </c>
      <c r="G218" s="48">
        <f t="shared" si="189"/>
        <v>29.4</v>
      </c>
      <c r="H218" s="66">
        <f t="shared" si="192"/>
        <v>28</v>
      </c>
      <c r="I218" s="49">
        <f t="shared" si="192"/>
        <v>0.05</v>
      </c>
      <c r="J218" s="48">
        <f t="shared" si="192"/>
        <v>1</v>
      </c>
      <c r="K218" s="48">
        <f>(F218+G218+J218)*$K$5</f>
        <v>2.724</v>
      </c>
      <c r="L218" s="48">
        <f>(F218+G218+J218+K218)*$L$5</f>
        <v>1.44372</v>
      </c>
      <c r="M218" s="70">
        <f t="shared" si="160"/>
        <v>74.35158</v>
      </c>
      <c r="N218" s="71"/>
      <c r="O218" s="48">
        <f t="shared" si="190"/>
        <v>669.9077358</v>
      </c>
      <c r="P218" s="69"/>
      <c r="Q218" s="72"/>
      <c r="R218" s="46">
        <f>E218*M218</f>
        <v>669.9077358</v>
      </c>
      <c r="S218" s="46">
        <f>F218+G218+J218+K218+L218</f>
        <v>49.56772</v>
      </c>
      <c r="T218" s="46" t="b">
        <f>O218=R218</f>
        <v>1</v>
      </c>
      <c r="U218" s="46" t="b">
        <f>M218=S218</f>
        <v>0</v>
      </c>
    </row>
    <row r="219" s="63" customFormat="1" customHeight="1" outlineLevel="1" spans="1:21">
      <c r="A219" s="32">
        <v>177</v>
      </c>
      <c r="B219" s="32" t="s">
        <v>208</v>
      </c>
      <c r="C219" s="32" t="s">
        <v>278</v>
      </c>
      <c r="D219" s="32" t="s">
        <v>99</v>
      </c>
      <c r="E219" s="32">
        <v>1</v>
      </c>
      <c r="F219" s="66">
        <f t="shared" ref="F219:J219" si="193">F214</f>
        <v>300</v>
      </c>
      <c r="G219" s="67">
        <f t="shared" si="189"/>
        <v>3383.5</v>
      </c>
      <c r="H219" s="68">
        <f t="shared" si="193"/>
        <v>3350</v>
      </c>
      <c r="I219" s="54">
        <f t="shared" si="193"/>
        <v>0.01</v>
      </c>
      <c r="J219" s="67">
        <f t="shared" si="193"/>
        <v>265</v>
      </c>
      <c r="K219" s="67">
        <f>(F219+G219+J219)*$K$5</f>
        <v>236.91</v>
      </c>
      <c r="L219" s="67">
        <f>(F219+G219+J219+K219)*$L$5</f>
        <v>125.5623</v>
      </c>
      <c r="M219" s="70">
        <f t="shared" si="160"/>
        <v>6466.45845</v>
      </c>
      <c r="N219" s="71"/>
      <c r="O219" s="67">
        <f t="shared" si="190"/>
        <v>6466.45845</v>
      </c>
      <c r="P219" s="69"/>
      <c r="Q219" s="72"/>
      <c r="R219" s="46">
        <f>E219*M219</f>
        <v>6466.45845</v>
      </c>
      <c r="S219" s="46">
        <f>F219+G219+J219+K219+L219</f>
        <v>4310.9723</v>
      </c>
      <c r="T219" s="46" t="b">
        <f>O219=R219</f>
        <v>1</v>
      </c>
      <c r="U219" s="46" t="b">
        <f>M219=S219</f>
        <v>0</v>
      </c>
    </row>
    <row r="220" s="63" customFormat="1" customHeight="1" spans="1:21">
      <c r="A220" s="32"/>
      <c r="B220" s="32" t="s">
        <v>281</v>
      </c>
      <c r="C220" s="32"/>
      <c r="D220" s="32"/>
      <c r="E220" s="32"/>
      <c r="F220" s="66"/>
      <c r="G220" s="48"/>
      <c r="H220" s="66"/>
      <c r="I220" s="49"/>
      <c r="J220" s="48"/>
      <c r="K220" s="48"/>
      <c r="L220" s="48"/>
      <c r="M220" s="70"/>
      <c r="N220" s="71"/>
      <c r="O220" s="48"/>
      <c r="P220" s="69"/>
      <c r="Q220" s="72"/>
      <c r="R220" s="46">
        <f>E220*M220</f>
        <v>0</v>
      </c>
      <c r="S220" s="46">
        <f>F220+G220+J220+K220+L220</f>
        <v>0</v>
      </c>
      <c r="T220" s="46" t="b">
        <f>O220=R220</f>
        <v>1</v>
      </c>
      <c r="U220" s="46" t="b">
        <f>M220=S220</f>
        <v>1</v>
      </c>
    </row>
    <row r="221" s="63" customFormat="1" customHeight="1" outlineLevel="1" spans="1:21">
      <c r="A221" s="32">
        <v>178</v>
      </c>
      <c r="B221" s="32" t="s">
        <v>195</v>
      </c>
      <c r="C221" s="32" t="s">
        <v>262</v>
      </c>
      <c r="D221" s="32" t="s">
        <v>67</v>
      </c>
      <c r="E221" s="32">
        <v>29.86</v>
      </c>
      <c r="F221" s="66">
        <f>F163</f>
        <v>30</v>
      </c>
      <c r="G221" s="48">
        <f t="shared" ref="G221:G225" si="194">H221*(1+I221)</f>
        <v>15.75</v>
      </c>
      <c r="H221" s="66">
        <f>H163</f>
        <v>15</v>
      </c>
      <c r="I221" s="49">
        <f>I100</f>
        <v>0.05</v>
      </c>
      <c r="J221" s="48">
        <f>J163</f>
        <v>8</v>
      </c>
      <c r="K221" s="48">
        <f>(F221+G221+J221)*$K$5</f>
        <v>3.225</v>
      </c>
      <c r="L221" s="48">
        <f>(F221+G221+J221+K221)*$L$5</f>
        <v>1.70925</v>
      </c>
      <c r="M221" s="70">
        <f t="shared" ref="M220:M251" si="195">(F221+G221+J221+K221+L221)*1.5</f>
        <v>88.026375</v>
      </c>
      <c r="N221" s="71"/>
      <c r="O221" s="48">
        <f t="shared" ref="O221:O225" si="196">M221*E221</f>
        <v>2628.4675575</v>
      </c>
      <c r="P221" s="69" t="str">
        <f>P176</f>
        <v>立邦</v>
      </c>
      <c r="Q221" s="72"/>
      <c r="R221" s="46">
        <f>E221*M221</f>
        <v>2628.4675575</v>
      </c>
      <c r="S221" s="46">
        <f>F221+G221+J221+K221+L221</f>
        <v>58.68425</v>
      </c>
      <c r="T221" s="46" t="b">
        <f>O221=R221</f>
        <v>1</v>
      </c>
      <c r="U221" s="46" t="b">
        <f>M221=S221</f>
        <v>0</v>
      </c>
    </row>
    <row r="222" s="63" customFormat="1" customHeight="1" outlineLevel="1" spans="1:21">
      <c r="A222" s="32">
        <v>179</v>
      </c>
      <c r="B222" s="32" t="s">
        <v>197</v>
      </c>
      <c r="C222" s="32" t="s">
        <v>206</v>
      </c>
      <c r="D222" s="32" t="s">
        <v>102</v>
      </c>
      <c r="E222" s="32">
        <v>9.57</v>
      </c>
      <c r="F222" s="66">
        <f t="shared" ref="F222:J222" si="197">F203</f>
        <v>15</v>
      </c>
      <c r="G222" s="48">
        <f t="shared" si="194"/>
        <v>29.4</v>
      </c>
      <c r="H222" s="66">
        <f t="shared" si="197"/>
        <v>28</v>
      </c>
      <c r="I222" s="49">
        <f t="shared" si="197"/>
        <v>0.05</v>
      </c>
      <c r="J222" s="48">
        <f t="shared" si="197"/>
        <v>1</v>
      </c>
      <c r="K222" s="48">
        <f>(F222+G222+J222)*$K$5</f>
        <v>2.724</v>
      </c>
      <c r="L222" s="48">
        <f>(F222+G222+J222+K222)*$L$5</f>
        <v>1.44372</v>
      </c>
      <c r="M222" s="70">
        <f t="shared" si="195"/>
        <v>74.35158</v>
      </c>
      <c r="N222" s="71"/>
      <c r="O222" s="48">
        <f t="shared" si="196"/>
        <v>711.5446206</v>
      </c>
      <c r="P222" s="69"/>
      <c r="Q222" s="72"/>
      <c r="R222" s="46">
        <f>E222*M222</f>
        <v>711.5446206</v>
      </c>
      <c r="S222" s="46">
        <f>F222+G222+J222+K222+L222</f>
        <v>49.56772</v>
      </c>
      <c r="T222" s="46" t="b">
        <f>O222=R222</f>
        <v>1</v>
      </c>
      <c r="U222" s="46" t="b">
        <f>M222=S222</f>
        <v>0</v>
      </c>
    </row>
    <row r="223" s="63" customFormat="1" customHeight="1" outlineLevel="1" spans="1:21">
      <c r="A223" s="32">
        <v>180</v>
      </c>
      <c r="B223" s="32" t="s">
        <v>208</v>
      </c>
      <c r="C223" s="32" t="s">
        <v>249</v>
      </c>
      <c r="D223" s="32" t="s">
        <v>67</v>
      </c>
      <c r="E223" s="32">
        <v>1.92</v>
      </c>
      <c r="F223" s="66">
        <f t="shared" ref="F223:J223" si="198">F151</f>
        <v>150</v>
      </c>
      <c r="G223" s="48">
        <f t="shared" si="194"/>
        <v>682.5</v>
      </c>
      <c r="H223" s="66">
        <f t="shared" si="198"/>
        <v>650</v>
      </c>
      <c r="I223" s="49">
        <f t="shared" si="198"/>
        <v>0.05</v>
      </c>
      <c r="J223" s="48">
        <f t="shared" si="198"/>
        <v>100</v>
      </c>
      <c r="K223" s="48">
        <f>(F223+G223+J223)*$K$5</f>
        <v>55.95</v>
      </c>
      <c r="L223" s="48">
        <f>(F223+G223+J223+K223)*$L$5</f>
        <v>29.6535</v>
      </c>
      <c r="M223" s="70">
        <f t="shared" si="195"/>
        <v>1527.15525</v>
      </c>
      <c r="N223" s="71"/>
      <c r="O223" s="48">
        <f t="shared" si="196"/>
        <v>2932.13808</v>
      </c>
      <c r="P223" s="69"/>
      <c r="Q223" s="72"/>
      <c r="R223" s="46">
        <f>E223*M223</f>
        <v>2932.13808</v>
      </c>
      <c r="S223" s="46">
        <f>F223+G223+J223+K223+L223</f>
        <v>1018.1035</v>
      </c>
      <c r="T223" s="46" t="b">
        <f>O223=R223</f>
        <v>1</v>
      </c>
      <c r="U223" s="46" t="b">
        <f>M223=S223</f>
        <v>0</v>
      </c>
    </row>
    <row r="224" s="63" customFormat="1" customHeight="1" outlineLevel="1" spans="1:21">
      <c r="A224" s="32">
        <v>181</v>
      </c>
      <c r="B224" s="32" t="s">
        <v>86</v>
      </c>
      <c r="C224" s="32" t="s">
        <v>250</v>
      </c>
      <c r="D224" s="32" t="s">
        <v>67</v>
      </c>
      <c r="E224" s="32">
        <v>1.28</v>
      </c>
      <c r="F224" s="66">
        <f t="shared" ref="F224:J224" si="199">F152</f>
        <v>165</v>
      </c>
      <c r="G224" s="48">
        <f t="shared" si="194"/>
        <v>315</v>
      </c>
      <c r="H224" s="66">
        <f t="shared" si="199"/>
        <v>300</v>
      </c>
      <c r="I224" s="49">
        <f t="shared" si="199"/>
        <v>0.05</v>
      </c>
      <c r="J224" s="48">
        <f t="shared" si="199"/>
        <v>135</v>
      </c>
      <c r="K224" s="48">
        <f>(F224+G224+J224)*$K$5</f>
        <v>36.9</v>
      </c>
      <c r="L224" s="48">
        <f>(F224+G224+J224+K224)*$L$5</f>
        <v>19.557</v>
      </c>
      <c r="M224" s="70">
        <f t="shared" si="195"/>
        <v>1007.1855</v>
      </c>
      <c r="N224" s="71"/>
      <c r="O224" s="48">
        <f t="shared" si="196"/>
        <v>1289.19744</v>
      </c>
      <c r="P224" s="69" t="str">
        <f>P187</f>
        <v>厂家定制</v>
      </c>
      <c r="Q224" s="72"/>
      <c r="R224" s="46">
        <f>E224*M224</f>
        <v>1289.19744</v>
      </c>
      <c r="S224" s="46">
        <f>F224+G224+J224+K224+L224</f>
        <v>671.457</v>
      </c>
      <c r="T224" s="46" t="b">
        <f>O224=R224</f>
        <v>1</v>
      </c>
      <c r="U224" s="46" t="b">
        <f>M224=S224</f>
        <v>0</v>
      </c>
    </row>
    <row r="225" s="63" customFormat="1" customHeight="1" outlineLevel="1" spans="1:21">
      <c r="A225" s="32">
        <v>182</v>
      </c>
      <c r="B225" s="32" t="s">
        <v>178</v>
      </c>
      <c r="C225" s="32" t="s">
        <v>251</v>
      </c>
      <c r="D225" s="32" t="s">
        <v>99</v>
      </c>
      <c r="E225" s="32">
        <v>1</v>
      </c>
      <c r="F225" s="66">
        <f t="shared" ref="F225:J225" si="200">F153</f>
        <v>300</v>
      </c>
      <c r="G225" s="48">
        <f t="shared" si="194"/>
        <v>1111</v>
      </c>
      <c r="H225" s="66">
        <f t="shared" si="200"/>
        <v>1100</v>
      </c>
      <c r="I225" s="49">
        <f t="shared" si="200"/>
        <v>0.01</v>
      </c>
      <c r="J225" s="48">
        <f t="shared" si="200"/>
        <v>310</v>
      </c>
      <c r="K225" s="48">
        <f>(F225+G225+J225)*$K$5</f>
        <v>103.26</v>
      </c>
      <c r="L225" s="48">
        <f>(F225+G225+J225+K225)*$L$5</f>
        <v>54.7278</v>
      </c>
      <c r="M225" s="70">
        <f t="shared" si="195"/>
        <v>2818.4817</v>
      </c>
      <c r="N225" s="71"/>
      <c r="O225" s="48">
        <f t="shared" si="196"/>
        <v>2818.4817</v>
      </c>
      <c r="P225" s="69" t="str">
        <f>P188</f>
        <v>厂家定制</v>
      </c>
      <c r="Q225" s="72"/>
      <c r="R225" s="46">
        <f>E225*M225</f>
        <v>2818.4817</v>
      </c>
      <c r="S225" s="46">
        <f>F225+G225+J225+K225+L225</f>
        <v>1878.9878</v>
      </c>
      <c r="T225" s="46" t="b">
        <f>O225=R225</f>
        <v>1</v>
      </c>
      <c r="U225" s="46" t="b">
        <f>M225=S225</f>
        <v>0</v>
      </c>
    </row>
    <row r="226" s="63" customFormat="1" customHeight="1" spans="1:21">
      <c r="A226" s="32"/>
      <c r="B226" s="32" t="s">
        <v>282</v>
      </c>
      <c r="C226" s="32"/>
      <c r="D226" s="32"/>
      <c r="E226" s="32"/>
      <c r="F226" s="66"/>
      <c r="G226" s="48"/>
      <c r="H226" s="66"/>
      <c r="I226" s="49"/>
      <c r="J226" s="48"/>
      <c r="K226" s="48"/>
      <c r="L226" s="48"/>
      <c r="M226" s="70"/>
      <c r="N226" s="71"/>
      <c r="O226" s="48"/>
      <c r="P226" s="69"/>
      <c r="Q226" s="72"/>
      <c r="R226" s="46">
        <f>E226*M226</f>
        <v>0</v>
      </c>
      <c r="S226" s="46">
        <f>F226+G226+J226+K226+L226</f>
        <v>0</v>
      </c>
      <c r="T226" s="46" t="b">
        <f>O226=R226</f>
        <v>1</v>
      </c>
      <c r="U226" s="46" t="b">
        <f>M226=S226</f>
        <v>1</v>
      </c>
    </row>
    <row r="227" s="63" customFormat="1" customHeight="1" outlineLevel="1" spans="1:21">
      <c r="A227" s="32">
        <v>183</v>
      </c>
      <c r="B227" s="32" t="s">
        <v>195</v>
      </c>
      <c r="C227" s="32" t="s">
        <v>262</v>
      </c>
      <c r="D227" s="32" t="s">
        <v>67</v>
      </c>
      <c r="E227" s="32">
        <v>25.27</v>
      </c>
      <c r="F227" s="66">
        <f>F163</f>
        <v>30</v>
      </c>
      <c r="G227" s="48">
        <f t="shared" ref="G227:G232" si="201">H227*(1+I227)</f>
        <v>15.75</v>
      </c>
      <c r="H227" s="66">
        <f>H163</f>
        <v>15</v>
      </c>
      <c r="I227" s="49">
        <f>I100</f>
        <v>0.05</v>
      </c>
      <c r="J227" s="48">
        <f>J163</f>
        <v>8</v>
      </c>
      <c r="K227" s="48">
        <f>(F227+G227+J227)*$K$5</f>
        <v>3.225</v>
      </c>
      <c r="L227" s="48">
        <f>(F227+G227+J227+K227)*$L$5</f>
        <v>1.70925</v>
      </c>
      <c r="M227" s="70">
        <f t="shared" si="195"/>
        <v>88.026375</v>
      </c>
      <c r="N227" s="71"/>
      <c r="O227" s="48">
        <f t="shared" ref="O227:O232" si="202">M227*E227</f>
        <v>2224.42649625</v>
      </c>
      <c r="P227" s="69" t="str">
        <f>P183</f>
        <v>立邦</v>
      </c>
      <c r="Q227" s="72"/>
      <c r="R227" s="46">
        <f>E227*M227</f>
        <v>2224.42649625</v>
      </c>
      <c r="S227" s="46">
        <f>F227+G227+J227+K227+L227</f>
        <v>58.68425</v>
      </c>
      <c r="T227" s="46" t="b">
        <f>O227=R227</f>
        <v>1</v>
      </c>
      <c r="U227" s="46" t="b">
        <f>M227=S227</f>
        <v>0</v>
      </c>
    </row>
    <row r="228" s="63" customFormat="1" customHeight="1" outlineLevel="1" spans="1:21">
      <c r="A228" s="32">
        <v>184</v>
      </c>
      <c r="B228" s="32" t="s">
        <v>180</v>
      </c>
      <c r="C228" s="32" t="s">
        <v>280</v>
      </c>
      <c r="D228" s="32" t="s">
        <v>67</v>
      </c>
      <c r="E228" s="32">
        <v>2.96</v>
      </c>
      <c r="F228" s="66">
        <f t="shared" ref="F228:J228" si="203">F89</f>
        <v>185</v>
      </c>
      <c r="G228" s="48">
        <f t="shared" si="201"/>
        <v>336</v>
      </c>
      <c r="H228" s="66">
        <f t="shared" si="203"/>
        <v>320</v>
      </c>
      <c r="I228" s="49">
        <f t="shared" si="203"/>
        <v>0.05</v>
      </c>
      <c r="J228" s="48">
        <f t="shared" si="203"/>
        <v>35</v>
      </c>
      <c r="K228" s="48">
        <f>(F228+G228+J228)*$K$5</f>
        <v>33.36</v>
      </c>
      <c r="L228" s="48">
        <f>(F228+G228+J228+K228)*$L$5</f>
        <v>17.6808</v>
      </c>
      <c r="M228" s="70">
        <f t="shared" si="195"/>
        <v>910.5612</v>
      </c>
      <c r="N228" s="71"/>
      <c r="O228" s="48">
        <f t="shared" si="202"/>
        <v>2695.261152</v>
      </c>
      <c r="P228" s="69"/>
      <c r="Q228" s="72"/>
      <c r="R228" s="46">
        <f>E228*M228</f>
        <v>2695.261152</v>
      </c>
      <c r="S228" s="46">
        <f>F228+G228+J228+K228+L228</f>
        <v>607.0408</v>
      </c>
      <c r="T228" s="46" t="b">
        <f>O228=R228</f>
        <v>1</v>
      </c>
      <c r="U228" s="46" t="b">
        <f>M228=S228</f>
        <v>0</v>
      </c>
    </row>
    <row r="229" s="63" customFormat="1" customHeight="1" outlineLevel="1" spans="1:21">
      <c r="A229" s="32">
        <v>185</v>
      </c>
      <c r="B229" s="32" t="s">
        <v>197</v>
      </c>
      <c r="C229" s="32" t="s">
        <v>206</v>
      </c>
      <c r="D229" s="32" t="s">
        <v>102</v>
      </c>
      <c r="E229" s="32">
        <v>8.1</v>
      </c>
      <c r="F229" s="66">
        <f t="shared" ref="F229:J229" si="204">F209</f>
        <v>15</v>
      </c>
      <c r="G229" s="48">
        <f t="shared" si="201"/>
        <v>29.4</v>
      </c>
      <c r="H229" s="66">
        <f t="shared" si="204"/>
        <v>28</v>
      </c>
      <c r="I229" s="49">
        <f t="shared" si="204"/>
        <v>0.05</v>
      </c>
      <c r="J229" s="48">
        <f t="shared" si="204"/>
        <v>1</v>
      </c>
      <c r="K229" s="48">
        <f>(F229+G229+J229)*$K$5</f>
        <v>2.724</v>
      </c>
      <c r="L229" s="48">
        <f>(F229+G229+J229+K229)*$L$5</f>
        <v>1.44372</v>
      </c>
      <c r="M229" s="70">
        <f t="shared" si="195"/>
        <v>74.35158</v>
      </c>
      <c r="N229" s="71"/>
      <c r="O229" s="48">
        <f t="shared" si="202"/>
        <v>602.247798</v>
      </c>
      <c r="P229" s="69"/>
      <c r="Q229" s="72"/>
      <c r="R229" s="46">
        <f>E229*M229</f>
        <v>602.247798</v>
      </c>
      <c r="S229" s="46">
        <f>F229+G229+J229+K229+L229</f>
        <v>49.56772</v>
      </c>
      <c r="T229" s="46" t="b">
        <f>O229=R229</f>
        <v>1</v>
      </c>
      <c r="U229" s="46" t="b">
        <f>M229=S229</f>
        <v>0</v>
      </c>
    </row>
    <row r="230" s="63" customFormat="1" customHeight="1" outlineLevel="1" spans="1:21">
      <c r="A230" s="32">
        <v>186</v>
      </c>
      <c r="B230" s="32" t="s">
        <v>208</v>
      </c>
      <c r="C230" s="32" t="s">
        <v>249</v>
      </c>
      <c r="D230" s="32" t="s">
        <v>67</v>
      </c>
      <c r="E230" s="32">
        <v>1.92</v>
      </c>
      <c r="F230" s="66">
        <f t="shared" ref="F230:J230" si="205">F151</f>
        <v>150</v>
      </c>
      <c r="G230" s="48">
        <f t="shared" si="201"/>
        <v>682.5</v>
      </c>
      <c r="H230" s="66">
        <f t="shared" si="205"/>
        <v>650</v>
      </c>
      <c r="I230" s="49">
        <f t="shared" si="205"/>
        <v>0.05</v>
      </c>
      <c r="J230" s="48">
        <f t="shared" si="205"/>
        <v>100</v>
      </c>
      <c r="K230" s="48">
        <f>(F230+G230+J230)*$K$5</f>
        <v>55.95</v>
      </c>
      <c r="L230" s="48">
        <f>(F230+G230+J230+K230)*$L$5</f>
        <v>29.6535</v>
      </c>
      <c r="M230" s="70">
        <f t="shared" si="195"/>
        <v>1527.15525</v>
      </c>
      <c r="N230" s="71"/>
      <c r="O230" s="48">
        <f t="shared" si="202"/>
        <v>2932.13808</v>
      </c>
      <c r="P230" s="69"/>
      <c r="Q230" s="72"/>
      <c r="R230" s="46">
        <f>E230*M230</f>
        <v>2932.13808</v>
      </c>
      <c r="S230" s="46">
        <f>F230+G230+J230+K230+L230</f>
        <v>1018.1035</v>
      </c>
      <c r="T230" s="46" t="b">
        <f>O230=R230</f>
        <v>1</v>
      </c>
      <c r="U230" s="46" t="b">
        <f>M230=S230</f>
        <v>0</v>
      </c>
    </row>
    <row r="231" s="63" customFormat="1" customHeight="1" outlineLevel="1" spans="1:21">
      <c r="A231" s="32">
        <v>187</v>
      </c>
      <c r="B231" s="32" t="s">
        <v>86</v>
      </c>
      <c r="C231" s="32" t="s">
        <v>283</v>
      </c>
      <c r="D231" s="32" t="s">
        <v>67</v>
      </c>
      <c r="E231" s="32">
        <v>1.28</v>
      </c>
      <c r="F231" s="66">
        <f t="shared" ref="F231:J231" si="206">F152</f>
        <v>165</v>
      </c>
      <c r="G231" s="48">
        <f t="shared" si="201"/>
        <v>315</v>
      </c>
      <c r="H231" s="66">
        <f t="shared" si="206"/>
        <v>300</v>
      </c>
      <c r="I231" s="49">
        <f t="shared" si="206"/>
        <v>0.05</v>
      </c>
      <c r="J231" s="48">
        <f t="shared" si="206"/>
        <v>135</v>
      </c>
      <c r="K231" s="48">
        <f>(F231+G231+J231)*$K$5</f>
        <v>36.9</v>
      </c>
      <c r="L231" s="48">
        <f>(F231+G231+J231+K231)*$L$5</f>
        <v>19.557</v>
      </c>
      <c r="M231" s="70">
        <f t="shared" si="195"/>
        <v>1007.1855</v>
      </c>
      <c r="N231" s="71"/>
      <c r="O231" s="48">
        <f t="shared" si="202"/>
        <v>1289.19744</v>
      </c>
      <c r="P231" s="69" t="str">
        <f>P193</f>
        <v>厂家定制</v>
      </c>
      <c r="Q231" s="72"/>
      <c r="R231" s="46">
        <f>E231*M231</f>
        <v>1289.19744</v>
      </c>
      <c r="S231" s="46">
        <f>F231+G231+J231+K231+L231</f>
        <v>671.457</v>
      </c>
      <c r="T231" s="46" t="b">
        <f>O231=R231</f>
        <v>1</v>
      </c>
      <c r="U231" s="46" t="b">
        <f>M231=S231</f>
        <v>0</v>
      </c>
    </row>
    <row r="232" s="63" customFormat="1" customHeight="1" outlineLevel="1" spans="1:21">
      <c r="A232" s="32">
        <v>188</v>
      </c>
      <c r="B232" s="32" t="s">
        <v>178</v>
      </c>
      <c r="C232" s="32" t="s">
        <v>251</v>
      </c>
      <c r="D232" s="32" t="s">
        <v>99</v>
      </c>
      <c r="E232" s="32">
        <v>1</v>
      </c>
      <c r="F232" s="66">
        <f t="shared" ref="F232:J232" si="207">F153</f>
        <v>300</v>
      </c>
      <c r="G232" s="48">
        <f t="shared" si="201"/>
        <v>1111</v>
      </c>
      <c r="H232" s="66">
        <f t="shared" si="207"/>
        <v>1100</v>
      </c>
      <c r="I232" s="49">
        <f t="shared" si="207"/>
        <v>0.01</v>
      </c>
      <c r="J232" s="48">
        <f t="shared" si="207"/>
        <v>310</v>
      </c>
      <c r="K232" s="48">
        <f>(F232+G232+J232)*$K$5</f>
        <v>103.26</v>
      </c>
      <c r="L232" s="48">
        <f>(F232+G232+J232+K232)*$L$5</f>
        <v>54.7278</v>
      </c>
      <c r="M232" s="70">
        <f t="shared" si="195"/>
        <v>2818.4817</v>
      </c>
      <c r="N232" s="71"/>
      <c r="O232" s="48">
        <f t="shared" si="202"/>
        <v>2818.4817</v>
      </c>
      <c r="P232" s="69" t="str">
        <f>P194</f>
        <v>厂家定制</v>
      </c>
      <c r="Q232" s="72"/>
      <c r="R232" s="46">
        <f>E232*M232</f>
        <v>2818.4817</v>
      </c>
      <c r="S232" s="46">
        <f>F232+G232+J232+K232+L232</f>
        <v>1878.9878</v>
      </c>
      <c r="T232" s="46" t="b">
        <f>O232=R232</f>
        <v>1</v>
      </c>
      <c r="U232" s="46" t="b">
        <f>M232=S232</f>
        <v>0</v>
      </c>
    </row>
    <row r="233" s="63" customFormat="1" customHeight="1" spans="1:21">
      <c r="A233" s="32"/>
      <c r="B233" s="32" t="s">
        <v>284</v>
      </c>
      <c r="C233" s="32"/>
      <c r="D233" s="32"/>
      <c r="E233" s="32"/>
      <c r="F233" s="66"/>
      <c r="G233" s="48"/>
      <c r="H233" s="66"/>
      <c r="I233" s="49"/>
      <c r="J233" s="48"/>
      <c r="K233" s="48"/>
      <c r="L233" s="48"/>
      <c r="M233" s="70"/>
      <c r="N233" s="71"/>
      <c r="O233" s="48"/>
      <c r="P233" s="69"/>
      <c r="Q233" s="72"/>
      <c r="R233" s="46">
        <f>E233*M233</f>
        <v>0</v>
      </c>
      <c r="S233" s="46">
        <f>F233+G233+J233+K233+L233</f>
        <v>0</v>
      </c>
      <c r="T233" s="46" t="b">
        <f>O233=R233</f>
        <v>1</v>
      </c>
      <c r="U233" s="46" t="b">
        <f>M233=S233</f>
        <v>1</v>
      </c>
    </row>
    <row r="234" s="63" customFormat="1" customHeight="1" outlineLevel="1" spans="1:21">
      <c r="A234" s="32">
        <v>189</v>
      </c>
      <c r="B234" s="32" t="s">
        <v>195</v>
      </c>
      <c r="C234" s="32" t="s">
        <v>285</v>
      </c>
      <c r="D234" s="32" t="s">
        <v>67</v>
      </c>
      <c r="E234" s="32">
        <v>16.47</v>
      </c>
      <c r="F234" s="66">
        <f t="shared" ref="F234:J234" si="208">F221</f>
        <v>30</v>
      </c>
      <c r="G234" s="48">
        <f t="shared" ref="G234:G241" si="209">H234*(1+I234)</f>
        <v>15.75</v>
      </c>
      <c r="H234" s="66">
        <f t="shared" si="208"/>
        <v>15</v>
      </c>
      <c r="I234" s="49">
        <f>I100</f>
        <v>0.05</v>
      </c>
      <c r="J234" s="48">
        <f>J163</f>
        <v>8</v>
      </c>
      <c r="K234" s="48">
        <f>(F234+G234+J234)*$K$5</f>
        <v>3.225</v>
      </c>
      <c r="L234" s="48">
        <f>(F234+G234+J234+K234)*$L$5</f>
        <v>1.70925</v>
      </c>
      <c r="M234" s="70">
        <f t="shared" si="195"/>
        <v>88.026375</v>
      </c>
      <c r="N234" s="71"/>
      <c r="O234" s="48">
        <f t="shared" ref="O234:O241" si="210">M234*E234</f>
        <v>1449.79439625</v>
      </c>
      <c r="P234" s="69" t="str">
        <f>P190</f>
        <v>立邦</v>
      </c>
      <c r="Q234" s="72"/>
      <c r="R234" s="46">
        <f>E234*M234</f>
        <v>1449.79439625</v>
      </c>
      <c r="S234" s="46">
        <f>F234+G234+J234+K234+L234</f>
        <v>58.68425</v>
      </c>
      <c r="T234" s="46" t="b">
        <f>O234=R234</f>
        <v>1</v>
      </c>
      <c r="U234" s="46" t="b">
        <f>M234=S234</f>
        <v>0</v>
      </c>
    </row>
    <row r="235" s="63" customFormat="1" customHeight="1" outlineLevel="1" spans="1:21">
      <c r="A235" s="32">
        <v>190</v>
      </c>
      <c r="B235" s="32" t="s">
        <v>286</v>
      </c>
      <c r="C235" s="32" t="s">
        <v>287</v>
      </c>
      <c r="D235" s="32" t="s">
        <v>67</v>
      </c>
      <c r="E235" s="32">
        <v>0.57</v>
      </c>
      <c r="F235" s="66">
        <v>150</v>
      </c>
      <c r="G235" s="48">
        <f t="shared" si="209"/>
        <v>71.5</v>
      </c>
      <c r="H235" s="66">
        <f>H67</f>
        <v>65</v>
      </c>
      <c r="I235" s="49">
        <v>0.1</v>
      </c>
      <c r="J235" s="48">
        <v>50</v>
      </c>
      <c r="K235" s="48">
        <f>(F235+G235+J235)*$K$5</f>
        <v>16.29</v>
      </c>
      <c r="L235" s="48">
        <f>(F235+G235+J235+K235)*$L$5</f>
        <v>8.6337</v>
      </c>
      <c r="M235" s="70">
        <f t="shared" si="195"/>
        <v>444.63555</v>
      </c>
      <c r="N235" s="71"/>
      <c r="O235" s="48">
        <f t="shared" si="210"/>
        <v>253.4422635</v>
      </c>
      <c r="P235" s="69" t="str">
        <f>P65</f>
        <v>广东产</v>
      </c>
      <c r="Q235" s="72"/>
      <c r="R235" s="46">
        <f>E235*M235</f>
        <v>253.4422635</v>
      </c>
      <c r="S235" s="46">
        <f>F235+G235+J235+K235+L235</f>
        <v>296.4237</v>
      </c>
      <c r="T235" s="46" t="b">
        <f>O235=R235</f>
        <v>1</v>
      </c>
      <c r="U235" s="46" t="b">
        <f>M235=S235</f>
        <v>0</v>
      </c>
    </row>
    <row r="236" s="63" customFormat="1" customHeight="1" spans="1:21">
      <c r="A236" s="32"/>
      <c r="B236" s="32" t="s">
        <v>288</v>
      </c>
      <c r="C236" s="32"/>
      <c r="D236" s="32"/>
      <c r="E236" s="32"/>
      <c r="F236" s="66"/>
      <c r="G236" s="48"/>
      <c r="H236" s="66"/>
      <c r="I236" s="49"/>
      <c r="J236" s="48"/>
      <c r="K236" s="48"/>
      <c r="L236" s="48"/>
      <c r="M236" s="70"/>
      <c r="N236" s="71"/>
      <c r="O236" s="48"/>
      <c r="P236" s="69"/>
      <c r="Q236" s="72"/>
      <c r="R236" s="46">
        <f>E236*M236</f>
        <v>0</v>
      </c>
      <c r="S236" s="46">
        <f>F236+G236+J236+K236+L236</f>
        <v>0</v>
      </c>
      <c r="T236" s="46" t="b">
        <f>O236=R236</f>
        <v>1</v>
      </c>
      <c r="U236" s="46" t="b">
        <f>M236=S236</f>
        <v>1</v>
      </c>
    </row>
    <row r="237" s="63" customFormat="1" customHeight="1" outlineLevel="1" spans="1:21">
      <c r="A237" s="32">
        <v>191</v>
      </c>
      <c r="B237" s="32" t="s">
        <v>289</v>
      </c>
      <c r="C237" s="32" t="s">
        <v>290</v>
      </c>
      <c r="D237" s="32" t="s">
        <v>67</v>
      </c>
      <c r="E237" s="32">
        <v>48.51</v>
      </c>
      <c r="F237" s="66">
        <f t="shared" ref="F237:J237" si="211">F67</f>
        <v>85</v>
      </c>
      <c r="G237" s="48">
        <f t="shared" si="209"/>
        <v>126</v>
      </c>
      <c r="H237" s="66">
        <v>120</v>
      </c>
      <c r="I237" s="49">
        <f t="shared" si="211"/>
        <v>0.05</v>
      </c>
      <c r="J237" s="48">
        <f t="shared" si="211"/>
        <v>70</v>
      </c>
      <c r="K237" s="48">
        <f>(F237+G237+J237)*$K$5</f>
        <v>16.86</v>
      </c>
      <c r="L237" s="48">
        <f>(F237+G237+J237+K237)*$L$5</f>
        <v>8.9358</v>
      </c>
      <c r="M237" s="70">
        <f t="shared" si="195"/>
        <v>460.1937</v>
      </c>
      <c r="N237" s="71"/>
      <c r="O237" s="48">
        <f t="shared" si="210"/>
        <v>22323.996387</v>
      </c>
      <c r="P237" s="69" t="str">
        <f>P66</f>
        <v>广东产</v>
      </c>
      <c r="Q237" s="72"/>
      <c r="R237" s="46">
        <f>E237*M237</f>
        <v>22323.996387</v>
      </c>
      <c r="S237" s="46">
        <f>F237+G237+J237+K237+L237</f>
        <v>306.7958</v>
      </c>
      <c r="T237" s="46" t="b">
        <f>O237=R237</f>
        <v>1</v>
      </c>
      <c r="U237" s="46" t="b">
        <f>M237=S237</f>
        <v>0</v>
      </c>
    </row>
    <row r="238" s="63" customFormat="1" customHeight="1" outlineLevel="1" spans="1:21">
      <c r="A238" s="32">
        <v>192</v>
      </c>
      <c r="B238" s="32" t="s">
        <v>291</v>
      </c>
      <c r="C238" s="32" t="s">
        <v>292</v>
      </c>
      <c r="D238" s="32" t="s">
        <v>67</v>
      </c>
      <c r="E238" s="32">
        <v>16.57</v>
      </c>
      <c r="F238" s="66">
        <v>125</v>
      </c>
      <c r="G238" s="48">
        <f t="shared" si="209"/>
        <v>577.5</v>
      </c>
      <c r="H238" s="66">
        <v>550</v>
      </c>
      <c r="I238" s="49">
        <v>0.05</v>
      </c>
      <c r="J238" s="48">
        <v>125</v>
      </c>
      <c r="K238" s="48">
        <f>(F238+G238+J238)*$K$5</f>
        <v>49.65</v>
      </c>
      <c r="L238" s="48">
        <f>(F238+G238+J238+K238)*$L$5</f>
        <v>26.3145</v>
      </c>
      <c r="M238" s="70">
        <f t="shared" si="195"/>
        <v>1355.19675</v>
      </c>
      <c r="N238" s="71"/>
      <c r="O238" s="48">
        <f t="shared" si="210"/>
        <v>22455.6101475</v>
      </c>
      <c r="P238" s="69"/>
      <c r="Q238" s="72"/>
      <c r="R238" s="46">
        <f>E238*M238</f>
        <v>22455.6101475</v>
      </c>
      <c r="S238" s="46">
        <f>F238+G238+J238+K238+L238</f>
        <v>903.4645</v>
      </c>
      <c r="T238" s="46" t="b">
        <f>O238=R238</f>
        <v>1</v>
      </c>
      <c r="U238" s="46" t="b">
        <f>M238=S238</f>
        <v>0</v>
      </c>
    </row>
    <row r="239" s="63" customFormat="1" customHeight="1" outlineLevel="1" spans="1:21">
      <c r="A239" s="32">
        <v>193</v>
      </c>
      <c r="B239" s="32" t="s">
        <v>127</v>
      </c>
      <c r="C239" s="32" t="s">
        <v>293</v>
      </c>
      <c r="D239" s="32" t="s">
        <v>67</v>
      </c>
      <c r="E239" s="32">
        <v>4.89</v>
      </c>
      <c r="F239" s="66">
        <v>185</v>
      </c>
      <c r="G239" s="48">
        <f t="shared" si="209"/>
        <v>441</v>
      </c>
      <c r="H239" s="66">
        <v>420</v>
      </c>
      <c r="I239" s="49">
        <f>I52</f>
        <v>0.05</v>
      </c>
      <c r="J239" s="48">
        <v>165</v>
      </c>
      <c r="K239" s="48">
        <f>(F239+G239+J239)*$K$5</f>
        <v>47.46</v>
      </c>
      <c r="L239" s="48">
        <f>(F239+G239+J239+K239)*$L$5</f>
        <v>25.1538</v>
      </c>
      <c r="M239" s="70">
        <f t="shared" si="195"/>
        <v>1295.4207</v>
      </c>
      <c r="N239" s="71"/>
      <c r="O239" s="48">
        <f t="shared" si="210"/>
        <v>6334.607223</v>
      </c>
      <c r="P239" s="69"/>
      <c r="Q239" s="72"/>
      <c r="R239" s="46">
        <f>E239*M239</f>
        <v>6334.607223</v>
      </c>
      <c r="S239" s="46">
        <f>F239+G239+J239+K239+L239</f>
        <v>863.6138</v>
      </c>
      <c r="T239" s="46" t="b">
        <f>O239=R239</f>
        <v>1</v>
      </c>
      <c r="U239" s="46" t="b">
        <f>M239=S239</f>
        <v>0</v>
      </c>
    </row>
    <row r="240" s="63" customFormat="1" customHeight="1" outlineLevel="1" spans="1:21">
      <c r="A240" s="32">
        <v>194</v>
      </c>
      <c r="B240" s="32" t="s">
        <v>127</v>
      </c>
      <c r="C240" s="32" t="s">
        <v>294</v>
      </c>
      <c r="D240" s="32" t="s">
        <v>67</v>
      </c>
      <c r="E240" s="32">
        <v>5.68</v>
      </c>
      <c r="F240" s="66">
        <f t="shared" ref="F240:J240" si="212">F239</f>
        <v>185</v>
      </c>
      <c r="G240" s="48">
        <f t="shared" si="209"/>
        <v>441</v>
      </c>
      <c r="H240" s="66">
        <f t="shared" si="212"/>
        <v>420</v>
      </c>
      <c r="I240" s="49">
        <f t="shared" si="212"/>
        <v>0.05</v>
      </c>
      <c r="J240" s="48">
        <f t="shared" si="212"/>
        <v>165</v>
      </c>
      <c r="K240" s="48">
        <f>(F240+G240+J240)*$K$5</f>
        <v>47.46</v>
      </c>
      <c r="L240" s="48">
        <f>(F240+G240+J240+K240)*$L$5</f>
        <v>25.1538</v>
      </c>
      <c r="M240" s="70">
        <f t="shared" si="195"/>
        <v>1295.4207</v>
      </c>
      <c r="N240" s="71"/>
      <c r="O240" s="48">
        <f t="shared" si="210"/>
        <v>7357.989576</v>
      </c>
      <c r="P240" s="69"/>
      <c r="Q240" s="72"/>
      <c r="R240" s="46">
        <f>E240*M240</f>
        <v>7357.989576</v>
      </c>
      <c r="S240" s="46">
        <f>F240+G240+J240+K240+L240</f>
        <v>863.6138</v>
      </c>
      <c r="T240" s="46" t="b">
        <f>O240=R240</f>
        <v>1</v>
      </c>
      <c r="U240" s="46" t="b">
        <f>M240=S240</f>
        <v>0</v>
      </c>
    </row>
    <row r="241" s="63" customFormat="1" customHeight="1" outlineLevel="1" spans="1:21">
      <c r="A241" s="32">
        <v>195</v>
      </c>
      <c r="B241" s="32" t="s">
        <v>295</v>
      </c>
      <c r="C241" s="32" t="s">
        <v>296</v>
      </c>
      <c r="D241" s="32" t="s">
        <v>67</v>
      </c>
      <c r="E241" s="32">
        <v>2.33</v>
      </c>
      <c r="F241" s="66">
        <v>220</v>
      </c>
      <c r="G241" s="48">
        <f t="shared" si="209"/>
        <v>399</v>
      </c>
      <c r="H241" s="66">
        <v>380</v>
      </c>
      <c r="I241" s="49">
        <v>0.05</v>
      </c>
      <c r="J241" s="48">
        <f>40*2+85+25</f>
        <v>190</v>
      </c>
      <c r="K241" s="48">
        <f>(F241+G241+J241)*$K$5</f>
        <v>48.54</v>
      </c>
      <c r="L241" s="48">
        <f>(F241+G241+J241+K241)*$L$5</f>
        <v>25.7262</v>
      </c>
      <c r="M241" s="70">
        <f t="shared" si="195"/>
        <v>1324.8993</v>
      </c>
      <c r="N241" s="71"/>
      <c r="O241" s="48">
        <f t="shared" si="210"/>
        <v>3087.015369</v>
      </c>
      <c r="P241" s="69"/>
      <c r="Q241" s="72"/>
      <c r="R241" s="46">
        <f>E241*M241</f>
        <v>3087.015369</v>
      </c>
      <c r="S241" s="46">
        <f>F241+G241+J241+K241+L241</f>
        <v>883.2662</v>
      </c>
      <c r="T241" s="46" t="b">
        <f>O241=R241</f>
        <v>1</v>
      </c>
      <c r="U241" s="46" t="b">
        <f>M241=S241</f>
        <v>0</v>
      </c>
    </row>
    <row r="242" s="63" customFormat="1" customHeight="1" outlineLevel="1" spans="1:21">
      <c r="A242" s="32">
        <v>196</v>
      </c>
      <c r="B242" s="32" t="s">
        <v>297</v>
      </c>
      <c r="C242" s="32" t="s">
        <v>298</v>
      </c>
      <c r="D242" s="32" t="s">
        <v>67</v>
      </c>
      <c r="E242" s="32">
        <v>63.41</v>
      </c>
      <c r="F242" s="66">
        <v>20</v>
      </c>
      <c r="G242" s="48">
        <f t="shared" ref="G242:G247" si="213">H242*(1+I242)</f>
        <v>36.75</v>
      </c>
      <c r="H242" s="66">
        <v>35</v>
      </c>
      <c r="I242" s="49">
        <v>0.05</v>
      </c>
      <c r="J242" s="48">
        <v>8</v>
      </c>
      <c r="K242" s="48">
        <f>(F242+G242+J242)*$K$5</f>
        <v>3.885</v>
      </c>
      <c r="L242" s="48">
        <f>(F242+G242+J242+K242)*$L$5</f>
        <v>2.05905</v>
      </c>
      <c r="M242" s="70">
        <f t="shared" si="195"/>
        <v>106.041075</v>
      </c>
      <c r="N242" s="71"/>
      <c r="O242" s="48">
        <f t="shared" ref="O242:O247" si="214">M242*E242</f>
        <v>6724.06456575</v>
      </c>
      <c r="P242" s="69"/>
      <c r="Q242" s="72"/>
      <c r="R242" s="46">
        <f>E242*M242</f>
        <v>6724.06456575</v>
      </c>
      <c r="S242" s="46">
        <f>F242+G242+J242+K242+L242</f>
        <v>70.69405</v>
      </c>
      <c r="T242" s="46" t="b">
        <f>O242=R242</f>
        <v>1</v>
      </c>
      <c r="U242" s="46" t="b">
        <f>M242=S242</f>
        <v>0</v>
      </c>
    </row>
    <row r="243" s="63" customFormat="1" customHeight="1" outlineLevel="1" spans="1:21">
      <c r="A243" s="32">
        <v>197</v>
      </c>
      <c r="B243" s="32" t="s">
        <v>299</v>
      </c>
      <c r="C243" s="32" t="s">
        <v>300</v>
      </c>
      <c r="D243" s="32" t="s">
        <v>67</v>
      </c>
      <c r="E243" s="32">
        <v>12.46</v>
      </c>
      <c r="F243" s="66">
        <v>220</v>
      </c>
      <c r="G243" s="48">
        <f t="shared" si="213"/>
        <v>181.5</v>
      </c>
      <c r="H243" s="66">
        <v>165</v>
      </c>
      <c r="I243" s="49">
        <v>0.1</v>
      </c>
      <c r="J243" s="48">
        <v>50</v>
      </c>
      <c r="K243" s="48">
        <f>(F243+G243+J243)*$K$5</f>
        <v>27.09</v>
      </c>
      <c r="L243" s="48">
        <f>(F243+G243+J243+K243)*$L$5</f>
        <v>14.3577</v>
      </c>
      <c r="M243" s="70">
        <f t="shared" si="195"/>
        <v>739.42155</v>
      </c>
      <c r="N243" s="71"/>
      <c r="O243" s="48">
        <f t="shared" si="214"/>
        <v>9213.192513</v>
      </c>
      <c r="P243" s="69" t="str">
        <f>P196</f>
        <v>立邦</v>
      </c>
      <c r="Q243" s="72"/>
      <c r="R243" s="46">
        <f>E243*M243</f>
        <v>9213.192513</v>
      </c>
      <c r="S243" s="46">
        <f>F243+G243+J243+K243+L243</f>
        <v>492.9477</v>
      </c>
      <c r="T243" s="46" t="b">
        <f>O243=R243</f>
        <v>1</v>
      </c>
      <c r="U243" s="46" t="b">
        <f>M243=S243</f>
        <v>0</v>
      </c>
    </row>
    <row r="244" s="63" customFormat="1" customHeight="1" outlineLevel="1" spans="1:21">
      <c r="A244" s="32">
        <v>198</v>
      </c>
      <c r="B244" s="32" t="s">
        <v>208</v>
      </c>
      <c r="C244" s="32" t="s">
        <v>249</v>
      </c>
      <c r="D244" s="32" t="s">
        <v>67</v>
      </c>
      <c r="E244" s="32">
        <v>1.92</v>
      </c>
      <c r="F244" s="66">
        <f t="shared" ref="F244:J244" si="215">F151</f>
        <v>150</v>
      </c>
      <c r="G244" s="48">
        <f t="shared" si="213"/>
        <v>682.5</v>
      </c>
      <c r="H244" s="66">
        <f t="shared" si="215"/>
        <v>650</v>
      </c>
      <c r="I244" s="49">
        <f t="shared" si="215"/>
        <v>0.05</v>
      </c>
      <c r="J244" s="48">
        <f t="shared" si="215"/>
        <v>100</v>
      </c>
      <c r="K244" s="48">
        <f>(F244+G244+J244)*$K$5</f>
        <v>55.95</v>
      </c>
      <c r="L244" s="48">
        <f>(F244+G244+J244+K244)*$L$5</f>
        <v>29.6535</v>
      </c>
      <c r="M244" s="70">
        <f t="shared" si="195"/>
        <v>1527.15525</v>
      </c>
      <c r="N244" s="71"/>
      <c r="O244" s="48">
        <f t="shared" si="214"/>
        <v>2932.13808</v>
      </c>
      <c r="P244" s="69"/>
      <c r="Q244" s="72"/>
      <c r="R244" s="46">
        <f>E244*M244</f>
        <v>2932.13808</v>
      </c>
      <c r="S244" s="46">
        <f>F244+G244+J244+K244+L244</f>
        <v>1018.1035</v>
      </c>
      <c r="T244" s="46" t="b">
        <f>O244=R244</f>
        <v>1</v>
      </c>
      <c r="U244" s="46" t="b">
        <f>M244=S244</f>
        <v>0</v>
      </c>
    </row>
    <row r="245" s="63" customFormat="1" customHeight="1" outlineLevel="1" spans="1:21">
      <c r="A245" s="32">
        <v>199</v>
      </c>
      <c r="B245" s="32" t="s">
        <v>86</v>
      </c>
      <c r="C245" s="32" t="s">
        <v>301</v>
      </c>
      <c r="D245" s="32" t="s">
        <v>67</v>
      </c>
      <c r="E245" s="32">
        <v>1.28</v>
      </c>
      <c r="F245" s="66">
        <f t="shared" ref="F245:J245" si="216">F152</f>
        <v>165</v>
      </c>
      <c r="G245" s="48">
        <f t="shared" si="213"/>
        <v>315</v>
      </c>
      <c r="H245" s="66">
        <f t="shared" si="216"/>
        <v>300</v>
      </c>
      <c r="I245" s="49">
        <f t="shared" si="216"/>
        <v>0.05</v>
      </c>
      <c r="J245" s="48">
        <f t="shared" si="216"/>
        <v>135</v>
      </c>
      <c r="K245" s="48">
        <f>(F245+G245+J245)*$K$5</f>
        <v>36.9</v>
      </c>
      <c r="L245" s="48">
        <f>(F245+G245+J245+K245)*$L$5</f>
        <v>19.557</v>
      </c>
      <c r="M245" s="70">
        <f t="shared" si="195"/>
        <v>1007.1855</v>
      </c>
      <c r="N245" s="71"/>
      <c r="O245" s="48">
        <f t="shared" si="214"/>
        <v>1289.19744</v>
      </c>
      <c r="P245" s="69" t="str">
        <f>P199</f>
        <v>厂家定制</v>
      </c>
      <c r="Q245" s="72"/>
      <c r="R245" s="46">
        <f>E245*M245</f>
        <v>1289.19744</v>
      </c>
      <c r="S245" s="46">
        <f>F245+G245+J245+K245+L245</f>
        <v>671.457</v>
      </c>
      <c r="T245" s="46" t="b">
        <f>O245=R245</f>
        <v>1</v>
      </c>
      <c r="U245" s="46" t="b">
        <f>M245=S245</f>
        <v>0</v>
      </c>
    </row>
    <row r="246" s="63" customFormat="1" customHeight="1" outlineLevel="1" spans="1:21">
      <c r="A246" s="32">
        <v>200</v>
      </c>
      <c r="B246" s="32" t="s">
        <v>178</v>
      </c>
      <c r="C246" s="32" t="s">
        <v>302</v>
      </c>
      <c r="D246" s="32" t="s">
        <v>99</v>
      </c>
      <c r="E246" s="32">
        <v>1</v>
      </c>
      <c r="F246" s="66">
        <f t="shared" ref="F246:J246" si="217">F153</f>
        <v>300</v>
      </c>
      <c r="G246" s="48">
        <f t="shared" si="213"/>
        <v>1111</v>
      </c>
      <c r="H246" s="66">
        <f t="shared" si="217"/>
        <v>1100</v>
      </c>
      <c r="I246" s="49">
        <f t="shared" si="217"/>
        <v>0.01</v>
      </c>
      <c r="J246" s="48">
        <f t="shared" si="217"/>
        <v>310</v>
      </c>
      <c r="K246" s="48">
        <f>(F246+G246+J246)*$K$5</f>
        <v>103.26</v>
      </c>
      <c r="L246" s="48">
        <f>(F246+G246+J246+K246)*$L$5</f>
        <v>54.7278</v>
      </c>
      <c r="M246" s="70">
        <f t="shared" si="195"/>
        <v>2818.4817</v>
      </c>
      <c r="N246" s="71"/>
      <c r="O246" s="48">
        <f t="shared" si="214"/>
        <v>2818.4817</v>
      </c>
      <c r="P246" s="69" t="str">
        <f>P200</f>
        <v>厂家定制</v>
      </c>
      <c r="Q246" s="72"/>
      <c r="R246" s="46">
        <f>E246*M246</f>
        <v>2818.4817</v>
      </c>
      <c r="S246" s="46">
        <f>F246+G246+J246+K246+L246</f>
        <v>1878.9878</v>
      </c>
      <c r="T246" s="46" t="b">
        <f>O246=R246</f>
        <v>1</v>
      </c>
      <c r="U246" s="46" t="b">
        <f>M246=S246</f>
        <v>0</v>
      </c>
    </row>
    <row r="247" s="63" customFormat="1" customHeight="1" outlineLevel="1" spans="1:21">
      <c r="A247" s="32">
        <v>201</v>
      </c>
      <c r="B247" s="32" t="s">
        <v>275</v>
      </c>
      <c r="C247" s="32" t="s">
        <v>303</v>
      </c>
      <c r="D247" s="32" t="s">
        <v>67</v>
      </c>
      <c r="E247" s="32">
        <v>3.28</v>
      </c>
      <c r="F247" s="66">
        <f t="shared" ref="F247:J247" si="218">F41</f>
        <v>150</v>
      </c>
      <c r="G247" s="48">
        <f t="shared" si="213"/>
        <v>472.5</v>
      </c>
      <c r="H247" s="66">
        <f t="shared" si="218"/>
        <v>450</v>
      </c>
      <c r="I247" s="49">
        <f t="shared" si="218"/>
        <v>0.05</v>
      </c>
      <c r="J247" s="48">
        <f t="shared" si="218"/>
        <v>75</v>
      </c>
      <c r="K247" s="48">
        <f>(F247+G247+J247)*$K$5</f>
        <v>41.85</v>
      </c>
      <c r="L247" s="48">
        <f>(F247+G247+J247+K247)*$L$5</f>
        <v>22.1805</v>
      </c>
      <c r="M247" s="70">
        <f t="shared" si="195"/>
        <v>1142.29575</v>
      </c>
      <c r="N247" s="71"/>
      <c r="O247" s="48">
        <f t="shared" si="214"/>
        <v>3746.73006</v>
      </c>
      <c r="P247" s="69" t="str">
        <f>P224</f>
        <v>厂家定制</v>
      </c>
      <c r="Q247" s="72"/>
      <c r="R247" s="46">
        <f>E247*M247</f>
        <v>3746.73006</v>
      </c>
      <c r="S247" s="46">
        <f>F247+G247+J247+K247+L247</f>
        <v>761.5305</v>
      </c>
      <c r="T247" s="46" t="b">
        <f>O247=R247</f>
        <v>1</v>
      </c>
      <c r="U247" s="46" t="b">
        <f>M247=S247</f>
        <v>0</v>
      </c>
    </row>
    <row r="248" s="63" customFormat="1" customHeight="1" spans="1:21">
      <c r="A248" s="32"/>
      <c r="B248" s="32" t="s">
        <v>304</v>
      </c>
      <c r="C248" s="32"/>
      <c r="D248" s="32"/>
      <c r="E248" s="32"/>
      <c r="F248" s="66"/>
      <c r="G248" s="48"/>
      <c r="H248" s="66"/>
      <c r="I248" s="49"/>
      <c r="J248" s="48"/>
      <c r="K248" s="48"/>
      <c r="L248" s="48"/>
      <c r="M248" s="70">
        <f t="shared" si="195"/>
        <v>0</v>
      </c>
      <c r="N248" s="71"/>
      <c r="O248" s="48"/>
      <c r="P248" s="69"/>
      <c r="Q248" s="72"/>
      <c r="R248" s="46">
        <f>E248*M248</f>
        <v>0</v>
      </c>
      <c r="S248" s="46">
        <f>F248+G248+J248+K248+L248</f>
        <v>0</v>
      </c>
      <c r="T248" s="46" t="b">
        <f>O248=R248</f>
        <v>1</v>
      </c>
      <c r="U248" s="46" t="b">
        <f>M248=S248</f>
        <v>1</v>
      </c>
    </row>
    <row r="249" s="63" customFormat="1" customHeight="1" outlineLevel="1" spans="1:21">
      <c r="A249" s="32">
        <v>202</v>
      </c>
      <c r="B249" s="32" t="s">
        <v>289</v>
      </c>
      <c r="C249" s="32" t="s">
        <v>290</v>
      </c>
      <c r="D249" s="32" t="s">
        <v>67</v>
      </c>
      <c r="E249" s="32">
        <v>31.38</v>
      </c>
      <c r="F249" s="66">
        <f t="shared" ref="F249:J249" si="219">F237</f>
        <v>85</v>
      </c>
      <c r="G249" s="48">
        <f t="shared" ref="G249:G253" si="220">H249*(1+I249)</f>
        <v>126</v>
      </c>
      <c r="H249" s="66">
        <f t="shared" si="219"/>
        <v>120</v>
      </c>
      <c r="I249" s="49">
        <f t="shared" si="219"/>
        <v>0.05</v>
      </c>
      <c r="J249" s="48">
        <f t="shared" si="219"/>
        <v>70</v>
      </c>
      <c r="K249" s="48">
        <f>(F249+G249+J249)*$K$5</f>
        <v>16.86</v>
      </c>
      <c r="L249" s="48">
        <f>(F249+G249+J249+K249)*$L$5</f>
        <v>8.9358</v>
      </c>
      <c r="M249" s="70">
        <f t="shared" si="195"/>
        <v>460.1937</v>
      </c>
      <c r="N249" s="71"/>
      <c r="O249" s="48">
        <f t="shared" ref="O249:O253" si="221">M249*E249</f>
        <v>14440.878306</v>
      </c>
      <c r="P249" s="69" t="str">
        <f>P67</f>
        <v>广东产</v>
      </c>
      <c r="Q249" s="72"/>
      <c r="R249" s="46">
        <f>E249*M249</f>
        <v>14440.878306</v>
      </c>
      <c r="S249" s="46">
        <f>F249+G249+J249+K249+L249</f>
        <v>306.7958</v>
      </c>
      <c r="T249" s="46" t="b">
        <f>O249=R249</f>
        <v>1</v>
      </c>
      <c r="U249" s="46" t="b">
        <f>M249=S249</f>
        <v>0</v>
      </c>
    </row>
    <row r="250" s="63" customFormat="1" customHeight="1" outlineLevel="1" spans="1:21">
      <c r="A250" s="32">
        <v>203</v>
      </c>
      <c r="B250" s="32" t="s">
        <v>291</v>
      </c>
      <c r="C250" s="32" t="s">
        <v>292</v>
      </c>
      <c r="D250" s="32" t="s">
        <v>67</v>
      </c>
      <c r="E250" s="32">
        <v>16.57</v>
      </c>
      <c r="F250" s="66">
        <f t="shared" ref="F250:J250" si="222">F238</f>
        <v>125</v>
      </c>
      <c r="G250" s="48">
        <f t="shared" si="220"/>
        <v>577.5</v>
      </c>
      <c r="H250" s="66">
        <f t="shared" si="222"/>
        <v>550</v>
      </c>
      <c r="I250" s="49">
        <f t="shared" si="222"/>
        <v>0.05</v>
      </c>
      <c r="J250" s="48">
        <f t="shared" si="222"/>
        <v>125</v>
      </c>
      <c r="K250" s="48">
        <f>(F250+G250+J250)*$K$5</f>
        <v>49.65</v>
      </c>
      <c r="L250" s="48">
        <f>(F250+G250+J250+K250)*$L$5</f>
        <v>26.3145</v>
      </c>
      <c r="M250" s="70">
        <f t="shared" si="195"/>
        <v>1355.19675</v>
      </c>
      <c r="N250" s="71"/>
      <c r="O250" s="48">
        <f t="shared" si="221"/>
        <v>22455.6101475</v>
      </c>
      <c r="P250" s="69"/>
      <c r="Q250" s="72"/>
      <c r="R250" s="46">
        <f>E250*M250</f>
        <v>22455.6101475</v>
      </c>
      <c r="S250" s="46">
        <f>F250+G250+J250+K250+L250</f>
        <v>903.4645</v>
      </c>
      <c r="T250" s="46" t="b">
        <f>O250=R250</f>
        <v>1</v>
      </c>
      <c r="U250" s="46" t="b">
        <f>M250=S250</f>
        <v>0</v>
      </c>
    </row>
    <row r="251" s="63" customFormat="1" customHeight="1" outlineLevel="1" spans="1:21">
      <c r="A251" s="32">
        <v>204</v>
      </c>
      <c r="B251" s="32" t="s">
        <v>127</v>
      </c>
      <c r="C251" s="32" t="s">
        <v>293</v>
      </c>
      <c r="D251" s="32" t="s">
        <v>67</v>
      </c>
      <c r="E251" s="32">
        <v>4.89</v>
      </c>
      <c r="F251" s="66">
        <f t="shared" ref="F251:J251" si="223">F239</f>
        <v>185</v>
      </c>
      <c r="G251" s="48">
        <f t="shared" si="220"/>
        <v>441</v>
      </c>
      <c r="H251" s="66">
        <f t="shared" si="223"/>
        <v>420</v>
      </c>
      <c r="I251" s="49">
        <f t="shared" si="223"/>
        <v>0.05</v>
      </c>
      <c r="J251" s="48">
        <f t="shared" si="223"/>
        <v>165</v>
      </c>
      <c r="K251" s="48">
        <f>(F251+G251+J251)*$K$5</f>
        <v>47.46</v>
      </c>
      <c r="L251" s="48">
        <f>(F251+G251+J251+K251)*$L$5</f>
        <v>25.1538</v>
      </c>
      <c r="M251" s="70">
        <f t="shared" si="195"/>
        <v>1295.4207</v>
      </c>
      <c r="N251" s="71"/>
      <c r="O251" s="48">
        <f t="shared" si="221"/>
        <v>6334.607223</v>
      </c>
      <c r="P251" s="69"/>
      <c r="Q251" s="72"/>
      <c r="R251" s="46">
        <f>E251*M251</f>
        <v>6334.607223</v>
      </c>
      <c r="S251" s="46">
        <f>F251+G251+J251+K251+L251</f>
        <v>863.6138</v>
      </c>
      <c r="T251" s="46" t="b">
        <f>O251=R251</f>
        <v>1</v>
      </c>
      <c r="U251" s="46" t="b">
        <f>M251=S251</f>
        <v>0</v>
      </c>
    </row>
    <row r="252" s="63" customFormat="1" customHeight="1" outlineLevel="1" spans="1:21">
      <c r="A252" s="32">
        <v>205</v>
      </c>
      <c r="B252" s="32" t="s">
        <v>127</v>
      </c>
      <c r="C252" s="32" t="s">
        <v>294</v>
      </c>
      <c r="D252" s="32" t="s">
        <v>67</v>
      </c>
      <c r="E252" s="32">
        <v>5.68</v>
      </c>
      <c r="F252" s="66">
        <f t="shared" ref="F252:J252" si="224">F239</f>
        <v>185</v>
      </c>
      <c r="G252" s="48">
        <f t="shared" si="220"/>
        <v>441</v>
      </c>
      <c r="H252" s="66">
        <f t="shared" si="224"/>
        <v>420</v>
      </c>
      <c r="I252" s="49">
        <f t="shared" si="224"/>
        <v>0.05</v>
      </c>
      <c r="J252" s="48">
        <f t="shared" si="224"/>
        <v>165</v>
      </c>
      <c r="K252" s="48">
        <f>(F252+G252+J252)*$K$5</f>
        <v>47.46</v>
      </c>
      <c r="L252" s="48">
        <f>(F252+G252+J252+K252)*$L$5</f>
        <v>25.1538</v>
      </c>
      <c r="M252" s="70">
        <f>(F252+G252+J252+K252+L252)*1.5</f>
        <v>1295.4207</v>
      </c>
      <c r="N252" s="71"/>
      <c r="O252" s="48">
        <f t="shared" si="221"/>
        <v>7357.989576</v>
      </c>
      <c r="P252" s="69"/>
      <c r="Q252" s="72"/>
      <c r="R252" s="46">
        <f>E252*M252</f>
        <v>7357.989576</v>
      </c>
      <c r="S252" s="46">
        <f>F252+G252+J252+K252+L252</f>
        <v>863.6138</v>
      </c>
      <c r="T252" s="46" t="b">
        <f>O252=R252</f>
        <v>1</v>
      </c>
      <c r="U252" s="46" t="b">
        <f>M252=S252</f>
        <v>0</v>
      </c>
    </row>
    <row r="253" s="63" customFormat="1" customHeight="1" outlineLevel="1" spans="1:21">
      <c r="A253" s="32">
        <v>206</v>
      </c>
      <c r="B253" s="32" t="s">
        <v>295</v>
      </c>
      <c r="C253" s="32" t="s">
        <v>296</v>
      </c>
      <c r="D253" s="32" t="s">
        <v>67</v>
      </c>
      <c r="E253" s="32">
        <v>2.33</v>
      </c>
      <c r="F253" s="66">
        <f t="shared" ref="F253:J253" si="225">F241</f>
        <v>220</v>
      </c>
      <c r="G253" s="48">
        <f t="shared" si="220"/>
        <v>399</v>
      </c>
      <c r="H253" s="66">
        <f t="shared" si="225"/>
        <v>380</v>
      </c>
      <c r="I253" s="49">
        <f t="shared" si="225"/>
        <v>0.05</v>
      </c>
      <c r="J253" s="48">
        <f t="shared" si="225"/>
        <v>190</v>
      </c>
      <c r="K253" s="48">
        <f>(F253+G253+J253)*$K$5</f>
        <v>48.54</v>
      </c>
      <c r="L253" s="48">
        <f>(F253+G253+J253+K253)*$L$5</f>
        <v>25.7262</v>
      </c>
      <c r="M253" s="70">
        <f>(F253+G253+J253+K253+L253)*1.5</f>
        <v>1324.8993</v>
      </c>
      <c r="N253" s="71"/>
      <c r="O253" s="48">
        <f t="shared" si="221"/>
        <v>3087.015369</v>
      </c>
      <c r="P253" s="69"/>
      <c r="Q253" s="72"/>
      <c r="R253" s="46">
        <f>E253*M253</f>
        <v>3087.015369</v>
      </c>
      <c r="S253" s="46">
        <f>F253+G253+J253+K253+L253</f>
        <v>883.2662</v>
      </c>
      <c r="T253" s="46" t="b">
        <f>O253=R253</f>
        <v>1</v>
      </c>
      <c r="U253" s="46" t="b">
        <f>M253=S253</f>
        <v>0</v>
      </c>
    </row>
    <row r="254" s="63" customFormat="1" customHeight="1" outlineLevel="1" spans="1:21">
      <c r="A254" s="32">
        <v>207</v>
      </c>
      <c r="B254" s="32" t="s">
        <v>297</v>
      </c>
      <c r="C254" s="32" t="s">
        <v>298</v>
      </c>
      <c r="D254" s="32" t="s">
        <v>67</v>
      </c>
      <c r="E254" s="32">
        <v>56.38</v>
      </c>
      <c r="F254" s="66">
        <f t="shared" ref="F254:J254" si="226">F242</f>
        <v>20</v>
      </c>
      <c r="G254" s="48">
        <f t="shared" ref="G254:G258" si="227">H254*(1+I254)</f>
        <v>36.75</v>
      </c>
      <c r="H254" s="66">
        <f t="shared" si="226"/>
        <v>35</v>
      </c>
      <c r="I254" s="49">
        <f t="shared" si="226"/>
        <v>0.05</v>
      </c>
      <c r="J254" s="48">
        <f t="shared" si="226"/>
        <v>8</v>
      </c>
      <c r="K254" s="48">
        <f>(F254+G254+J254)*$K$5</f>
        <v>3.885</v>
      </c>
      <c r="L254" s="48">
        <f>(F254+G254+J254+K254)*$L$5</f>
        <v>2.05905</v>
      </c>
      <c r="M254" s="70">
        <f>(F254+G254+J254+K254+L254)*1.5</f>
        <v>106.041075</v>
      </c>
      <c r="N254" s="71"/>
      <c r="O254" s="48">
        <f t="shared" ref="O254:O258" si="228">M254*E254</f>
        <v>5978.5958085</v>
      </c>
      <c r="P254" s="69"/>
      <c r="Q254" s="72"/>
      <c r="R254" s="46">
        <f>E254*M254</f>
        <v>5978.5958085</v>
      </c>
      <c r="S254" s="46">
        <f>F254+G254+J254+K254+L254</f>
        <v>70.69405</v>
      </c>
      <c r="T254" s="46" t="b">
        <f>O254=R254</f>
        <v>1</v>
      </c>
      <c r="U254" s="46" t="b">
        <f>M254=S254</f>
        <v>0</v>
      </c>
    </row>
    <row r="255" s="63" customFormat="1" customHeight="1" outlineLevel="1" spans="1:21">
      <c r="A255" s="32">
        <v>208</v>
      </c>
      <c r="B255" s="32" t="s">
        <v>299</v>
      </c>
      <c r="C255" s="32" t="s">
        <v>300</v>
      </c>
      <c r="D255" s="32" t="s">
        <v>67</v>
      </c>
      <c r="E255" s="32">
        <v>12.46</v>
      </c>
      <c r="F255" s="66">
        <f t="shared" ref="F255:J255" si="229">F243</f>
        <v>220</v>
      </c>
      <c r="G255" s="48">
        <f t="shared" si="227"/>
        <v>181.5</v>
      </c>
      <c r="H255" s="66">
        <f t="shared" si="229"/>
        <v>165</v>
      </c>
      <c r="I255" s="49">
        <f t="shared" si="229"/>
        <v>0.1</v>
      </c>
      <c r="J255" s="48">
        <f t="shared" si="229"/>
        <v>50</v>
      </c>
      <c r="K255" s="48">
        <f>(F255+G255+J255)*$K$5</f>
        <v>27.09</v>
      </c>
      <c r="L255" s="48">
        <f>(F255+G255+J255+K255)*$L$5</f>
        <v>14.3577</v>
      </c>
      <c r="M255" s="70">
        <f>(F255+G255+J255+K255+L255)*1.5</f>
        <v>739.42155</v>
      </c>
      <c r="N255" s="71"/>
      <c r="O255" s="48">
        <f t="shared" si="228"/>
        <v>9213.192513</v>
      </c>
      <c r="P255" s="69" t="str">
        <f>P196</f>
        <v>立邦</v>
      </c>
      <c r="Q255" s="72"/>
      <c r="R255" s="46">
        <f>E255*M255</f>
        <v>9213.192513</v>
      </c>
      <c r="S255" s="46">
        <f>F255+G255+J255+K255+L255</f>
        <v>492.9477</v>
      </c>
      <c r="T255" s="46" t="b">
        <f>O255=R255</f>
        <v>1</v>
      </c>
      <c r="U255" s="46" t="b">
        <f>M255=S255</f>
        <v>0</v>
      </c>
    </row>
    <row r="256" s="63" customFormat="1" customHeight="1" outlineLevel="1" spans="1:21">
      <c r="A256" s="32">
        <v>209</v>
      </c>
      <c r="B256" s="32" t="s">
        <v>208</v>
      </c>
      <c r="C256" s="32" t="s">
        <v>249</v>
      </c>
      <c r="D256" s="32" t="s">
        <v>67</v>
      </c>
      <c r="E256" s="32">
        <v>3.84</v>
      </c>
      <c r="F256" s="66">
        <f t="shared" ref="F256:J256" si="230">F151</f>
        <v>150</v>
      </c>
      <c r="G256" s="48">
        <f t="shared" si="227"/>
        <v>682.5</v>
      </c>
      <c r="H256" s="66">
        <f t="shared" si="230"/>
        <v>650</v>
      </c>
      <c r="I256" s="49">
        <f t="shared" si="230"/>
        <v>0.05</v>
      </c>
      <c r="J256" s="48">
        <f t="shared" si="230"/>
        <v>100</v>
      </c>
      <c r="K256" s="48">
        <f>(F256+G256+J256)*$K$5</f>
        <v>55.95</v>
      </c>
      <c r="L256" s="48">
        <f>(F256+G256+J256+K256)*$L$5</f>
        <v>29.6535</v>
      </c>
      <c r="M256" s="70">
        <f>(F256+G256+J256+K256+L256)*1.5</f>
        <v>1527.15525</v>
      </c>
      <c r="N256" s="71"/>
      <c r="O256" s="48">
        <f t="shared" si="228"/>
        <v>5864.27616</v>
      </c>
      <c r="P256" s="69"/>
      <c r="Q256" s="72"/>
      <c r="R256" s="46">
        <f>E256*M256</f>
        <v>5864.27616</v>
      </c>
      <c r="S256" s="46">
        <f>F256+G256+J256+K256+L256</f>
        <v>1018.1035</v>
      </c>
      <c r="T256" s="46" t="b">
        <f>O256=R256</f>
        <v>1</v>
      </c>
      <c r="U256" s="46" t="b">
        <f>M256=S256</f>
        <v>0</v>
      </c>
    </row>
    <row r="257" s="63" customFormat="1" customHeight="1" outlineLevel="1" spans="1:21">
      <c r="A257" s="32">
        <v>210</v>
      </c>
      <c r="B257" s="32" t="s">
        <v>86</v>
      </c>
      <c r="C257" s="32" t="s">
        <v>302</v>
      </c>
      <c r="D257" s="32" t="s">
        <v>67</v>
      </c>
      <c r="E257" s="32">
        <v>2.56</v>
      </c>
      <c r="F257" s="66">
        <f t="shared" ref="F257:J257" si="231">F152</f>
        <v>165</v>
      </c>
      <c r="G257" s="48">
        <f t="shared" si="227"/>
        <v>315</v>
      </c>
      <c r="H257" s="66">
        <f t="shared" si="231"/>
        <v>300</v>
      </c>
      <c r="I257" s="49">
        <f t="shared" si="231"/>
        <v>0.05</v>
      </c>
      <c r="J257" s="48">
        <f t="shared" si="231"/>
        <v>135</v>
      </c>
      <c r="K257" s="48">
        <f>(F257+G257+J257)*$K$5</f>
        <v>36.9</v>
      </c>
      <c r="L257" s="48">
        <f>(F257+G257+J257+K257)*$L$5</f>
        <v>19.557</v>
      </c>
      <c r="M257" s="70">
        <f>(F257+G257+J257+K257+L257)*1.5</f>
        <v>1007.1855</v>
      </c>
      <c r="N257" s="71"/>
      <c r="O257" s="48">
        <f t="shared" si="228"/>
        <v>2578.39488</v>
      </c>
      <c r="P257" s="69" t="str">
        <f>P225</f>
        <v>厂家定制</v>
      </c>
      <c r="Q257" s="72"/>
      <c r="R257" s="46">
        <f>E257*M257</f>
        <v>2578.39488</v>
      </c>
      <c r="S257" s="46">
        <f>F257+G257+J257+K257+L257</f>
        <v>671.457</v>
      </c>
      <c r="T257" s="46" t="b">
        <f>O257=R257</f>
        <v>1</v>
      </c>
      <c r="U257" s="46" t="b">
        <f>M257=S257</f>
        <v>0</v>
      </c>
    </row>
    <row r="258" s="63" customFormat="1" customHeight="1" outlineLevel="1" spans="1:21">
      <c r="A258" s="32">
        <v>211</v>
      </c>
      <c r="B258" s="32" t="s">
        <v>178</v>
      </c>
      <c r="C258" s="32" t="s">
        <v>301</v>
      </c>
      <c r="D258" s="32" t="s">
        <v>99</v>
      </c>
      <c r="E258" s="32">
        <v>2</v>
      </c>
      <c r="F258" s="66">
        <f t="shared" ref="F258:J258" si="232">F153</f>
        <v>300</v>
      </c>
      <c r="G258" s="48">
        <f t="shared" si="227"/>
        <v>1111</v>
      </c>
      <c r="H258" s="66">
        <f t="shared" si="232"/>
        <v>1100</v>
      </c>
      <c r="I258" s="49">
        <f t="shared" si="232"/>
        <v>0.01</v>
      </c>
      <c r="J258" s="48">
        <f t="shared" si="232"/>
        <v>310</v>
      </c>
      <c r="K258" s="48">
        <f>(F258+G258+J258)*$K$5</f>
        <v>103.26</v>
      </c>
      <c r="L258" s="48">
        <f>(F258+G258+J258+K258)*$L$5</f>
        <v>54.7278</v>
      </c>
      <c r="M258" s="70">
        <f>(F258+G258+J258+K258+L258)*1.5</f>
        <v>2818.4817</v>
      </c>
      <c r="N258" s="71"/>
      <c r="O258" s="48">
        <f t="shared" si="228"/>
        <v>5636.9634</v>
      </c>
      <c r="P258" s="69" t="str">
        <f>P231</f>
        <v>厂家定制</v>
      </c>
      <c r="Q258" s="72"/>
      <c r="R258" s="46">
        <f>E258*M258</f>
        <v>5636.9634</v>
      </c>
      <c r="S258" s="46">
        <f>F258+G258+J258+K258+L258</f>
        <v>1878.9878</v>
      </c>
      <c r="T258" s="46" t="b">
        <f>O258=R258</f>
        <v>1</v>
      </c>
      <c r="U258" s="46" t="b">
        <f>M258=S258</f>
        <v>0</v>
      </c>
    </row>
    <row r="259" s="63" customFormat="1" customHeight="1" spans="1:21">
      <c r="A259" s="32"/>
      <c r="B259" s="32" t="s">
        <v>305</v>
      </c>
      <c r="C259" s="32"/>
      <c r="D259" s="32"/>
      <c r="E259" s="32"/>
      <c r="F259" s="66"/>
      <c r="G259" s="48"/>
      <c r="H259" s="66"/>
      <c r="I259" s="49"/>
      <c r="J259" s="48"/>
      <c r="K259" s="48"/>
      <c r="L259" s="48"/>
      <c r="M259" s="70">
        <f>(F259+G259+J259+K259+L259)*1.5</f>
        <v>0</v>
      </c>
      <c r="N259" s="71"/>
      <c r="O259" s="48"/>
      <c r="P259" s="69"/>
      <c r="Q259" s="72"/>
      <c r="R259" s="46">
        <f>E259*M259</f>
        <v>0</v>
      </c>
      <c r="S259" s="46">
        <f>F259+G259+J259+K259+L259</f>
        <v>0</v>
      </c>
      <c r="T259" s="46" t="b">
        <f>O259=R259</f>
        <v>1</v>
      </c>
      <c r="U259" s="46" t="b">
        <f>M259=S259</f>
        <v>1</v>
      </c>
    </row>
    <row r="260" s="63" customFormat="1" customHeight="1" outlineLevel="1" spans="1:21">
      <c r="A260" s="32">
        <v>212</v>
      </c>
      <c r="B260" s="32" t="s">
        <v>86</v>
      </c>
      <c r="C260" s="32" t="s">
        <v>306</v>
      </c>
      <c r="D260" s="32" t="s">
        <v>67</v>
      </c>
      <c r="E260" s="32">
        <v>57.13</v>
      </c>
      <c r="F260" s="66">
        <f t="shared" ref="F260:J260" si="233">F118</f>
        <v>155</v>
      </c>
      <c r="G260" s="48">
        <f t="shared" ref="G260:G262" si="234">H260*(1+I260)</f>
        <v>315</v>
      </c>
      <c r="H260" s="66">
        <f t="shared" si="233"/>
        <v>300</v>
      </c>
      <c r="I260" s="49">
        <f>I152</f>
        <v>0.05</v>
      </c>
      <c r="J260" s="66">
        <f t="shared" si="233"/>
        <v>80</v>
      </c>
      <c r="K260" s="48">
        <f>(F260+G260+J260)*$K$5</f>
        <v>33</v>
      </c>
      <c r="L260" s="48">
        <f>(F260+G260+J260+K260)*$L$5</f>
        <v>17.49</v>
      </c>
      <c r="M260" s="70">
        <f t="shared" ref="M260:M265" si="235">(F260+G260+J260+K260+L260)*1.5</f>
        <v>900.735</v>
      </c>
      <c r="N260" s="71"/>
      <c r="O260" s="48">
        <f t="shared" ref="O260:O262" si="236">M260*E260</f>
        <v>51458.99055</v>
      </c>
      <c r="P260" s="69" t="str">
        <f>P232</f>
        <v>厂家定制</v>
      </c>
      <c r="Q260" s="72"/>
      <c r="R260" s="46">
        <f>E260*M260</f>
        <v>51458.99055</v>
      </c>
      <c r="S260" s="46">
        <f>F260+G260+J260+K260+L260</f>
        <v>600.49</v>
      </c>
      <c r="T260" s="46" t="b">
        <f>O260=R260</f>
        <v>1</v>
      </c>
      <c r="U260" s="46" t="b">
        <f>M260=S260</f>
        <v>0</v>
      </c>
    </row>
    <row r="261" s="63" customFormat="1" customHeight="1" outlineLevel="1" spans="1:21">
      <c r="A261" s="32">
        <v>213</v>
      </c>
      <c r="B261" s="32" t="s">
        <v>86</v>
      </c>
      <c r="C261" s="32" t="s">
        <v>307</v>
      </c>
      <c r="D261" s="32" t="s">
        <v>67</v>
      </c>
      <c r="E261" s="32">
        <v>67.63</v>
      </c>
      <c r="F261" s="66">
        <f t="shared" ref="F261:J261" si="237">F125</f>
        <v>145</v>
      </c>
      <c r="G261" s="48">
        <f t="shared" si="234"/>
        <v>236.25</v>
      </c>
      <c r="H261" s="66">
        <f t="shared" si="237"/>
        <v>225</v>
      </c>
      <c r="I261" s="49">
        <f t="shared" si="237"/>
        <v>0.05</v>
      </c>
      <c r="J261" s="48">
        <f t="shared" si="237"/>
        <v>70</v>
      </c>
      <c r="K261" s="48">
        <f>(F261+G261+J261)*$K$5</f>
        <v>27.075</v>
      </c>
      <c r="L261" s="48">
        <f>(F261+G261+J261+K261)*$L$5</f>
        <v>14.34975</v>
      </c>
      <c r="M261" s="70">
        <f t="shared" si="235"/>
        <v>739.012125</v>
      </c>
      <c r="N261" s="71"/>
      <c r="O261" s="48">
        <f t="shared" si="236"/>
        <v>49979.39001375</v>
      </c>
      <c r="P261" s="69"/>
      <c r="Q261" s="72"/>
      <c r="R261" s="46">
        <f>E261*M261</f>
        <v>49979.39001375</v>
      </c>
      <c r="S261" s="46">
        <f>F261+G261+J261+K261+L261</f>
        <v>492.67475</v>
      </c>
      <c r="T261" s="46" t="b">
        <f>O261=R261</f>
        <v>1</v>
      </c>
      <c r="U261" s="46" t="b">
        <f>M261=S261</f>
        <v>0</v>
      </c>
    </row>
    <row r="262" s="63" customFormat="1" customHeight="1" outlineLevel="1" spans="1:21">
      <c r="A262" s="32">
        <v>214</v>
      </c>
      <c r="B262" s="32" t="s">
        <v>197</v>
      </c>
      <c r="C262" s="32" t="s">
        <v>206</v>
      </c>
      <c r="D262" s="32" t="s">
        <v>102</v>
      </c>
      <c r="E262" s="32">
        <v>2.83</v>
      </c>
      <c r="F262" s="66">
        <f t="shared" ref="F262:J262" si="238">F213</f>
        <v>15</v>
      </c>
      <c r="G262" s="48">
        <f t="shared" si="234"/>
        <v>29.4</v>
      </c>
      <c r="H262" s="66">
        <f t="shared" si="238"/>
        <v>28</v>
      </c>
      <c r="I262" s="49">
        <f t="shared" si="238"/>
        <v>0.05</v>
      </c>
      <c r="J262" s="48">
        <f t="shared" si="238"/>
        <v>1</v>
      </c>
      <c r="K262" s="48">
        <f>(F262+G262+J262)*$K$5</f>
        <v>2.724</v>
      </c>
      <c r="L262" s="48">
        <f>(F262+G262+J262+K262)*$L$5</f>
        <v>1.44372</v>
      </c>
      <c r="M262" s="70">
        <f t="shared" si="235"/>
        <v>74.35158</v>
      </c>
      <c r="N262" s="71"/>
      <c r="O262" s="48">
        <f t="shared" si="236"/>
        <v>210.4149714</v>
      </c>
      <c r="P262" s="69"/>
      <c r="Q262" s="72"/>
      <c r="R262" s="46">
        <f>E262*M262</f>
        <v>210.4149714</v>
      </c>
      <c r="S262" s="46">
        <f>F262+G262+J262+K262+L262</f>
        <v>49.56772</v>
      </c>
      <c r="T262" s="46" t="b">
        <f>O262=R262</f>
        <v>1</v>
      </c>
      <c r="U262" s="46" t="b">
        <f>M262=S262</f>
        <v>0</v>
      </c>
    </row>
    <row r="263" s="63" customFormat="1" customHeight="1" spans="1:21">
      <c r="A263" s="32"/>
      <c r="B263" s="32" t="s">
        <v>308</v>
      </c>
      <c r="C263" s="32"/>
      <c r="D263" s="32"/>
      <c r="E263" s="32"/>
      <c r="F263" s="66"/>
      <c r="G263" s="48"/>
      <c r="H263" s="66"/>
      <c r="I263" s="49"/>
      <c r="J263" s="48"/>
      <c r="K263" s="48"/>
      <c r="L263" s="48"/>
      <c r="M263" s="48"/>
      <c r="N263" s="48"/>
      <c r="O263" s="48"/>
      <c r="P263" s="69"/>
      <c r="Q263" s="72"/>
      <c r="R263" s="46">
        <f>E263*M263</f>
        <v>0</v>
      </c>
      <c r="S263" s="46">
        <f>F263+G263+J263+K263+L263</f>
        <v>0</v>
      </c>
      <c r="T263" s="46" t="b">
        <f>O263=R263</f>
        <v>1</v>
      </c>
      <c r="U263" s="46" t="b">
        <f>M263=S263</f>
        <v>1</v>
      </c>
    </row>
    <row r="264" s="63" customFormat="1" customHeight="1" outlineLevel="1" spans="1:21">
      <c r="A264" s="32"/>
      <c r="B264" s="32" t="s">
        <v>309</v>
      </c>
      <c r="C264" s="32"/>
      <c r="D264" s="32"/>
      <c r="E264" s="32"/>
      <c r="F264" s="66"/>
      <c r="G264" s="48"/>
      <c r="H264" s="66"/>
      <c r="I264" s="49"/>
      <c r="J264" s="48"/>
      <c r="K264" s="48"/>
      <c r="L264" s="48"/>
      <c r="M264" s="48"/>
      <c r="N264" s="48"/>
      <c r="O264" s="48"/>
      <c r="P264" s="69"/>
      <c r="Q264" s="72"/>
      <c r="R264" s="46">
        <f>E264*M264</f>
        <v>0</v>
      </c>
      <c r="S264" s="46">
        <f>F264+G264+J264+K264+L264</f>
        <v>0</v>
      </c>
      <c r="T264" s="46" t="b">
        <f>O264=R264</f>
        <v>1</v>
      </c>
      <c r="U264" s="46" t="b">
        <f>M264=S264</f>
        <v>1</v>
      </c>
    </row>
    <row r="265" s="63" customFormat="1" ht="42" customHeight="1" outlineLevel="1" spans="1:21">
      <c r="A265" s="32">
        <v>215</v>
      </c>
      <c r="B265" s="32" t="s">
        <v>310</v>
      </c>
      <c r="C265" s="32" t="s">
        <v>311</v>
      </c>
      <c r="D265" s="32" t="s">
        <v>96</v>
      </c>
      <c r="E265" s="32">
        <v>2</v>
      </c>
      <c r="F265" s="66">
        <f>4.48*2.7*300</f>
        <v>3628.8</v>
      </c>
      <c r="G265" s="48">
        <f>H265*(1+I265)</f>
        <v>17816.4</v>
      </c>
      <c r="H265" s="66">
        <f>4.5*2.8*1400</f>
        <v>17640</v>
      </c>
      <c r="I265" s="50">
        <v>0.01</v>
      </c>
      <c r="J265" s="48">
        <f>4.48*2.8*100</f>
        <v>1254.4</v>
      </c>
      <c r="K265" s="48">
        <f>(F265+G265+J265)*$K$5</f>
        <v>1361.976</v>
      </c>
      <c r="L265" s="48">
        <f>(F265+G265+J265+K265)*$L$5</f>
        <v>721.84728</v>
      </c>
      <c r="M265" s="70">
        <f t="shared" si="235"/>
        <v>37175.13492</v>
      </c>
      <c r="N265" s="71"/>
      <c r="O265" s="48">
        <f>M265*E265</f>
        <v>74350.26984</v>
      </c>
      <c r="P265" s="69"/>
      <c r="Q265" s="72"/>
      <c r="R265" s="46">
        <f>E265*M265</f>
        <v>74350.26984</v>
      </c>
      <c r="S265" s="46">
        <f>F265+G265+J265+K265+L265</f>
        <v>24783.42328</v>
      </c>
      <c r="T265" s="46" t="b">
        <f>O265=R265</f>
        <v>1</v>
      </c>
      <c r="U265" s="46" t="b">
        <f>M265=S265</f>
        <v>0</v>
      </c>
    </row>
    <row r="266" s="63" customFormat="1" customHeight="1" outlineLevel="1" spans="1:21">
      <c r="A266" s="32"/>
      <c r="B266" s="32" t="s">
        <v>228</v>
      </c>
      <c r="C266" s="32"/>
      <c r="D266" s="32"/>
      <c r="E266" s="32"/>
      <c r="F266" s="66"/>
      <c r="G266" s="48"/>
      <c r="H266" s="66"/>
      <c r="I266" s="49"/>
      <c r="J266" s="48"/>
      <c r="K266" s="48"/>
      <c r="L266" s="48"/>
      <c r="M266" s="70"/>
      <c r="N266" s="71"/>
      <c r="O266" s="48"/>
      <c r="P266" s="69"/>
      <c r="Q266" s="72"/>
      <c r="R266" s="46">
        <f>E266*M266</f>
        <v>0</v>
      </c>
      <c r="S266" s="46">
        <f>F266+G266+J266+K266+L266</f>
        <v>0</v>
      </c>
      <c r="T266" s="46" t="b">
        <f>O266=R266</f>
        <v>1</v>
      </c>
      <c r="U266" s="46" t="b">
        <f>M266=S266</f>
        <v>1</v>
      </c>
    </row>
    <row r="267" s="63" customFormat="1" ht="42" customHeight="1" outlineLevel="1" spans="1:21">
      <c r="A267" s="32">
        <v>216</v>
      </c>
      <c r="B267" s="32" t="s">
        <v>312</v>
      </c>
      <c r="C267" s="32" t="s">
        <v>313</v>
      </c>
      <c r="D267" s="32" t="s">
        <v>96</v>
      </c>
      <c r="E267" s="32">
        <v>1</v>
      </c>
      <c r="F267" s="66">
        <v>13000</v>
      </c>
      <c r="G267" s="67">
        <f>H267*(1+I267)</f>
        <v>23230</v>
      </c>
      <c r="H267" s="68">
        <v>23000</v>
      </c>
      <c r="I267" s="54">
        <v>0.01</v>
      </c>
      <c r="J267" s="67">
        <v>3500</v>
      </c>
      <c r="K267" s="67">
        <f>(F267+G267+J267)*$K$5</f>
        <v>2383.8</v>
      </c>
      <c r="L267" s="67">
        <f>(F267+G267+J267+K267)*$L$5</f>
        <v>1263.414</v>
      </c>
      <c r="M267" s="70">
        <f t="shared" ref="M266:M279" si="239">(F267+G267+J267+K267+L267)*1.5</f>
        <v>65065.821</v>
      </c>
      <c r="N267" s="71"/>
      <c r="O267" s="67">
        <f>M267*E267</f>
        <v>65065.821</v>
      </c>
      <c r="P267" s="69"/>
      <c r="Q267" s="72"/>
      <c r="R267" s="46">
        <f>E267*M267</f>
        <v>65065.821</v>
      </c>
      <c r="S267" s="46">
        <f>F267+G267+J267+K267+L267</f>
        <v>43377.214</v>
      </c>
      <c r="T267" s="46" t="b">
        <f>O267=R267</f>
        <v>1</v>
      </c>
      <c r="U267" s="46" t="b">
        <f>M267=S267</f>
        <v>0</v>
      </c>
    </row>
    <row r="268" s="63" customFormat="1" customHeight="1" outlineLevel="1" spans="1:21">
      <c r="A268" s="32"/>
      <c r="B268" s="32" t="s">
        <v>314</v>
      </c>
      <c r="C268" s="32"/>
      <c r="D268" s="32"/>
      <c r="E268" s="32"/>
      <c r="F268" s="66"/>
      <c r="G268" s="48"/>
      <c r="H268" s="66"/>
      <c r="I268" s="49"/>
      <c r="J268" s="48"/>
      <c r="K268" s="48"/>
      <c r="L268" s="48"/>
      <c r="M268" s="70"/>
      <c r="N268" s="71"/>
      <c r="O268" s="48"/>
      <c r="P268" s="69"/>
      <c r="Q268" s="72"/>
      <c r="R268" s="46">
        <f>E268*M268</f>
        <v>0</v>
      </c>
      <c r="S268" s="46">
        <f>F268+G268+J268+K268+L268</f>
        <v>0</v>
      </c>
      <c r="T268" s="46" t="b">
        <f>O268=R268</f>
        <v>1</v>
      </c>
      <c r="U268" s="46" t="b">
        <f>M268=S268</f>
        <v>1</v>
      </c>
    </row>
    <row r="269" s="63" customFormat="1" ht="45" customHeight="1" outlineLevel="1" spans="1:21">
      <c r="A269" s="32">
        <v>217</v>
      </c>
      <c r="B269" s="32" t="s">
        <v>315</v>
      </c>
      <c r="C269" s="32" t="s">
        <v>316</v>
      </c>
      <c r="D269" s="32" t="s">
        <v>96</v>
      </c>
      <c r="E269" s="32">
        <v>4</v>
      </c>
      <c r="F269" s="66">
        <v>1500</v>
      </c>
      <c r="G269" s="67">
        <f>H269*(1+I269)</f>
        <v>3232</v>
      </c>
      <c r="H269" s="66">
        <v>3200</v>
      </c>
      <c r="I269" s="49">
        <v>0.01</v>
      </c>
      <c r="J269" s="48">
        <v>550</v>
      </c>
      <c r="K269" s="67">
        <f>(F269+G269+J269)*$K$5</f>
        <v>316.92</v>
      </c>
      <c r="L269" s="67">
        <f>(F269+G269+J269+K269)*$L$5</f>
        <v>167.9676</v>
      </c>
      <c r="M269" s="70">
        <f t="shared" si="239"/>
        <v>8650.3314</v>
      </c>
      <c r="N269" s="71"/>
      <c r="O269" s="67">
        <f>M269*E269</f>
        <v>34601.3256</v>
      </c>
      <c r="P269" s="69"/>
      <c r="Q269" s="72"/>
      <c r="R269" s="46">
        <f>E269*M269</f>
        <v>34601.3256</v>
      </c>
      <c r="S269" s="46">
        <f>F269+G269+J269+K269+L269</f>
        <v>5766.8876</v>
      </c>
      <c r="T269" s="46" t="b">
        <f>O269=R269</f>
        <v>1</v>
      </c>
      <c r="U269" s="46" t="b">
        <f>M269=S269</f>
        <v>0</v>
      </c>
    </row>
    <row r="270" s="63" customFormat="1" ht="25" customHeight="1" outlineLevel="1" spans="1:21">
      <c r="A270" s="32"/>
      <c r="B270" s="32" t="s">
        <v>317</v>
      </c>
      <c r="C270" s="32"/>
      <c r="D270" s="32"/>
      <c r="E270" s="32"/>
      <c r="F270" s="66"/>
      <c r="G270" s="48"/>
      <c r="H270" s="66"/>
      <c r="I270" s="49"/>
      <c r="J270" s="48"/>
      <c r="K270" s="48"/>
      <c r="L270" s="48"/>
      <c r="M270" s="70"/>
      <c r="N270" s="71"/>
      <c r="O270" s="48"/>
      <c r="P270" s="69"/>
      <c r="Q270" s="72"/>
      <c r="R270" s="46">
        <f>E270*M270</f>
        <v>0</v>
      </c>
      <c r="S270" s="46">
        <f>F270+G270+J270+K270+L270</f>
        <v>0</v>
      </c>
      <c r="T270" s="46" t="b">
        <f>O270=R270</f>
        <v>1</v>
      </c>
      <c r="U270" s="46" t="b">
        <f>M270=S270</f>
        <v>1</v>
      </c>
    </row>
    <row r="271" s="63" customFormat="1" ht="44" customHeight="1" outlineLevel="1" spans="1:21">
      <c r="A271" s="32">
        <v>218</v>
      </c>
      <c r="B271" s="32" t="s">
        <v>315</v>
      </c>
      <c r="C271" s="32" t="s">
        <v>318</v>
      </c>
      <c r="D271" s="32" t="s">
        <v>96</v>
      </c>
      <c r="E271" s="32">
        <v>6</v>
      </c>
      <c r="F271" s="66">
        <f t="shared" ref="F271:J271" si="240">F269</f>
        <v>1500</v>
      </c>
      <c r="G271" s="67">
        <f>H271*(1+I271)</f>
        <v>2424</v>
      </c>
      <c r="H271" s="68">
        <f>H269-800</f>
        <v>2400</v>
      </c>
      <c r="I271" s="54">
        <f t="shared" si="240"/>
        <v>0.01</v>
      </c>
      <c r="J271" s="67">
        <f t="shared" si="240"/>
        <v>550</v>
      </c>
      <c r="K271" s="67">
        <f>(F271+G271+J271)*$K$5</f>
        <v>268.44</v>
      </c>
      <c r="L271" s="67">
        <f>(F271+G271+J271+K271)*$L$5</f>
        <v>142.2732</v>
      </c>
      <c r="M271" s="70">
        <f t="shared" si="239"/>
        <v>7327.0698</v>
      </c>
      <c r="N271" s="71"/>
      <c r="O271" s="67">
        <f>M271*E271</f>
        <v>43962.4188</v>
      </c>
      <c r="P271" s="69"/>
      <c r="Q271" s="72"/>
      <c r="R271" s="46">
        <f>E271*M271</f>
        <v>43962.4188</v>
      </c>
      <c r="S271" s="46">
        <f>F271+G271+J271+K271+L271</f>
        <v>4884.7132</v>
      </c>
      <c r="T271" s="46" t="b">
        <f>O271=R271</f>
        <v>1</v>
      </c>
      <c r="U271" s="46" t="b">
        <f>M271=S271</f>
        <v>0</v>
      </c>
    </row>
    <row r="272" s="63" customFormat="1" ht="27" customHeight="1" outlineLevel="1" spans="1:21">
      <c r="A272" s="32"/>
      <c r="B272" s="32" t="s">
        <v>319</v>
      </c>
      <c r="C272" s="32"/>
      <c r="D272" s="32"/>
      <c r="E272" s="32"/>
      <c r="F272" s="66"/>
      <c r="G272" s="48"/>
      <c r="H272" s="66"/>
      <c r="I272" s="49"/>
      <c r="J272" s="48"/>
      <c r="K272" s="48"/>
      <c r="L272" s="48"/>
      <c r="M272" s="70"/>
      <c r="N272" s="71"/>
      <c r="O272" s="48"/>
      <c r="P272" s="69"/>
      <c r="Q272" s="72"/>
      <c r="R272" s="46">
        <f>E272*M272</f>
        <v>0</v>
      </c>
      <c r="S272" s="46">
        <f>F272+G272+J272+K272+L272</f>
        <v>0</v>
      </c>
      <c r="T272" s="46" t="b">
        <f>O272=R272</f>
        <v>1</v>
      </c>
      <c r="U272" s="46" t="b">
        <f>M272=S272</f>
        <v>1</v>
      </c>
    </row>
    <row r="273" s="63" customFormat="1" ht="65" customHeight="1" outlineLevel="1" spans="1:21">
      <c r="A273" s="51">
        <v>219</v>
      </c>
      <c r="B273" s="51" t="s">
        <v>315</v>
      </c>
      <c r="C273" s="51" t="s">
        <v>320</v>
      </c>
      <c r="D273" s="51" t="s">
        <v>96</v>
      </c>
      <c r="E273" s="51">
        <v>1</v>
      </c>
      <c r="F273" s="68">
        <f t="shared" ref="F273:J273" si="241">F269</f>
        <v>1500</v>
      </c>
      <c r="G273" s="67">
        <f>H273*(1+I273)</f>
        <v>3232</v>
      </c>
      <c r="H273" s="68">
        <f t="shared" si="241"/>
        <v>3200</v>
      </c>
      <c r="I273" s="54">
        <f t="shared" si="241"/>
        <v>0.01</v>
      </c>
      <c r="J273" s="67">
        <f t="shared" si="241"/>
        <v>550</v>
      </c>
      <c r="K273" s="67">
        <f>(F273+G273+J273)*$K$5</f>
        <v>316.92</v>
      </c>
      <c r="L273" s="67">
        <f>(F273+G273+J273+K273)*$L$5</f>
        <v>167.9676</v>
      </c>
      <c r="M273" s="70">
        <f t="shared" si="239"/>
        <v>8650.3314</v>
      </c>
      <c r="N273" s="71"/>
      <c r="O273" s="67">
        <f>M273*E273</f>
        <v>8650.3314</v>
      </c>
      <c r="P273" s="75"/>
      <c r="Q273" s="72"/>
      <c r="R273" s="46">
        <f>E273*M273</f>
        <v>8650.3314</v>
      </c>
      <c r="S273" s="46">
        <f>F273+G273+J273+K273+L273</f>
        <v>5766.8876</v>
      </c>
      <c r="T273" s="46" t="b">
        <f>O273=R273</f>
        <v>1</v>
      </c>
      <c r="U273" s="46" t="b">
        <f>M273=S273</f>
        <v>0</v>
      </c>
    </row>
    <row r="274" s="63" customFormat="1" customHeight="1" outlineLevel="1" spans="1:21">
      <c r="A274" s="32"/>
      <c r="B274" s="32" t="s">
        <v>321</v>
      </c>
      <c r="C274" s="32"/>
      <c r="D274" s="32"/>
      <c r="E274" s="32"/>
      <c r="F274" s="66"/>
      <c r="G274" s="48"/>
      <c r="H274" s="66"/>
      <c r="I274" s="49"/>
      <c r="J274" s="48"/>
      <c r="K274" s="48"/>
      <c r="L274" s="48"/>
      <c r="M274" s="70"/>
      <c r="N274" s="71"/>
      <c r="O274" s="48"/>
      <c r="P274" s="69"/>
      <c r="Q274" s="72"/>
      <c r="R274" s="46">
        <f>E274*M274</f>
        <v>0</v>
      </c>
      <c r="S274" s="46">
        <f>F274+G274+J274+K274+L274</f>
        <v>0</v>
      </c>
      <c r="T274" s="46" t="b">
        <f>O274=R274</f>
        <v>1</v>
      </c>
      <c r="U274" s="46" t="b">
        <f>M274=S274</f>
        <v>1</v>
      </c>
    </row>
    <row r="275" s="21" customFormat="1" ht="53" customHeight="1" outlineLevel="1" spans="1:21">
      <c r="A275" s="51">
        <v>220</v>
      </c>
      <c r="B275" s="51" t="s">
        <v>315</v>
      </c>
      <c r="C275" s="51" t="s">
        <v>322</v>
      </c>
      <c r="D275" s="51" t="s">
        <v>96</v>
      </c>
      <c r="E275" s="51">
        <v>1</v>
      </c>
      <c r="F275" s="66">
        <f>F273*1.65</f>
        <v>2475</v>
      </c>
      <c r="G275" s="48">
        <f>H275*(1+I275)</f>
        <v>5332.8</v>
      </c>
      <c r="H275" s="66">
        <f>H273*1.65</f>
        <v>5280</v>
      </c>
      <c r="I275" s="49">
        <f>I273</f>
        <v>0.01</v>
      </c>
      <c r="J275" s="48">
        <f>J273*1.6</f>
        <v>880</v>
      </c>
      <c r="K275" s="48">
        <f>(F275+G275+J275)*$K$5</f>
        <v>521.268</v>
      </c>
      <c r="L275" s="48">
        <f>(F275+G275+J275+K275)*$L$5</f>
        <v>276.27204</v>
      </c>
      <c r="M275" s="70">
        <f t="shared" si="239"/>
        <v>14228.01006</v>
      </c>
      <c r="N275" s="71"/>
      <c r="O275" s="48">
        <f>M275*E275</f>
        <v>14228.01006</v>
      </c>
      <c r="P275" s="69"/>
      <c r="Q275" s="72"/>
      <c r="R275" s="46">
        <f>E275*M275</f>
        <v>14228.01006</v>
      </c>
      <c r="S275" s="46">
        <f>F275+G275+J275+K275+L275</f>
        <v>9485.34004</v>
      </c>
      <c r="T275" s="46" t="b">
        <f>O275=R275</f>
        <v>1</v>
      </c>
      <c r="U275" s="46" t="b">
        <f>M275=S275</f>
        <v>0</v>
      </c>
    </row>
    <row r="276" s="21" customFormat="1" customHeight="1" outlineLevel="1" spans="1:21">
      <c r="A276" s="32"/>
      <c r="B276" s="32" t="s">
        <v>137</v>
      </c>
      <c r="C276" s="32"/>
      <c r="D276" s="32"/>
      <c r="E276" s="32"/>
      <c r="F276" s="66"/>
      <c r="G276" s="48"/>
      <c r="H276" s="66"/>
      <c r="I276" s="49"/>
      <c r="J276" s="48"/>
      <c r="K276" s="48"/>
      <c r="L276" s="48"/>
      <c r="M276" s="70"/>
      <c r="N276" s="71"/>
      <c r="O276" s="48"/>
      <c r="P276" s="69"/>
      <c r="Q276" s="72"/>
      <c r="R276" s="46">
        <f>E276*M276</f>
        <v>0</v>
      </c>
      <c r="S276" s="46">
        <f>F276+G276+J276+K276+L276</f>
        <v>0</v>
      </c>
      <c r="T276" s="46" t="b">
        <f>O276=R276</f>
        <v>1</v>
      </c>
      <c r="U276" s="46" t="b">
        <f>M276=S276</f>
        <v>1</v>
      </c>
    </row>
    <row r="277" s="21" customFormat="1" ht="59" customHeight="1" outlineLevel="1" spans="1:21">
      <c r="A277" s="51">
        <v>221</v>
      </c>
      <c r="B277" s="51" t="s">
        <v>137</v>
      </c>
      <c r="C277" s="51" t="s">
        <v>323</v>
      </c>
      <c r="D277" s="51" t="s">
        <v>102</v>
      </c>
      <c r="E277" s="51">
        <v>13.2</v>
      </c>
      <c r="F277" s="80">
        <v>850</v>
      </c>
      <c r="G277" s="31">
        <f>H277*(1+I277)</f>
        <v>3838</v>
      </c>
      <c r="H277" s="80">
        <v>3800</v>
      </c>
      <c r="I277" s="49">
        <v>0.01</v>
      </c>
      <c r="J277" s="31">
        <v>850</v>
      </c>
      <c r="K277" s="31">
        <f>(F277+G277+J277)*$K$5</f>
        <v>332.28</v>
      </c>
      <c r="L277" s="31">
        <f>(F277+G277+J277+K277)*$L$5</f>
        <v>176.1084</v>
      </c>
      <c r="M277" s="70">
        <f t="shared" si="239"/>
        <v>9069.5826</v>
      </c>
      <c r="N277" s="71"/>
      <c r="O277" s="31">
        <f>M277*E277</f>
        <v>119718.49032</v>
      </c>
      <c r="P277" s="31"/>
      <c r="Q277" s="72"/>
      <c r="R277" s="46">
        <f>E277*M277</f>
        <v>119718.49032</v>
      </c>
      <c r="S277" s="46">
        <f>F277+G277+J277+K277+L277</f>
        <v>6046.3884</v>
      </c>
      <c r="T277" s="46" t="b">
        <f>O277=R277</f>
        <v>1</v>
      </c>
      <c r="U277" s="46" t="b">
        <f>M277=S277</f>
        <v>0</v>
      </c>
    </row>
    <row r="278" s="21" customFormat="1" ht="34" customHeight="1" spans="1:21">
      <c r="A278" s="30">
        <v>222</v>
      </c>
      <c r="B278" s="32" t="s">
        <v>77</v>
      </c>
      <c r="C278" s="32" t="s">
        <v>324</v>
      </c>
      <c r="D278" s="32" t="s">
        <v>67</v>
      </c>
      <c r="E278" s="32">
        <v>103.75</v>
      </c>
      <c r="F278" s="32">
        <v>95</v>
      </c>
      <c r="G278" s="32">
        <f>H278*(1+I278)</f>
        <v>48.6</v>
      </c>
      <c r="H278" s="32">
        <v>45</v>
      </c>
      <c r="I278" s="81">
        <f>I76</f>
        <v>0.08</v>
      </c>
      <c r="J278" s="32">
        <v>45</v>
      </c>
      <c r="K278" s="48">
        <f>(F278+G278+J278)*$K$5</f>
        <v>11.316</v>
      </c>
      <c r="L278" s="48">
        <f>(F278+G278+J278+K278)*$L$5</f>
        <v>5.99748</v>
      </c>
      <c r="M278" s="70">
        <f t="shared" si="239"/>
        <v>308.87022</v>
      </c>
      <c r="N278" s="71"/>
      <c r="O278" s="48">
        <f>M278*E278</f>
        <v>32045.285325</v>
      </c>
      <c r="P278" s="32" t="s">
        <v>325</v>
      </c>
      <c r="Q278" s="72"/>
      <c r="R278" s="46">
        <f>E278*M278</f>
        <v>32045.285325</v>
      </c>
      <c r="S278" s="46">
        <f>F278+G278+J278+K278+L278</f>
        <v>205.91348</v>
      </c>
      <c r="T278" s="46" t="b">
        <f>O278=R278</f>
        <v>1</v>
      </c>
      <c r="U278" s="46" t="b">
        <f>M278=S278</f>
        <v>0</v>
      </c>
    </row>
    <row r="279" s="21" customFormat="1" ht="57" customHeight="1" spans="1:21">
      <c r="A279" s="30">
        <v>223</v>
      </c>
      <c r="B279" s="32" t="s">
        <v>77</v>
      </c>
      <c r="C279" s="32" t="s">
        <v>326</v>
      </c>
      <c r="D279" s="32" t="s">
        <v>67</v>
      </c>
      <c r="E279" s="32">
        <v>2.22</v>
      </c>
      <c r="F279" s="32">
        <f>F278</f>
        <v>95</v>
      </c>
      <c r="G279" s="32">
        <f>H279*(1+I279)</f>
        <v>48.6</v>
      </c>
      <c r="H279" s="32">
        <f>H278</f>
        <v>45</v>
      </c>
      <c r="I279" s="81">
        <f>I278</f>
        <v>0.08</v>
      </c>
      <c r="J279" s="32">
        <f>J278</f>
        <v>45</v>
      </c>
      <c r="K279" s="48">
        <f>(F279+G279+J279)*$K$5</f>
        <v>11.316</v>
      </c>
      <c r="L279" s="48">
        <f>(F279+G279+J279+K279)*$L$5</f>
        <v>5.99748</v>
      </c>
      <c r="M279" s="70">
        <f t="shared" si="239"/>
        <v>308.87022</v>
      </c>
      <c r="N279" s="71"/>
      <c r="O279" s="48">
        <f>M279*E279</f>
        <v>685.6918884</v>
      </c>
      <c r="P279" s="32" t="s">
        <v>325</v>
      </c>
      <c r="Q279" s="72"/>
      <c r="R279" s="46">
        <f>E279*M279</f>
        <v>685.6918884</v>
      </c>
      <c r="S279" s="46">
        <f>F279+G279+J279+K279+L279</f>
        <v>205.91348</v>
      </c>
      <c r="T279" s="46" t="b">
        <f>O279=R279</f>
        <v>1</v>
      </c>
      <c r="U279" s="46" t="b">
        <f>M279=S279</f>
        <v>0</v>
      </c>
    </row>
    <row r="280" s="21" customFormat="1" customHeight="1" spans="1:21">
      <c r="A280" s="30"/>
      <c r="B280" s="32"/>
      <c r="C280" s="32" t="s">
        <v>327</v>
      </c>
      <c r="D280" s="32"/>
      <c r="E280" s="32"/>
      <c r="F280" s="32"/>
      <c r="G280" s="32"/>
      <c r="H280" s="32"/>
      <c r="I280" s="32"/>
      <c r="J280" s="32"/>
      <c r="K280" s="32"/>
      <c r="L280" s="32"/>
      <c r="M280" s="32"/>
      <c r="N280" s="32"/>
      <c r="O280" s="32">
        <f>SUM(O7:O279)</f>
        <v>4379892.67941705</v>
      </c>
      <c r="P280" s="32"/>
      <c r="Q280" s="72"/>
      <c r="R280" s="46">
        <f>SUM(R7:R279)</f>
        <v>4379892.67941705</v>
      </c>
      <c r="S280" s="46"/>
      <c r="T280" s="46"/>
      <c r="U280" s="46"/>
    </row>
    <row r="281" s="21" customFormat="1" ht="24" customHeight="1" spans="1:21">
      <c r="A281" s="35" t="s">
        <v>328</v>
      </c>
      <c r="B281" s="36" t="s">
        <v>329</v>
      </c>
      <c r="C281" s="36"/>
      <c r="D281" s="36"/>
      <c r="E281" s="36"/>
      <c r="F281" s="36"/>
      <c r="G281" s="36"/>
      <c r="H281" s="36"/>
      <c r="I281" s="36"/>
      <c r="J281" s="36"/>
      <c r="K281" s="36"/>
      <c r="L281" s="36"/>
      <c r="M281" s="36"/>
      <c r="N281" s="36"/>
      <c r="O281" s="36"/>
      <c r="P281" s="36"/>
      <c r="Q281" s="72"/>
      <c r="R281" s="46"/>
      <c r="S281" s="46"/>
      <c r="T281" s="46"/>
      <c r="U281" s="46"/>
    </row>
  </sheetData>
  <autoFilter ref="A5:Q281">
    <extLst/>
  </autoFilter>
  <mergeCells count="288">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M130:N130"/>
    <mergeCell ref="M131:N131"/>
    <mergeCell ref="M132:N132"/>
    <mergeCell ref="M133:N133"/>
    <mergeCell ref="M134:N134"/>
    <mergeCell ref="M135:N135"/>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1:N191"/>
    <mergeCell ref="M192:N192"/>
    <mergeCell ref="M193:N193"/>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2:N212"/>
    <mergeCell ref="M213:N213"/>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26:N226"/>
    <mergeCell ref="M227:N227"/>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M244:N244"/>
    <mergeCell ref="M245:N245"/>
    <mergeCell ref="M246:N246"/>
    <mergeCell ref="M247:N247"/>
    <mergeCell ref="M248:N248"/>
    <mergeCell ref="M249:N249"/>
    <mergeCell ref="M250:N250"/>
    <mergeCell ref="M251:N251"/>
    <mergeCell ref="M252:N252"/>
    <mergeCell ref="M253:N253"/>
    <mergeCell ref="M254:N254"/>
    <mergeCell ref="M255:N255"/>
    <mergeCell ref="M256:N256"/>
    <mergeCell ref="M257:N257"/>
    <mergeCell ref="M258:N258"/>
    <mergeCell ref="M259:N259"/>
    <mergeCell ref="M260:N260"/>
    <mergeCell ref="M261:N261"/>
    <mergeCell ref="M262:N262"/>
    <mergeCell ref="M264:N264"/>
    <mergeCell ref="M265:N265"/>
    <mergeCell ref="M266:N266"/>
    <mergeCell ref="M267:N267"/>
    <mergeCell ref="M268:N268"/>
    <mergeCell ref="M269:N269"/>
    <mergeCell ref="M270:N270"/>
    <mergeCell ref="M271:N271"/>
    <mergeCell ref="M272:N272"/>
    <mergeCell ref="M273:N273"/>
    <mergeCell ref="M274:N274"/>
    <mergeCell ref="M275:N275"/>
    <mergeCell ref="M276:N276"/>
    <mergeCell ref="M277:N277"/>
    <mergeCell ref="M278:N278"/>
    <mergeCell ref="M279:N279"/>
    <mergeCell ref="B281:P281"/>
    <mergeCell ref="A3:A5"/>
    <mergeCell ref="B3:B5"/>
    <mergeCell ref="C3:C5"/>
    <mergeCell ref="D3:D5"/>
    <mergeCell ref="E3:E5"/>
    <mergeCell ref="F4:F5"/>
    <mergeCell ref="J4:J5"/>
    <mergeCell ref="O3:O5"/>
    <mergeCell ref="P3:P5"/>
    <mergeCell ref="M3:N5"/>
  </mergeCells>
  <pageMargins left="0.751388888888889" right="0.66875" top="0.786805555555556" bottom="0.66875" header="0.5" footer="0.5"/>
  <pageSetup paperSize="9" scale="92"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0"/>
  <sheetViews>
    <sheetView zoomScale="115" zoomScaleNormal="115" topLeftCell="A219" workbookViewId="0">
      <selection activeCell="M154" sqref="M154:N154"/>
    </sheetView>
  </sheetViews>
  <sheetFormatPr defaultColWidth="9" defaultRowHeight="11.25"/>
  <cols>
    <col min="1" max="1" width="6.14285714285714" style="46" customWidth="1"/>
    <col min="2" max="2" width="8.28571428571429" style="46" customWidth="1"/>
    <col min="3" max="3" width="21" style="46" customWidth="1"/>
    <col min="4" max="4" width="6.42857142857143" style="46" customWidth="1"/>
    <col min="5" max="5" width="6.71428571428571" style="46" customWidth="1"/>
    <col min="6" max="6" width="7" style="46" customWidth="1"/>
    <col min="7" max="7" width="8.66666666666667" style="46" customWidth="1"/>
    <col min="8" max="8" width="9.14285714285714" style="46" customWidth="1"/>
    <col min="9" max="9" width="7.57142857142857" style="46" customWidth="1"/>
    <col min="10" max="10" width="9" style="47" customWidth="1"/>
    <col min="11" max="11" width="10.4285714285714" style="47" customWidth="1"/>
    <col min="12" max="12" width="9.85714285714286" style="47" customWidth="1"/>
    <col min="13" max="13" width="0.333333333333333" style="46" customWidth="1"/>
    <col min="14" max="14" width="11.7142857142857" style="46" customWidth="1"/>
    <col min="15" max="15" width="9.14285714285714" style="46" customWidth="1"/>
    <col min="16" max="16" width="5.42857142857143" style="46" customWidth="1"/>
    <col min="17" max="17" width="9" style="46"/>
    <col min="18" max="19" width="11" style="46"/>
    <col min="20" max="16384" width="9" style="46"/>
  </cols>
  <sheetData>
    <row r="1" s="46" customFormat="1" ht="25.5" spans="1:16">
      <c r="A1" s="25" t="s">
        <v>44</v>
      </c>
      <c r="B1" s="25"/>
      <c r="C1" s="25"/>
      <c r="D1" s="25"/>
      <c r="E1" s="25"/>
      <c r="F1" s="25"/>
      <c r="G1" s="25"/>
      <c r="H1" s="25"/>
      <c r="I1" s="25"/>
      <c r="J1" s="25"/>
      <c r="K1" s="25"/>
      <c r="L1" s="25"/>
      <c r="M1" s="25"/>
      <c r="N1" s="25"/>
      <c r="O1" s="25"/>
      <c r="P1" s="25"/>
    </row>
    <row r="2" s="46" customFormat="1" spans="1:16">
      <c r="A2" s="27" t="s">
        <v>330</v>
      </c>
      <c r="B2" s="27"/>
      <c r="C2" s="27"/>
      <c r="D2" s="27"/>
      <c r="E2" s="27"/>
      <c r="F2" s="27"/>
      <c r="G2" s="27"/>
      <c r="H2" s="27"/>
      <c r="I2" s="27"/>
      <c r="J2" s="39"/>
      <c r="K2" s="39"/>
      <c r="L2" s="39"/>
      <c r="M2" s="27"/>
      <c r="N2" s="27"/>
      <c r="O2" s="27"/>
      <c r="P2" s="27"/>
    </row>
    <row r="3" s="46" customFormat="1" spans="1:16">
      <c r="A3" s="32" t="s">
        <v>46</v>
      </c>
      <c r="B3" s="32" t="s">
        <v>47</v>
      </c>
      <c r="C3" s="32" t="s">
        <v>48</v>
      </c>
      <c r="D3" s="32" t="s">
        <v>25</v>
      </c>
      <c r="E3" s="32" t="s">
        <v>49</v>
      </c>
      <c r="F3" s="32" t="s">
        <v>50</v>
      </c>
      <c r="G3" s="32"/>
      <c r="H3" s="32"/>
      <c r="I3" s="32"/>
      <c r="J3" s="30"/>
      <c r="K3" s="30"/>
      <c r="L3" s="30"/>
      <c r="M3" s="32" t="s">
        <v>51</v>
      </c>
      <c r="N3" s="32"/>
      <c r="O3" s="32" t="s">
        <v>52</v>
      </c>
      <c r="P3" s="32" t="s">
        <v>53</v>
      </c>
    </row>
    <row r="4" s="46" customFormat="1" ht="45" spans="1:16">
      <c r="A4" s="32"/>
      <c r="B4" s="32"/>
      <c r="C4" s="32"/>
      <c r="D4" s="32"/>
      <c r="E4" s="32"/>
      <c r="F4" s="32" t="s">
        <v>54</v>
      </c>
      <c r="G4" s="32" t="s">
        <v>55</v>
      </c>
      <c r="H4" s="32" t="s">
        <v>56</v>
      </c>
      <c r="I4" s="32" t="s">
        <v>57</v>
      </c>
      <c r="J4" s="30" t="s">
        <v>58</v>
      </c>
      <c r="K4" s="30" t="s">
        <v>59</v>
      </c>
      <c r="L4" s="30" t="s">
        <v>60</v>
      </c>
      <c r="M4" s="32"/>
      <c r="N4" s="32"/>
      <c r="O4" s="32"/>
      <c r="P4" s="32"/>
    </row>
    <row r="5" s="46" customFormat="1" ht="22.5" spans="1:16">
      <c r="A5" s="32"/>
      <c r="B5" s="32"/>
      <c r="C5" s="32"/>
      <c r="D5" s="32"/>
      <c r="E5" s="32"/>
      <c r="F5" s="32"/>
      <c r="G5" s="32" t="s">
        <v>61</v>
      </c>
      <c r="H5" s="32" t="s">
        <v>62</v>
      </c>
      <c r="I5" s="32" t="s">
        <v>63</v>
      </c>
      <c r="J5" s="30"/>
      <c r="K5" s="49">
        <f>'02、装饰工程'!K5</f>
        <v>0.06</v>
      </c>
      <c r="L5" s="49">
        <f>'02、装饰工程'!L5</f>
        <v>0.03</v>
      </c>
      <c r="M5" s="32"/>
      <c r="N5" s="32"/>
      <c r="O5" s="32"/>
      <c r="P5" s="32"/>
    </row>
    <row r="6" s="46" customFormat="1" spans="1:16">
      <c r="A6" s="32"/>
      <c r="B6" s="32" t="s">
        <v>36</v>
      </c>
      <c r="C6" s="32"/>
      <c r="D6" s="32"/>
      <c r="E6" s="32"/>
      <c r="F6" s="32"/>
      <c r="G6" s="32"/>
      <c r="H6" s="32"/>
      <c r="I6" s="32"/>
      <c r="J6" s="30"/>
      <c r="K6" s="30"/>
      <c r="L6" s="30"/>
      <c r="M6" s="32">
        <f>SUM(O7:O151)</f>
        <v>763201.171371921</v>
      </c>
      <c r="N6" s="32"/>
      <c r="O6" s="32"/>
      <c r="P6" s="32"/>
    </row>
    <row r="7" s="46" customFormat="1" spans="1:16">
      <c r="A7" s="32"/>
      <c r="B7" s="32" t="s">
        <v>331</v>
      </c>
      <c r="C7" s="32"/>
      <c r="D7" s="32"/>
      <c r="E7" s="32"/>
      <c r="F7" s="32"/>
      <c r="G7" s="32"/>
      <c r="H7" s="32"/>
      <c r="I7" s="32"/>
      <c r="J7" s="30"/>
      <c r="K7" s="30"/>
      <c r="L7" s="30"/>
      <c r="M7" s="32"/>
      <c r="N7" s="32"/>
      <c r="O7" s="32"/>
      <c r="P7" s="32"/>
    </row>
    <row r="8" s="46" customFormat="1" ht="45" outlineLevel="1" spans="1:21">
      <c r="A8" s="32">
        <v>1</v>
      </c>
      <c r="B8" s="32" t="s">
        <v>332</v>
      </c>
      <c r="C8" s="32" t="s">
        <v>333</v>
      </c>
      <c r="D8" s="32" t="s">
        <v>334</v>
      </c>
      <c r="E8" s="32">
        <v>1</v>
      </c>
      <c r="F8" s="32">
        <v>200</v>
      </c>
      <c r="G8" s="48">
        <f t="shared" ref="G8:G27" si="0">H8*(1+I8)</f>
        <v>2222</v>
      </c>
      <c r="H8" s="48">
        <v>2200</v>
      </c>
      <c r="I8" s="49">
        <v>0.01</v>
      </c>
      <c r="J8" s="31">
        <v>50</v>
      </c>
      <c r="K8" s="31">
        <f>(F8+G8+J8)*$K$5</f>
        <v>148.32</v>
      </c>
      <c r="L8" s="31">
        <f>(F8+G8+J8+K8)*$L$5</f>
        <v>78.6096</v>
      </c>
      <c r="M8" s="48">
        <f>(F8+G8+J8+K8+L8)*1.5</f>
        <v>4048.3944</v>
      </c>
      <c r="N8" s="48"/>
      <c r="O8" s="48">
        <f t="shared" ref="O8:O42" si="1">M8*E8</f>
        <v>4048.3944</v>
      </c>
      <c r="P8" s="32"/>
      <c r="R8" s="46">
        <f>E8*M8</f>
        <v>4048.3944</v>
      </c>
      <c r="S8" s="46">
        <f>F8+G8+J8+K8+L8</f>
        <v>2698.9296</v>
      </c>
      <c r="T8" s="46" t="b">
        <f>M8=S8</f>
        <v>0</v>
      </c>
      <c r="U8" s="46" t="b">
        <f>R8=O8</f>
        <v>1</v>
      </c>
    </row>
    <row r="9" s="46" customFormat="1" ht="56.25" outlineLevel="1" spans="1:21">
      <c r="A9" s="32">
        <v>2</v>
      </c>
      <c r="B9" s="32" t="s">
        <v>332</v>
      </c>
      <c r="C9" s="32" t="s">
        <v>335</v>
      </c>
      <c r="D9" s="32" t="s">
        <v>334</v>
      </c>
      <c r="E9" s="32">
        <v>1</v>
      </c>
      <c r="F9" s="32">
        <f t="shared" ref="F9:J9" si="2">F8</f>
        <v>200</v>
      </c>
      <c r="G9" s="48">
        <f t="shared" si="0"/>
        <v>3232</v>
      </c>
      <c r="H9" s="48">
        <v>3200</v>
      </c>
      <c r="I9" s="49">
        <f t="shared" si="2"/>
        <v>0.01</v>
      </c>
      <c r="J9" s="31">
        <f t="shared" si="2"/>
        <v>50</v>
      </c>
      <c r="K9" s="31">
        <f>(F9+G9+J9)*$K$5</f>
        <v>208.92</v>
      </c>
      <c r="L9" s="31">
        <f>(F9+G9+J9+K9)*$L$5</f>
        <v>110.7276</v>
      </c>
      <c r="M9" s="48">
        <f t="shared" ref="M9:M40" si="3">(F9+G9+J9+K9+L9)*1.5</f>
        <v>5702.4714</v>
      </c>
      <c r="N9" s="48"/>
      <c r="O9" s="48">
        <f t="shared" si="1"/>
        <v>5702.4714</v>
      </c>
      <c r="P9" s="32"/>
      <c r="R9" s="46">
        <f t="shared" ref="R9:R72" si="4">E9*M9</f>
        <v>5702.4714</v>
      </c>
      <c r="S9" s="46">
        <f t="shared" ref="S9:S72" si="5">F9+G9+J9+K9+L9</f>
        <v>3801.6476</v>
      </c>
      <c r="T9" s="46" t="b">
        <f t="shared" ref="T9:T72" si="6">M9=S9</f>
        <v>0</v>
      </c>
      <c r="U9" s="46" t="b">
        <f t="shared" ref="U9:U72" si="7">R9=O9</f>
        <v>1</v>
      </c>
    </row>
    <row r="10" s="46" customFormat="1" ht="56.25" outlineLevel="1" spans="1:21">
      <c r="A10" s="32">
        <v>3</v>
      </c>
      <c r="B10" s="32" t="s">
        <v>336</v>
      </c>
      <c r="C10" s="32" t="s">
        <v>337</v>
      </c>
      <c r="D10" s="32" t="s">
        <v>102</v>
      </c>
      <c r="E10" s="32">
        <v>7.54</v>
      </c>
      <c r="F10" s="32">
        <v>25</v>
      </c>
      <c r="G10" s="48">
        <f t="shared" si="0"/>
        <v>25.5</v>
      </c>
      <c r="H10" s="48">
        <v>25</v>
      </c>
      <c r="I10" s="49">
        <v>0.02</v>
      </c>
      <c r="J10" s="31">
        <v>6</v>
      </c>
      <c r="K10" s="31">
        <f>(F10+G10+J10)*$K$5</f>
        <v>3.39</v>
      </c>
      <c r="L10" s="31">
        <f>(F10+G10+J10+K10)*$L$5</f>
        <v>1.7967</v>
      </c>
      <c r="M10" s="48">
        <f t="shared" si="3"/>
        <v>92.53005</v>
      </c>
      <c r="N10" s="48"/>
      <c r="O10" s="48">
        <f t="shared" si="1"/>
        <v>697.676577</v>
      </c>
      <c r="P10" s="32"/>
      <c r="R10" s="46">
        <f t="shared" si="4"/>
        <v>697.676577</v>
      </c>
      <c r="S10" s="46">
        <f t="shared" si="5"/>
        <v>61.6867</v>
      </c>
      <c r="T10" s="46" t="b">
        <f t="shared" si="6"/>
        <v>0</v>
      </c>
      <c r="U10" s="46" t="b">
        <f t="shared" si="7"/>
        <v>1</v>
      </c>
    </row>
    <row r="11" s="46" customFormat="1" ht="56.25" outlineLevel="1" spans="1:21">
      <c r="A11" s="32">
        <v>4</v>
      </c>
      <c r="B11" s="32" t="s">
        <v>336</v>
      </c>
      <c r="C11" s="32" t="s">
        <v>338</v>
      </c>
      <c r="D11" s="32" t="s">
        <v>102</v>
      </c>
      <c r="E11" s="32">
        <v>105.39</v>
      </c>
      <c r="F11" s="32">
        <f>F10</f>
        <v>25</v>
      </c>
      <c r="G11" s="48">
        <f t="shared" si="0"/>
        <v>49.98</v>
      </c>
      <c r="H11" s="48">
        <v>49</v>
      </c>
      <c r="I11" s="49">
        <f>I10</f>
        <v>0.02</v>
      </c>
      <c r="J11" s="31">
        <v>8</v>
      </c>
      <c r="K11" s="31">
        <f>(F11+G11+J11)*$K$5</f>
        <v>4.9788</v>
      </c>
      <c r="L11" s="31">
        <f>(F11+G11+J11+K11)*$L$5</f>
        <v>2.638764</v>
      </c>
      <c r="M11" s="48">
        <f t="shared" si="3"/>
        <v>135.896346</v>
      </c>
      <c r="N11" s="48"/>
      <c r="O11" s="48">
        <f t="shared" si="1"/>
        <v>14322.11590494</v>
      </c>
      <c r="P11" s="32"/>
      <c r="R11" s="46">
        <f t="shared" si="4"/>
        <v>14322.11590494</v>
      </c>
      <c r="S11" s="46">
        <f t="shared" si="5"/>
        <v>90.597564</v>
      </c>
      <c r="T11" s="46" t="b">
        <f t="shared" si="6"/>
        <v>0</v>
      </c>
      <c r="U11" s="46" t="b">
        <f t="shared" si="7"/>
        <v>1</v>
      </c>
    </row>
    <row r="12" s="46" customFormat="1" ht="56.25" outlineLevel="1" spans="1:21">
      <c r="A12" s="32">
        <v>5</v>
      </c>
      <c r="B12" s="32" t="s">
        <v>336</v>
      </c>
      <c r="C12" s="32" t="s">
        <v>339</v>
      </c>
      <c r="D12" s="32" t="s">
        <v>102</v>
      </c>
      <c r="E12" s="32">
        <v>7.65</v>
      </c>
      <c r="F12" s="32">
        <v>30</v>
      </c>
      <c r="G12" s="48">
        <f t="shared" si="0"/>
        <v>66.3</v>
      </c>
      <c r="H12" s="48">
        <v>65</v>
      </c>
      <c r="I12" s="49">
        <f>I10</f>
        <v>0.02</v>
      </c>
      <c r="J12" s="31">
        <v>10</v>
      </c>
      <c r="K12" s="31">
        <f>(F12+G12+J12)*$K$5</f>
        <v>6.378</v>
      </c>
      <c r="L12" s="31">
        <f>(F12+G12+J12+K12)*$L$5</f>
        <v>3.38034</v>
      </c>
      <c r="M12" s="48">
        <f t="shared" si="3"/>
        <v>174.08751</v>
      </c>
      <c r="N12" s="48"/>
      <c r="O12" s="48">
        <f t="shared" si="1"/>
        <v>1331.7694515</v>
      </c>
      <c r="P12" s="32"/>
      <c r="R12" s="46">
        <f t="shared" si="4"/>
        <v>1331.7694515</v>
      </c>
      <c r="S12" s="46">
        <f t="shared" si="5"/>
        <v>116.05834</v>
      </c>
      <c r="T12" s="46" t="b">
        <f t="shared" si="6"/>
        <v>0</v>
      </c>
      <c r="U12" s="46" t="b">
        <f t="shared" si="7"/>
        <v>1</v>
      </c>
    </row>
    <row r="13" s="46" customFormat="1" ht="56.25" outlineLevel="1" spans="1:21">
      <c r="A13" s="32">
        <v>6</v>
      </c>
      <c r="B13" s="32" t="s">
        <v>336</v>
      </c>
      <c r="C13" s="32" t="s">
        <v>340</v>
      </c>
      <c r="D13" s="32" t="s">
        <v>102</v>
      </c>
      <c r="E13" s="32">
        <v>44.61</v>
      </c>
      <c r="F13" s="32">
        <v>36</v>
      </c>
      <c r="G13" s="48">
        <f t="shared" si="0"/>
        <v>168.3</v>
      </c>
      <c r="H13" s="48">
        <v>165</v>
      </c>
      <c r="I13" s="49">
        <f>I10</f>
        <v>0.02</v>
      </c>
      <c r="J13" s="31">
        <v>18</v>
      </c>
      <c r="K13" s="31">
        <f>(F13+G13+J13)*$K$5</f>
        <v>13.338</v>
      </c>
      <c r="L13" s="31">
        <f>(F13+G13+J13+K13)*$L$5</f>
        <v>7.06914</v>
      </c>
      <c r="M13" s="48">
        <f t="shared" si="3"/>
        <v>364.06071</v>
      </c>
      <c r="N13" s="48"/>
      <c r="O13" s="48">
        <f t="shared" si="1"/>
        <v>16240.7482731</v>
      </c>
      <c r="P13" s="32"/>
      <c r="R13" s="46">
        <f t="shared" si="4"/>
        <v>16240.7482731</v>
      </c>
      <c r="S13" s="46">
        <f t="shared" si="5"/>
        <v>242.70714</v>
      </c>
      <c r="T13" s="46" t="b">
        <f t="shared" si="6"/>
        <v>0</v>
      </c>
      <c r="U13" s="46" t="b">
        <f t="shared" si="7"/>
        <v>1</v>
      </c>
    </row>
    <row r="14" s="46" customFormat="1" ht="67.5" outlineLevel="1" spans="1:21">
      <c r="A14" s="32">
        <v>7</v>
      </c>
      <c r="B14" s="32" t="s">
        <v>341</v>
      </c>
      <c r="C14" s="32" t="s">
        <v>342</v>
      </c>
      <c r="D14" s="32" t="s">
        <v>343</v>
      </c>
      <c r="E14" s="32">
        <v>134.57</v>
      </c>
      <c r="F14" s="32">
        <v>4.6</v>
      </c>
      <c r="G14" s="48">
        <f t="shared" si="0"/>
        <v>5.04</v>
      </c>
      <c r="H14" s="48">
        <v>4.8</v>
      </c>
      <c r="I14" s="49">
        <v>0.05</v>
      </c>
      <c r="J14" s="31">
        <v>3</v>
      </c>
      <c r="K14" s="31">
        <f>(F14+G14+J14)*$K$5</f>
        <v>0.7584</v>
      </c>
      <c r="L14" s="31">
        <f>(F14+G14+J14+K14)*$L$5</f>
        <v>0.401952</v>
      </c>
      <c r="M14" s="48">
        <f t="shared" si="3"/>
        <v>20.700528</v>
      </c>
      <c r="N14" s="48"/>
      <c r="O14" s="48">
        <f t="shared" si="1"/>
        <v>2785.67005296</v>
      </c>
      <c r="P14" s="32"/>
      <c r="R14" s="46">
        <f t="shared" si="4"/>
        <v>2785.67005296</v>
      </c>
      <c r="S14" s="46">
        <f t="shared" si="5"/>
        <v>13.800352</v>
      </c>
      <c r="T14" s="46" t="b">
        <f t="shared" si="6"/>
        <v>0</v>
      </c>
      <c r="U14" s="46" t="b">
        <f t="shared" si="7"/>
        <v>1</v>
      </c>
    </row>
    <row r="15" s="46" customFormat="1" ht="56.25" outlineLevel="1" spans="1:21">
      <c r="A15" s="32">
        <v>8</v>
      </c>
      <c r="B15" s="32" t="s">
        <v>344</v>
      </c>
      <c r="C15" s="32" t="s">
        <v>345</v>
      </c>
      <c r="D15" s="32" t="s">
        <v>102</v>
      </c>
      <c r="E15" s="32">
        <v>931.43</v>
      </c>
      <c r="F15" s="32">
        <v>10</v>
      </c>
      <c r="G15" s="48">
        <f t="shared" si="0"/>
        <v>5.665</v>
      </c>
      <c r="H15" s="48">
        <v>5.5</v>
      </c>
      <c r="I15" s="49">
        <v>0.03</v>
      </c>
      <c r="J15" s="31">
        <v>2</v>
      </c>
      <c r="K15" s="31">
        <f>(F15+G15+J15)*$K$5</f>
        <v>1.0599</v>
      </c>
      <c r="L15" s="31">
        <f>(F15+G15+J15+K15)*$L$5</f>
        <v>0.561747</v>
      </c>
      <c r="M15" s="48">
        <f t="shared" si="3"/>
        <v>28.9299705</v>
      </c>
      <c r="N15" s="48"/>
      <c r="O15" s="48">
        <f t="shared" si="1"/>
        <v>26946.242422815</v>
      </c>
      <c r="P15" s="32" t="s">
        <v>346</v>
      </c>
      <c r="R15" s="46">
        <f t="shared" si="4"/>
        <v>26946.242422815</v>
      </c>
      <c r="S15" s="46">
        <f t="shared" si="5"/>
        <v>19.286647</v>
      </c>
      <c r="T15" s="46" t="b">
        <f t="shared" si="6"/>
        <v>0</v>
      </c>
      <c r="U15" s="46" t="b">
        <f t="shared" si="7"/>
        <v>1</v>
      </c>
    </row>
    <row r="16" s="46" customFormat="1" ht="56.25" outlineLevel="1" spans="1:21">
      <c r="A16" s="32">
        <v>9</v>
      </c>
      <c r="B16" s="32" t="s">
        <v>344</v>
      </c>
      <c r="C16" s="32" t="s">
        <v>347</v>
      </c>
      <c r="D16" s="32" t="s">
        <v>102</v>
      </c>
      <c r="E16" s="32">
        <v>406</v>
      </c>
      <c r="F16" s="32">
        <f t="shared" ref="F16:J16" si="8">F15</f>
        <v>10</v>
      </c>
      <c r="G16" s="48">
        <f t="shared" si="0"/>
        <v>5.665</v>
      </c>
      <c r="H16" s="48">
        <f t="shared" si="8"/>
        <v>5.5</v>
      </c>
      <c r="I16" s="49">
        <f t="shared" si="8"/>
        <v>0.03</v>
      </c>
      <c r="J16" s="31">
        <f t="shared" si="8"/>
        <v>2</v>
      </c>
      <c r="K16" s="31">
        <f>(F16+G16+J16)*$K$5</f>
        <v>1.0599</v>
      </c>
      <c r="L16" s="31">
        <f>(F16+G16+J16+K16)*$L$5</f>
        <v>0.561747</v>
      </c>
      <c r="M16" s="48">
        <f t="shared" si="3"/>
        <v>28.9299705</v>
      </c>
      <c r="N16" s="48"/>
      <c r="O16" s="48">
        <f t="shared" si="1"/>
        <v>11745.568023</v>
      </c>
      <c r="P16" s="32" t="s">
        <v>346</v>
      </c>
      <c r="R16" s="46">
        <f t="shared" si="4"/>
        <v>11745.568023</v>
      </c>
      <c r="S16" s="46">
        <f t="shared" si="5"/>
        <v>19.286647</v>
      </c>
      <c r="T16" s="46" t="b">
        <f t="shared" si="6"/>
        <v>0</v>
      </c>
      <c r="U16" s="46" t="b">
        <f t="shared" si="7"/>
        <v>1</v>
      </c>
    </row>
    <row r="17" s="46" customFormat="1" ht="56.25" outlineLevel="1" spans="1:21">
      <c r="A17" s="32">
        <v>10</v>
      </c>
      <c r="B17" s="32" t="s">
        <v>344</v>
      </c>
      <c r="C17" s="32" t="s">
        <v>348</v>
      </c>
      <c r="D17" s="32" t="s">
        <v>102</v>
      </c>
      <c r="E17" s="32">
        <v>230.52</v>
      </c>
      <c r="F17" s="32">
        <f t="shared" ref="F17:J17" si="9">F15</f>
        <v>10</v>
      </c>
      <c r="G17" s="48">
        <f t="shared" si="0"/>
        <v>8.858</v>
      </c>
      <c r="H17" s="48">
        <v>8.6</v>
      </c>
      <c r="I17" s="49">
        <f t="shared" si="9"/>
        <v>0.03</v>
      </c>
      <c r="J17" s="31">
        <f t="shared" si="9"/>
        <v>2</v>
      </c>
      <c r="K17" s="31">
        <f>(F17+G17+J17)*$K$5</f>
        <v>1.25148</v>
      </c>
      <c r="L17" s="31">
        <f>(F17+G17+J17+K17)*$L$5</f>
        <v>0.6632844</v>
      </c>
      <c r="M17" s="48">
        <f t="shared" si="3"/>
        <v>34.1591466</v>
      </c>
      <c r="N17" s="48"/>
      <c r="O17" s="48">
        <f t="shared" si="1"/>
        <v>7874.366474232</v>
      </c>
      <c r="P17" s="32" t="s">
        <v>346</v>
      </c>
      <c r="R17" s="46">
        <f t="shared" si="4"/>
        <v>7874.366474232</v>
      </c>
      <c r="S17" s="46">
        <f t="shared" si="5"/>
        <v>22.7727644</v>
      </c>
      <c r="T17" s="46" t="b">
        <f t="shared" si="6"/>
        <v>0</v>
      </c>
      <c r="U17" s="46" t="b">
        <f t="shared" si="7"/>
        <v>1</v>
      </c>
    </row>
    <row r="18" s="46" customFormat="1" ht="56.25" outlineLevel="1" spans="1:21">
      <c r="A18" s="32">
        <v>11</v>
      </c>
      <c r="B18" s="32" t="s">
        <v>344</v>
      </c>
      <c r="C18" s="32" t="s">
        <v>349</v>
      </c>
      <c r="D18" s="32" t="s">
        <v>102</v>
      </c>
      <c r="E18" s="32">
        <v>42.9</v>
      </c>
      <c r="F18" s="32">
        <f t="shared" ref="F18:J18" si="10">F15</f>
        <v>10</v>
      </c>
      <c r="G18" s="48">
        <f t="shared" si="0"/>
        <v>8.858</v>
      </c>
      <c r="H18" s="48">
        <f>H17</f>
        <v>8.6</v>
      </c>
      <c r="I18" s="49">
        <f t="shared" si="10"/>
        <v>0.03</v>
      </c>
      <c r="J18" s="31">
        <f t="shared" si="10"/>
        <v>2</v>
      </c>
      <c r="K18" s="31">
        <f>(F18+G18+J18)*$K$5</f>
        <v>1.25148</v>
      </c>
      <c r="L18" s="31">
        <f>(F18+G18+J18+K18)*$L$5</f>
        <v>0.6632844</v>
      </c>
      <c r="M18" s="48">
        <f t="shared" si="3"/>
        <v>34.1591466</v>
      </c>
      <c r="N18" s="48"/>
      <c r="O18" s="48">
        <f t="shared" si="1"/>
        <v>1465.42738914</v>
      </c>
      <c r="P18" s="32" t="s">
        <v>346</v>
      </c>
      <c r="R18" s="46">
        <f t="shared" si="4"/>
        <v>1465.42738914</v>
      </c>
      <c r="S18" s="46">
        <f t="shared" si="5"/>
        <v>22.7727644</v>
      </c>
      <c r="T18" s="46" t="b">
        <f t="shared" si="6"/>
        <v>0</v>
      </c>
      <c r="U18" s="46" t="b">
        <f t="shared" si="7"/>
        <v>1</v>
      </c>
    </row>
    <row r="19" s="46" customFormat="1" ht="78.75" outlineLevel="1" spans="1:21">
      <c r="A19" s="32">
        <v>12</v>
      </c>
      <c r="B19" s="32" t="s">
        <v>350</v>
      </c>
      <c r="C19" s="32" t="s">
        <v>351</v>
      </c>
      <c r="D19" s="32" t="s">
        <v>102</v>
      </c>
      <c r="E19" s="32">
        <v>3.08</v>
      </c>
      <c r="F19" s="32">
        <v>15</v>
      </c>
      <c r="G19" s="48">
        <f t="shared" si="0"/>
        <v>123.6</v>
      </c>
      <c r="H19" s="48">
        <v>120</v>
      </c>
      <c r="I19" s="49">
        <v>0.03</v>
      </c>
      <c r="J19" s="31">
        <v>5</v>
      </c>
      <c r="K19" s="31">
        <f>(F19+G19+J19)*$K$5</f>
        <v>8.616</v>
      </c>
      <c r="L19" s="31">
        <f>(F19+G19+J19+K19)*$L$5</f>
        <v>4.56648</v>
      </c>
      <c r="M19" s="48">
        <f t="shared" si="3"/>
        <v>235.17372</v>
      </c>
      <c r="N19" s="48"/>
      <c r="O19" s="48">
        <f t="shared" si="1"/>
        <v>724.3350576</v>
      </c>
      <c r="P19" s="32" t="s">
        <v>346</v>
      </c>
      <c r="R19" s="46">
        <f t="shared" si="4"/>
        <v>724.3350576</v>
      </c>
      <c r="S19" s="46">
        <f t="shared" si="5"/>
        <v>156.78248</v>
      </c>
      <c r="T19" s="46" t="b">
        <f t="shared" si="6"/>
        <v>0</v>
      </c>
      <c r="U19" s="46" t="b">
        <f t="shared" si="7"/>
        <v>1</v>
      </c>
    </row>
    <row r="20" s="46" customFormat="1" ht="67.5" outlineLevel="1" spans="1:21">
      <c r="A20" s="32">
        <v>13</v>
      </c>
      <c r="B20" s="32" t="s">
        <v>352</v>
      </c>
      <c r="C20" s="32" t="s">
        <v>353</v>
      </c>
      <c r="D20" s="32" t="s">
        <v>96</v>
      </c>
      <c r="E20" s="32">
        <v>2</v>
      </c>
      <c r="F20" s="32">
        <v>50</v>
      </c>
      <c r="G20" s="48">
        <f t="shared" si="0"/>
        <v>14.645</v>
      </c>
      <c r="H20" s="48">
        <v>14.5</v>
      </c>
      <c r="I20" s="49">
        <v>0.01</v>
      </c>
      <c r="J20" s="31">
        <v>1</v>
      </c>
      <c r="K20" s="31">
        <f>(F20+G20+J20)*$K$5</f>
        <v>3.9387</v>
      </c>
      <c r="L20" s="31">
        <f>(F20+G20+J20+K20)*$L$5</f>
        <v>2.087511</v>
      </c>
      <c r="M20" s="48">
        <f t="shared" si="3"/>
        <v>107.5068165</v>
      </c>
      <c r="N20" s="48"/>
      <c r="O20" s="48">
        <f t="shared" si="1"/>
        <v>215.013633</v>
      </c>
      <c r="P20" s="32" t="s">
        <v>346</v>
      </c>
      <c r="R20" s="46">
        <f t="shared" si="4"/>
        <v>215.013633</v>
      </c>
      <c r="S20" s="46">
        <f t="shared" si="5"/>
        <v>71.671211</v>
      </c>
      <c r="T20" s="46" t="b">
        <f t="shared" si="6"/>
        <v>0</v>
      </c>
      <c r="U20" s="46" t="b">
        <f t="shared" si="7"/>
        <v>1</v>
      </c>
    </row>
    <row r="21" s="46" customFormat="1" ht="67.5" outlineLevel="1" spans="1:21">
      <c r="A21" s="32">
        <v>14</v>
      </c>
      <c r="B21" s="32" t="s">
        <v>354</v>
      </c>
      <c r="C21" s="32" t="s">
        <v>355</v>
      </c>
      <c r="D21" s="32" t="s">
        <v>102</v>
      </c>
      <c r="E21" s="32">
        <v>1913.96</v>
      </c>
      <c r="F21" s="32">
        <v>3</v>
      </c>
      <c r="G21" s="48">
        <f t="shared" si="0"/>
        <v>2.088</v>
      </c>
      <c r="H21" s="48">
        <v>1.8</v>
      </c>
      <c r="I21" s="49">
        <v>0.16</v>
      </c>
      <c r="J21" s="31">
        <v>0.5</v>
      </c>
      <c r="K21" s="31">
        <f>(F21+G21+J21)*$K$5</f>
        <v>0.33528</v>
      </c>
      <c r="L21" s="31">
        <f>(F21+G21+J21+K21)*$L$5</f>
        <v>0.1776984</v>
      </c>
      <c r="M21" s="48">
        <f t="shared" si="3"/>
        <v>9.1514676</v>
      </c>
      <c r="N21" s="48"/>
      <c r="O21" s="48">
        <f t="shared" si="1"/>
        <v>17515.542927696</v>
      </c>
      <c r="P21" s="32" t="s">
        <v>346</v>
      </c>
      <c r="R21" s="46">
        <f t="shared" si="4"/>
        <v>17515.542927696</v>
      </c>
      <c r="S21" s="46">
        <f t="shared" si="5"/>
        <v>6.1009784</v>
      </c>
      <c r="T21" s="46" t="b">
        <f t="shared" si="6"/>
        <v>0</v>
      </c>
      <c r="U21" s="46" t="b">
        <f t="shared" si="7"/>
        <v>1</v>
      </c>
    </row>
    <row r="22" s="46" customFormat="1" ht="67.5" outlineLevel="1" spans="1:21">
      <c r="A22" s="32">
        <v>15</v>
      </c>
      <c r="B22" s="32" t="s">
        <v>354</v>
      </c>
      <c r="C22" s="32" t="s">
        <v>356</v>
      </c>
      <c r="D22" s="32" t="s">
        <v>102</v>
      </c>
      <c r="E22" s="32">
        <v>2687.35</v>
      </c>
      <c r="F22" s="32">
        <f t="shared" ref="F22:J22" si="11">F21</f>
        <v>3</v>
      </c>
      <c r="G22" s="48">
        <f t="shared" si="0"/>
        <v>3.016</v>
      </c>
      <c r="H22" s="48">
        <v>2.6</v>
      </c>
      <c r="I22" s="49">
        <f t="shared" si="11"/>
        <v>0.16</v>
      </c>
      <c r="J22" s="31">
        <f t="shared" si="11"/>
        <v>0.5</v>
      </c>
      <c r="K22" s="31">
        <f>(F22+G22+J22)*$K$5</f>
        <v>0.39096</v>
      </c>
      <c r="L22" s="31">
        <f>(F22+G22+J22+K22)*$L$5</f>
        <v>0.2072088</v>
      </c>
      <c r="M22" s="48">
        <f t="shared" si="3"/>
        <v>10.6712532</v>
      </c>
      <c r="N22" s="48"/>
      <c r="O22" s="48">
        <f t="shared" si="1"/>
        <v>28677.39228702</v>
      </c>
      <c r="P22" s="32" t="s">
        <v>346</v>
      </c>
      <c r="R22" s="46">
        <f t="shared" si="4"/>
        <v>28677.39228702</v>
      </c>
      <c r="S22" s="46">
        <f t="shared" si="5"/>
        <v>7.1141688</v>
      </c>
      <c r="T22" s="46" t="b">
        <f t="shared" si="6"/>
        <v>0</v>
      </c>
      <c r="U22" s="46" t="b">
        <f t="shared" si="7"/>
        <v>1</v>
      </c>
    </row>
    <row r="23" s="46" customFormat="1" ht="67.5" outlineLevel="1" spans="1:21">
      <c r="A23" s="32">
        <v>16</v>
      </c>
      <c r="B23" s="32" t="s">
        <v>354</v>
      </c>
      <c r="C23" s="32" t="s">
        <v>357</v>
      </c>
      <c r="D23" s="32" t="s">
        <v>102</v>
      </c>
      <c r="E23" s="32">
        <v>1426.56</v>
      </c>
      <c r="F23" s="32">
        <f>F21</f>
        <v>3</v>
      </c>
      <c r="G23" s="48">
        <f t="shared" si="0"/>
        <v>3.016</v>
      </c>
      <c r="H23" s="48">
        <f t="shared" ref="H23:J23" si="12">H22</f>
        <v>2.6</v>
      </c>
      <c r="I23" s="49">
        <f t="shared" si="12"/>
        <v>0.16</v>
      </c>
      <c r="J23" s="31">
        <f t="shared" si="12"/>
        <v>0.5</v>
      </c>
      <c r="K23" s="31">
        <f>(F23+G23+J23)*$K$5</f>
        <v>0.39096</v>
      </c>
      <c r="L23" s="31">
        <f>(F23+G23+J23+K23)*$L$5</f>
        <v>0.2072088</v>
      </c>
      <c r="M23" s="48">
        <f t="shared" si="3"/>
        <v>10.6712532</v>
      </c>
      <c r="N23" s="48"/>
      <c r="O23" s="48">
        <f t="shared" si="1"/>
        <v>15223.182964992</v>
      </c>
      <c r="P23" s="32" t="s">
        <v>346</v>
      </c>
      <c r="R23" s="46">
        <f t="shared" si="4"/>
        <v>15223.182964992</v>
      </c>
      <c r="S23" s="46">
        <f t="shared" si="5"/>
        <v>7.1141688</v>
      </c>
      <c r="T23" s="46" t="b">
        <f t="shared" si="6"/>
        <v>0</v>
      </c>
      <c r="U23" s="46" t="b">
        <f t="shared" si="7"/>
        <v>1</v>
      </c>
    </row>
    <row r="24" s="46" customFormat="1" ht="56.25" outlineLevel="1" spans="1:21">
      <c r="A24" s="32">
        <v>17</v>
      </c>
      <c r="B24" s="32" t="s">
        <v>354</v>
      </c>
      <c r="C24" s="32" t="s">
        <v>358</v>
      </c>
      <c r="D24" s="32" t="s">
        <v>102</v>
      </c>
      <c r="E24" s="32">
        <v>1307.74</v>
      </c>
      <c r="F24" s="32">
        <f>F21</f>
        <v>3</v>
      </c>
      <c r="G24" s="48">
        <f t="shared" si="0"/>
        <v>3.944</v>
      </c>
      <c r="H24" s="48">
        <v>3.4</v>
      </c>
      <c r="I24" s="49">
        <f>I23</f>
        <v>0.16</v>
      </c>
      <c r="J24" s="31">
        <f>J23</f>
        <v>0.5</v>
      </c>
      <c r="K24" s="31">
        <f>(F24+G24+J24)*$K$5</f>
        <v>0.44664</v>
      </c>
      <c r="L24" s="31">
        <f>(F24+G24+J24+K24)*$L$5</f>
        <v>0.2367192</v>
      </c>
      <c r="M24" s="48">
        <f t="shared" si="3"/>
        <v>12.1910388</v>
      </c>
      <c r="N24" s="48"/>
      <c r="O24" s="48">
        <f t="shared" si="1"/>
        <v>15942.709080312</v>
      </c>
      <c r="P24" s="32" t="s">
        <v>346</v>
      </c>
      <c r="R24" s="46">
        <f t="shared" si="4"/>
        <v>15942.709080312</v>
      </c>
      <c r="S24" s="46">
        <f t="shared" si="5"/>
        <v>8.1273592</v>
      </c>
      <c r="T24" s="46" t="b">
        <f t="shared" si="6"/>
        <v>0</v>
      </c>
      <c r="U24" s="46" t="b">
        <f t="shared" si="7"/>
        <v>1</v>
      </c>
    </row>
    <row r="25" s="46" customFormat="1" ht="56.25" outlineLevel="1" spans="1:21">
      <c r="A25" s="32">
        <v>18</v>
      </c>
      <c r="B25" s="32" t="s">
        <v>354</v>
      </c>
      <c r="C25" s="32" t="s">
        <v>359</v>
      </c>
      <c r="D25" s="32" t="s">
        <v>102</v>
      </c>
      <c r="E25" s="32">
        <v>2364.94</v>
      </c>
      <c r="F25" s="32">
        <f>F21</f>
        <v>3</v>
      </c>
      <c r="G25" s="48">
        <f t="shared" si="0"/>
        <v>3.944</v>
      </c>
      <c r="H25" s="48">
        <f t="shared" ref="H25:J25" si="13">H24</f>
        <v>3.4</v>
      </c>
      <c r="I25" s="49">
        <f t="shared" si="13"/>
        <v>0.16</v>
      </c>
      <c r="J25" s="31">
        <f t="shared" si="13"/>
        <v>0.5</v>
      </c>
      <c r="K25" s="31">
        <f>(F25+G25+J25)*$K$5</f>
        <v>0.44664</v>
      </c>
      <c r="L25" s="31">
        <f>(F25+G25+J25+K25)*$L$5</f>
        <v>0.2367192</v>
      </c>
      <c r="M25" s="48">
        <f t="shared" si="3"/>
        <v>12.1910388</v>
      </c>
      <c r="N25" s="48"/>
      <c r="O25" s="48">
        <f t="shared" si="1"/>
        <v>28831.075299672</v>
      </c>
      <c r="P25" s="32" t="s">
        <v>346</v>
      </c>
      <c r="R25" s="46">
        <f t="shared" si="4"/>
        <v>28831.075299672</v>
      </c>
      <c r="S25" s="46">
        <f t="shared" si="5"/>
        <v>8.1273592</v>
      </c>
      <c r="T25" s="46" t="b">
        <f t="shared" si="6"/>
        <v>0</v>
      </c>
      <c r="U25" s="46" t="b">
        <f t="shared" si="7"/>
        <v>1</v>
      </c>
    </row>
    <row r="26" s="46" customFormat="1" ht="56.25" outlineLevel="1" spans="1:21">
      <c r="A26" s="32">
        <v>19</v>
      </c>
      <c r="B26" s="32" t="s">
        <v>360</v>
      </c>
      <c r="C26" s="32" t="s">
        <v>361</v>
      </c>
      <c r="D26" s="32" t="s">
        <v>273</v>
      </c>
      <c r="E26" s="32">
        <v>43</v>
      </c>
      <c r="F26" s="32">
        <v>20</v>
      </c>
      <c r="G26" s="48">
        <f t="shared" si="0"/>
        <v>146.45</v>
      </c>
      <c r="H26" s="48">
        <v>145</v>
      </c>
      <c r="I26" s="49">
        <v>0.01</v>
      </c>
      <c r="J26" s="31">
        <v>5</v>
      </c>
      <c r="K26" s="31">
        <f>(F26+G26+J26)*$K$5</f>
        <v>10.287</v>
      </c>
      <c r="L26" s="31">
        <f>(F26+G26+J26+K26)*$L$5</f>
        <v>5.45211</v>
      </c>
      <c r="M26" s="48">
        <f t="shared" si="3"/>
        <v>280.783665</v>
      </c>
      <c r="N26" s="48"/>
      <c r="O26" s="48">
        <f t="shared" si="1"/>
        <v>12073.697595</v>
      </c>
      <c r="P26" s="32" t="s">
        <v>362</v>
      </c>
      <c r="R26" s="46">
        <f t="shared" si="4"/>
        <v>12073.697595</v>
      </c>
      <c r="S26" s="46">
        <f t="shared" si="5"/>
        <v>187.18911</v>
      </c>
      <c r="T26" s="46" t="b">
        <f t="shared" si="6"/>
        <v>0</v>
      </c>
      <c r="U26" s="46" t="b">
        <f t="shared" si="7"/>
        <v>1</v>
      </c>
    </row>
    <row r="27" s="46" customFormat="1" ht="56.25" outlineLevel="1" spans="1:21">
      <c r="A27" s="32">
        <v>20</v>
      </c>
      <c r="B27" s="32" t="s">
        <v>360</v>
      </c>
      <c r="C27" s="32" t="s">
        <v>363</v>
      </c>
      <c r="D27" s="32" t="s">
        <v>273</v>
      </c>
      <c r="E27" s="32">
        <v>123</v>
      </c>
      <c r="F27" s="32">
        <f t="shared" ref="F27:J27" si="14">F26</f>
        <v>20</v>
      </c>
      <c r="G27" s="48">
        <f t="shared" si="0"/>
        <v>80.8</v>
      </c>
      <c r="H27" s="48">
        <v>80</v>
      </c>
      <c r="I27" s="49">
        <f t="shared" si="14"/>
        <v>0.01</v>
      </c>
      <c r="J27" s="30">
        <f t="shared" si="14"/>
        <v>5</v>
      </c>
      <c r="K27" s="31">
        <f>(F27+G27+J27)*$K$5</f>
        <v>6.348</v>
      </c>
      <c r="L27" s="31">
        <f>(F27+G27+J27+K27)*$L$5</f>
        <v>3.36444</v>
      </c>
      <c r="M27" s="48">
        <f t="shared" si="3"/>
        <v>173.26866</v>
      </c>
      <c r="N27" s="48"/>
      <c r="O27" s="48">
        <f t="shared" si="1"/>
        <v>21312.04518</v>
      </c>
      <c r="P27" s="32" t="s">
        <v>362</v>
      </c>
      <c r="R27" s="46">
        <f t="shared" si="4"/>
        <v>21312.04518</v>
      </c>
      <c r="S27" s="46">
        <f t="shared" si="5"/>
        <v>115.51244</v>
      </c>
      <c r="T27" s="46" t="b">
        <f t="shared" si="6"/>
        <v>0</v>
      </c>
      <c r="U27" s="46" t="b">
        <f t="shared" si="7"/>
        <v>1</v>
      </c>
    </row>
    <row r="28" s="46" customFormat="1" ht="56.25" outlineLevel="1" spans="1:21">
      <c r="A28" s="32">
        <v>21</v>
      </c>
      <c r="B28" s="32" t="s">
        <v>360</v>
      </c>
      <c r="C28" s="32" t="s">
        <v>364</v>
      </c>
      <c r="D28" s="32" t="s">
        <v>273</v>
      </c>
      <c r="E28" s="32">
        <v>5</v>
      </c>
      <c r="F28" s="32"/>
      <c r="G28" s="48"/>
      <c r="H28" s="48"/>
      <c r="I28" s="49"/>
      <c r="J28" s="31"/>
      <c r="K28" s="31">
        <f>(F28+G28+J28)*$K$5</f>
        <v>0</v>
      </c>
      <c r="L28" s="31">
        <f>(F28+G28+J28+K28)*$L$5</f>
        <v>0</v>
      </c>
      <c r="M28" s="48">
        <f t="shared" si="3"/>
        <v>0</v>
      </c>
      <c r="N28" s="48"/>
      <c r="O28" s="48">
        <f t="shared" si="1"/>
        <v>0</v>
      </c>
      <c r="P28" s="32" t="s">
        <v>365</v>
      </c>
      <c r="R28" s="46">
        <f t="shared" si="4"/>
        <v>0</v>
      </c>
      <c r="S28" s="46">
        <f t="shared" si="5"/>
        <v>0</v>
      </c>
      <c r="T28" s="46" t="b">
        <f t="shared" si="6"/>
        <v>1</v>
      </c>
      <c r="U28" s="46" t="b">
        <f t="shared" si="7"/>
        <v>1</v>
      </c>
    </row>
    <row r="29" s="46" customFormat="1" ht="56.25" outlineLevel="1" spans="1:21">
      <c r="A29" s="32">
        <v>22</v>
      </c>
      <c r="B29" s="32" t="s">
        <v>360</v>
      </c>
      <c r="C29" s="32" t="s">
        <v>366</v>
      </c>
      <c r="D29" s="32" t="s">
        <v>102</v>
      </c>
      <c r="E29" s="32">
        <v>151.06</v>
      </c>
      <c r="F29" s="32">
        <f>F26</f>
        <v>20</v>
      </c>
      <c r="G29" s="48">
        <f t="shared" ref="G29:G42" si="15">H29*(1+I29)</f>
        <v>26.25</v>
      </c>
      <c r="H29" s="48">
        <v>25</v>
      </c>
      <c r="I29" s="50">
        <v>0.05</v>
      </c>
      <c r="J29" s="30">
        <f>J26</f>
        <v>5</v>
      </c>
      <c r="K29" s="31">
        <f>(F29+G29+J29)*$K$5</f>
        <v>3.075</v>
      </c>
      <c r="L29" s="31">
        <f>(F29+G29+J29+K29)*$L$5</f>
        <v>1.62975</v>
      </c>
      <c r="M29" s="48">
        <f t="shared" si="3"/>
        <v>83.932125</v>
      </c>
      <c r="N29" s="48"/>
      <c r="O29" s="48">
        <f t="shared" si="1"/>
        <v>12678.7868025</v>
      </c>
      <c r="P29" s="32" t="s">
        <v>362</v>
      </c>
      <c r="R29" s="46">
        <f t="shared" si="4"/>
        <v>12678.7868025</v>
      </c>
      <c r="S29" s="46">
        <f t="shared" si="5"/>
        <v>55.95475</v>
      </c>
      <c r="T29" s="46" t="b">
        <f t="shared" si="6"/>
        <v>0</v>
      </c>
      <c r="U29" s="46" t="b">
        <f t="shared" si="7"/>
        <v>1</v>
      </c>
    </row>
    <row r="30" s="46" customFormat="1" ht="56.25" outlineLevel="1" spans="1:21">
      <c r="A30" s="32">
        <v>23</v>
      </c>
      <c r="B30" s="32" t="s">
        <v>360</v>
      </c>
      <c r="C30" s="32" t="s">
        <v>367</v>
      </c>
      <c r="D30" s="32" t="s">
        <v>273</v>
      </c>
      <c r="E30" s="32">
        <v>1</v>
      </c>
      <c r="F30" s="32"/>
      <c r="G30" s="48"/>
      <c r="H30" s="48"/>
      <c r="I30" s="49"/>
      <c r="J30" s="31"/>
      <c r="K30" s="31">
        <f>(F30+G30+J30)*$K$5</f>
        <v>0</v>
      </c>
      <c r="L30" s="31">
        <f>(F30+G30+J30+K30)*$L$5</f>
        <v>0</v>
      </c>
      <c r="M30" s="48">
        <f t="shared" si="3"/>
        <v>0</v>
      </c>
      <c r="N30" s="48"/>
      <c r="O30" s="48">
        <f t="shared" si="1"/>
        <v>0</v>
      </c>
      <c r="P30" s="32" t="s">
        <v>365</v>
      </c>
      <c r="R30" s="46">
        <f t="shared" si="4"/>
        <v>0</v>
      </c>
      <c r="S30" s="46">
        <f t="shared" si="5"/>
        <v>0</v>
      </c>
      <c r="T30" s="46" t="b">
        <f t="shared" si="6"/>
        <v>1</v>
      </c>
      <c r="U30" s="46" t="b">
        <f t="shared" si="7"/>
        <v>1</v>
      </c>
    </row>
    <row r="31" s="46" customFormat="1" ht="56.25" outlineLevel="1" spans="1:21">
      <c r="A31" s="32">
        <v>24</v>
      </c>
      <c r="B31" s="32" t="s">
        <v>360</v>
      </c>
      <c r="C31" s="32" t="s">
        <v>368</v>
      </c>
      <c r="D31" s="32" t="s">
        <v>273</v>
      </c>
      <c r="E31" s="32">
        <v>1</v>
      </c>
      <c r="F31" s="32"/>
      <c r="G31" s="48"/>
      <c r="H31" s="48"/>
      <c r="I31" s="49"/>
      <c r="J31" s="31"/>
      <c r="K31" s="31">
        <f>(F31+G31+J31)*$K$5</f>
        <v>0</v>
      </c>
      <c r="L31" s="31">
        <f>(F31+G31+J31+K31)*$L$5</f>
        <v>0</v>
      </c>
      <c r="M31" s="48">
        <f t="shared" si="3"/>
        <v>0</v>
      </c>
      <c r="N31" s="48"/>
      <c r="O31" s="48">
        <f t="shared" si="1"/>
        <v>0</v>
      </c>
      <c r="P31" s="32" t="s">
        <v>365</v>
      </c>
      <c r="R31" s="46">
        <f t="shared" si="4"/>
        <v>0</v>
      </c>
      <c r="S31" s="46">
        <f t="shared" si="5"/>
        <v>0</v>
      </c>
      <c r="T31" s="46" t="b">
        <f t="shared" si="6"/>
        <v>1</v>
      </c>
      <c r="U31" s="46" t="b">
        <f t="shared" si="7"/>
        <v>1</v>
      </c>
    </row>
    <row r="32" s="46" customFormat="1" ht="33.75" outlineLevel="1" spans="1:21">
      <c r="A32" s="32">
        <v>25</v>
      </c>
      <c r="B32" s="32" t="s">
        <v>369</v>
      </c>
      <c r="C32" s="32" t="s">
        <v>370</v>
      </c>
      <c r="D32" s="32" t="s">
        <v>96</v>
      </c>
      <c r="E32" s="32">
        <v>11</v>
      </c>
      <c r="F32" s="32">
        <v>15</v>
      </c>
      <c r="G32" s="48">
        <f t="shared" si="15"/>
        <v>28.28</v>
      </c>
      <c r="H32" s="48">
        <v>28</v>
      </c>
      <c r="I32" s="49">
        <v>0.01</v>
      </c>
      <c r="J32" s="31">
        <v>5</v>
      </c>
      <c r="K32" s="31">
        <f>(F32+G32+J32)*$K$5</f>
        <v>2.8968</v>
      </c>
      <c r="L32" s="31">
        <f>(F32+G32+J32+K32)*$L$5</f>
        <v>1.535304</v>
      </c>
      <c r="M32" s="48">
        <f t="shared" si="3"/>
        <v>79.068156</v>
      </c>
      <c r="N32" s="48"/>
      <c r="O32" s="48">
        <f t="shared" si="1"/>
        <v>869.749716</v>
      </c>
      <c r="P32" s="32" t="s">
        <v>371</v>
      </c>
      <c r="R32" s="46">
        <f t="shared" si="4"/>
        <v>869.749716</v>
      </c>
      <c r="S32" s="46">
        <f t="shared" si="5"/>
        <v>52.712104</v>
      </c>
      <c r="T32" s="46" t="b">
        <f t="shared" si="6"/>
        <v>0</v>
      </c>
      <c r="U32" s="46" t="b">
        <f t="shared" si="7"/>
        <v>1</v>
      </c>
    </row>
    <row r="33" s="46" customFormat="1" ht="33.75" outlineLevel="1" spans="1:21">
      <c r="A33" s="32">
        <v>26</v>
      </c>
      <c r="B33" s="32" t="s">
        <v>369</v>
      </c>
      <c r="C33" s="32" t="s">
        <v>372</v>
      </c>
      <c r="D33" s="32" t="s">
        <v>96</v>
      </c>
      <c r="E33" s="32">
        <v>6</v>
      </c>
      <c r="F33" s="32">
        <f t="shared" ref="F33:J33" si="16">F32</f>
        <v>15</v>
      </c>
      <c r="G33" s="48">
        <f t="shared" si="15"/>
        <v>45.45</v>
      </c>
      <c r="H33" s="48">
        <v>45</v>
      </c>
      <c r="I33" s="49">
        <f t="shared" si="16"/>
        <v>0.01</v>
      </c>
      <c r="J33" s="31">
        <f t="shared" si="16"/>
        <v>5</v>
      </c>
      <c r="K33" s="31">
        <f>(F33+G33+J33)*$K$5</f>
        <v>3.927</v>
      </c>
      <c r="L33" s="31">
        <f>(F33+G33+J33+K33)*$L$5</f>
        <v>2.08131</v>
      </c>
      <c r="M33" s="48">
        <f t="shared" si="3"/>
        <v>107.187465</v>
      </c>
      <c r="N33" s="48"/>
      <c r="O33" s="48">
        <f t="shared" si="1"/>
        <v>643.12479</v>
      </c>
      <c r="P33" s="32" t="str">
        <f>P32</f>
        <v>罗格朗</v>
      </c>
      <c r="R33" s="46">
        <f t="shared" si="4"/>
        <v>643.12479</v>
      </c>
      <c r="S33" s="46">
        <f t="shared" si="5"/>
        <v>71.45831</v>
      </c>
      <c r="T33" s="46" t="b">
        <f t="shared" si="6"/>
        <v>0</v>
      </c>
      <c r="U33" s="46" t="b">
        <f t="shared" si="7"/>
        <v>1</v>
      </c>
    </row>
    <row r="34" s="46" customFormat="1" ht="33.75" outlineLevel="1" spans="1:21">
      <c r="A34" s="32">
        <v>27</v>
      </c>
      <c r="B34" s="32" t="s">
        <v>369</v>
      </c>
      <c r="C34" s="32" t="s">
        <v>373</v>
      </c>
      <c r="D34" s="32" t="s">
        <v>96</v>
      </c>
      <c r="E34" s="32">
        <v>1</v>
      </c>
      <c r="F34" s="32">
        <f t="shared" ref="F34:J34" si="17">F32</f>
        <v>15</v>
      </c>
      <c r="G34" s="48">
        <f t="shared" si="15"/>
        <v>61.61</v>
      </c>
      <c r="H34" s="48">
        <v>61</v>
      </c>
      <c r="I34" s="49">
        <f t="shared" si="17"/>
        <v>0.01</v>
      </c>
      <c r="J34" s="31">
        <f t="shared" si="17"/>
        <v>5</v>
      </c>
      <c r="K34" s="31">
        <f>(F34+G34+J34)*$K$5</f>
        <v>4.8966</v>
      </c>
      <c r="L34" s="31">
        <f>(F34+G34+J34+K34)*$L$5</f>
        <v>2.595198</v>
      </c>
      <c r="M34" s="48">
        <f t="shared" si="3"/>
        <v>133.652697</v>
      </c>
      <c r="N34" s="48"/>
      <c r="O34" s="48">
        <f t="shared" si="1"/>
        <v>133.652697</v>
      </c>
      <c r="P34" s="32" t="str">
        <f>P32</f>
        <v>罗格朗</v>
      </c>
      <c r="R34" s="46">
        <f t="shared" si="4"/>
        <v>133.652697</v>
      </c>
      <c r="S34" s="46">
        <f t="shared" si="5"/>
        <v>89.101798</v>
      </c>
      <c r="T34" s="46" t="b">
        <f t="shared" si="6"/>
        <v>0</v>
      </c>
      <c r="U34" s="46" t="b">
        <f t="shared" si="7"/>
        <v>1</v>
      </c>
    </row>
    <row r="35" s="46" customFormat="1" ht="33.75" outlineLevel="1" spans="1:21">
      <c r="A35" s="32">
        <v>28</v>
      </c>
      <c r="B35" s="32" t="s">
        <v>369</v>
      </c>
      <c r="C35" s="32" t="s">
        <v>374</v>
      </c>
      <c r="D35" s="32" t="s">
        <v>96</v>
      </c>
      <c r="E35" s="32">
        <v>7</v>
      </c>
      <c r="F35" s="32">
        <f t="shared" ref="F35:J35" si="18">F32</f>
        <v>15</v>
      </c>
      <c r="G35" s="48">
        <f t="shared" si="15"/>
        <v>82.82</v>
      </c>
      <c r="H35" s="48">
        <v>82</v>
      </c>
      <c r="I35" s="49">
        <f t="shared" si="18"/>
        <v>0.01</v>
      </c>
      <c r="J35" s="31">
        <f t="shared" si="18"/>
        <v>5</v>
      </c>
      <c r="K35" s="31">
        <f>(F35+G35+J35)*$K$5</f>
        <v>6.1692</v>
      </c>
      <c r="L35" s="31">
        <f>(F35+G35+J35+K35)*$L$5</f>
        <v>3.269676</v>
      </c>
      <c r="M35" s="48">
        <f t="shared" si="3"/>
        <v>168.388314</v>
      </c>
      <c r="N35" s="48"/>
      <c r="O35" s="48">
        <f t="shared" si="1"/>
        <v>1178.718198</v>
      </c>
      <c r="P35" s="32" t="str">
        <f>P33</f>
        <v>罗格朗</v>
      </c>
      <c r="R35" s="46">
        <f t="shared" si="4"/>
        <v>1178.718198</v>
      </c>
      <c r="S35" s="46">
        <f t="shared" si="5"/>
        <v>112.258876</v>
      </c>
      <c r="T35" s="46" t="b">
        <f t="shared" si="6"/>
        <v>0</v>
      </c>
      <c r="U35" s="46" t="b">
        <f t="shared" si="7"/>
        <v>1</v>
      </c>
    </row>
    <row r="36" s="46" customFormat="1" ht="33.75" outlineLevel="1" spans="1:21">
      <c r="A36" s="32">
        <v>29</v>
      </c>
      <c r="B36" s="32" t="s">
        <v>375</v>
      </c>
      <c r="C36" s="32" t="s">
        <v>376</v>
      </c>
      <c r="D36" s="32" t="s">
        <v>96</v>
      </c>
      <c r="E36" s="32">
        <v>23</v>
      </c>
      <c r="F36" s="32">
        <v>25</v>
      </c>
      <c r="G36" s="48">
        <f t="shared" si="15"/>
        <v>186.85</v>
      </c>
      <c r="H36" s="48">
        <v>185</v>
      </c>
      <c r="I36" s="49">
        <v>0.01</v>
      </c>
      <c r="J36" s="31">
        <v>5</v>
      </c>
      <c r="K36" s="31">
        <f>(F36+G36+J36)*$K$5</f>
        <v>13.011</v>
      </c>
      <c r="L36" s="31">
        <f>(F36+G36+J36+K36)*$L$5</f>
        <v>6.89583</v>
      </c>
      <c r="M36" s="48">
        <f t="shared" si="3"/>
        <v>355.135245</v>
      </c>
      <c r="N36" s="48"/>
      <c r="O36" s="48">
        <f t="shared" si="1"/>
        <v>8168.110635</v>
      </c>
      <c r="P36" s="32" t="str">
        <f>P33</f>
        <v>罗格朗</v>
      </c>
      <c r="R36" s="46">
        <f t="shared" si="4"/>
        <v>8168.110635</v>
      </c>
      <c r="S36" s="46">
        <f t="shared" si="5"/>
        <v>236.75683</v>
      </c>
      <c r="T36" s="46" t="b">
        <f t="shared" si="6"/>
        <v>0</v>
      </c>
      <c r="U36" s="46" t="b">
        <f t="shared" si="7"/>
        <v>1</v>
      </c>
    </row>
    <row r="37" s="46" customFormat="1" ht="45" outlineLevel="1" spans="1:21">
      <c r="A37" s="32">
        <v>30</v>
      </c>
      <c r="B37" s="32" t="s">
        <v>377</v>
      </c>
      <c r="C37" s="32" t="s">
        <v>378</v>
      </c>
      <c r="D37" s="32" t="s">
        <v>96</v>
      </c>
      <c r="E37" s="32">
        <v>32</v>
      </c>
      <c r="F37" s="32">
        <f t="shared" ref="F37:J37" si="19">F32</f>
        <v>15</v>
      </c>
      <c r="G37" s="48">
        <f t="shared" si="15"/>
        <v>28.28</v>
      </c>
      <c r="H37" s="48">
        <v>28</v>
      </c>
      <c r="I37" s="49">
        <f t="shared" si="19"/>
        <v>0.01</v>
      </c>
      <c r="J37" s="31">
        <f t="shared" si="19"/>
        <v>5</v>
      </c>
      <c r="K37" s="31">
        <f>(F37+G37+J37)*$K$5</f>
        <v>2.8968</v>
      </c>
      <c r="L37" s="31">
        <f>(F37+G37+J37+K37)*$L$5</f>
        <v>1.535304</v>
      </c>
      <c r="M37" s="48">
        <f t="shared" si="3"/>
        <v>79.068156</v>
      </c>
      <c r="N37" s="48"/>
      <c r="O37" s="48">
        <f t="shared" si="1"/>
        <v>2530.180992</v>
      </c>
      <c r="P37" s="32" t="str">
        <f>P33</f>
        <v>罗格朗</v>
      </c>
      <c r="R37" s="46">
        <f t="shared" si="4"/>
        <v>2530.180992</v>
      </c>
      <c r="S37" s="46">
        <f t="shared" si="5"/>
        <v>52.712104</v>
      </c>
      <c r="T37" s="46" t="b">
        <f t="shared" si="6"/>
        <v>0</v>
      </c>
      <c r="U37" s="46" t="b">
        <f t="shared" si="7"/>
        <v>1</v>
      </c>
    </row>
    <row r="38" s="46" customFormat="1" ht="45" outlineLevel="1" spans="1:21">
      <c r="A38" s="32">
        <v>31</v>
      </c>
      <c r="B38" s="32" t="s">
        <v>377</v>
      </c>
      <c r="C38" s="32" t="s">
        <v>379</v>
      </c>
      <c r="D38" s="32" t="s">
        <v>96</v>
      </c>
      <c r="E38" s="32">
        <v>14</v>
      </c>
      <c r="F38" s="32">
        <f t="shared" ref="F38:J38" si="20">F32</f>
        <v>15</v>
      </c>
      <c r="G38" s="48">
        <f t="shared" si="15"/>
        <v>267.65</v>
      </c>
      <c r="H38" s="48">
        <v>265</v>
      </c>
      <c r="I38" s="49">
        <f t="shared" si="20"/>
        <v>0.01</v>
      </c>
      <c r="J38" s="31">
        <f t="shared" si="20"/>
        <v>5</v>
      </c>
      <c r="K38" s="31">
        <f>(F38+G38+J38)*$K$5</f>
        <v>17.259</v>
      </c>
      <c r="L38" s="31">
        <f>(F38+G38+J38+K38)*$L$5</f>
        <v>9.14727</v>
      </c>
      <c r="M38" s="48">
        <f t="shared" si="3"/>
        <v>471.084405</v>
      </c>
      <c r="N38" s="48"/>
      <c r="O38" s="48">
        <f t="shared" si="1"/>
        <v>6595.18167</v>
      </c>
      <c r="P38" s="32" t="str">
        <f>P33</f>
        <v>罗格朗</v>
      </c>
      <c r="R38" s="46">
        <f t="shared" si="4"/>
        <v>6595.18167</v>
      </c>
      <c r="S38" s="46">
        <f t="shared" si="5"/>
        <v>314.05627</v>
      </c>
      <c r="T38" s="46" t="b">
        <f t="shared" si="6"/>
        <v>0</v>
      </c>
      <c r="U38" s="46" t="b">
        <f t="shared" si="7"/>
        <v>1</v>
      </c>
    </row>
    <row r="39" s="46" customFormat="1" ht="33.75" outlineLevel="1" spans="1:21">
      <c r="A39" s="32">
        <v>32</v>
      </c>
      <c r="B39" s="32" t="s">
        <v>377</v>
      </c>
      <c r="C39" s="32" t="s">
        <v>380</v>
      </c>
      <c r="D39" s="32" t="s">
        <v>96</v>
      </c>
      <c r="E39" s="32">
        <v>9</v>
      </c>
      <c r="F39" s="32">
        <f t="shared" ref="F39:J39" si="21">F32</f>
        <v>15</v>
      </c>
      <c r="G39" s="48">
        <f t="shared" si="15"/>
        <v>45.45</v>
      </c>
      <c r="H39" s="48">
        <v>45</v>
      </c>
      <c r="I39" s="49">
        <f t="shared" si="21"/>
        <v>0.01</v>
      </c>
      <c r="J39" s="31">
        <f t="shared" si="21"/>
        <v>5</v>
      </c>
      <c r="K39" s="31">
        <f>(F39+G39+J39)*$K$5</f>
        <v>3.927</v>
      </c>
      <c r="L39" s="31">
        <f>(F39+G39+J39+K39)*$L$5</f>
        <v>2.08131</v>
      </c>
      <c r="M39" s="48">
        <f t="shared" si="3"/>
        <v>107.187465</v>
      </c>
      <c r="N39" s="48"/>
      <c r="O39" s="48">
        <f t="shared" si="1"/>
        <v>964.687185</v>
      </c>
      <c r="P39" s="32" t="str">
        <f>P33</f>
        <v>罗格朗</v>
      </c>
      <c r="R39" s="46">
        <f t="shared" si="4"/>
        <v>964.687185</v>
      </c>
      <c r="S39" s="46">
        <f t="shared" si="5"/>
        <v>71.45831</v>
      </c>
      <c r="T39" s="46" t="b">
        <f t="shared" si="6"/>
        <v>0</v>
      </c>
      <c r="U39" s="46" t="b">
        <f t="shared" si="7"/>
        <v>1</v>
      </c>
    </row>
    <row r="40" s="46" customFormat="1" ht="33.75" outlineLevel="1" spans="1:21">
      <c r="A40" s="32">
        <v>33</v>
      </c>
      <c r="B40" s="32" t="s">
        <v>381</v>
      </c>
      <c r="C40" s="32" t="s">
        <v>382</v>
      </c>
      <c r="D40" s="32" t="s">
        <v>96</v>
      </c>
      <c r="E40" s="32">
        <v>103</v>
      </c>
      <c r="F40" s="32">
        <v>5</v>
      </c>
      <c r="G40" s="48">
        <f t="shared" si="15"/>
        <v>3.3128</v>
      </c>
      <c r="H40" s="48">
        <v>3.28</v>
      </c>
      <c r="I40" s="49">
        <v>0.01</v>
      </c>
      <c r="J40" s="31">
        <v>2</v>
      </c>
      <c r="K40" s="31">
        <f>(F40+G40+J40)*$K$5</f>
        <v>0.618768</v>
      </c>
      <c r="L40" s="31">
        <f>(F40+G40+J40+K40)*$L$5</f>
        <v>0.32794704</v>
      </c>
      <c r="M40" s="48">
        <f t="shared" si="3"/>
        <v>16.88927256</v>
      </c>
      <c r="N40" s="48"/>
      <c r="O40" s="48">
        <f t="shared" si="1"/>
        <v>1739.59507368</v>
      </c>
      <c r="P40" s="32"/>
      <c r="R40" s="46">
        <f t="shared" si="4"/>
        <v>1739.59507368</v>
      </c>
      <c r="S40" s="46">
        <f t="shared" si="5"/>
        <v>11.25951504</v>
      </c>
      <c r="T40" s="46" t="b">
        <f t="shared" si="6"/>
        <v>0</v>
      </c>
      <c r="U40" s="46" t="b">
        <f t="shared" si="7"/>
        <v>1</v>
      </c>
    </row>
    <row r="41" s="46" customFormat="1" ht="33.75" outlineLevel="1" spans="1:21">
      <c r="A41" s="32">
        <v>34</v>
      </c>
      <c r="B41" s="32" t="s">
        <v>381</v>
      </c>
      <c r="C41" s="32" t="s">
        <v>383</v>
      </c>
      <c r="D41" s="32" t="s">
        <v>96</v>
      </c>
      <c r="E41" s="32">
        <v>202</v>
      </c>
      <c r="F41" s="32">
        <f t="shared" ref="F41:J41" si="22">F40</f>
        <v>5</v>
      </c>
      <c r="G41" s="48">
        <f t="shared" si="15"/>
        <v>3.3128</v>
      </c>
      <c r="H41" s="48">
        <f t="shared" si="22"/>
        <v>3.28</v>
      </c>
      <c r="I41" s="49">
        <f t="shared" si="22"/>
        <v>0.01</v>
      </c>
      <c r="J41" s="31">
        <f t="shared" si="22"/>
        <v>2</v>
      </c>
      <c r="K41" s="31">
        <f>(F41+G41+J41)*$K$5</f>
        <v>0.618768</v>
      </c>
      <c r="L41" s="31">
        <f>(F41+G41+J41+K41)*$L$5</f>
        <v>0.32794704</v>
      </c>
      <c r="M41" s="48">
        <f t="shared" ref="M41:M72" si="23">(F41+G41+J41+K41+L41)*1.5</f>
        <v>16.88927256</v>
      </c>
      <c r="N41" s="48"/>
      <c r="O41" s="48">
        <f t="shared" si="1"/>
        <v>3411.63305712</v>
      </c>
      <c r="P41" s="32"/>
      <c r="R41" s="46">
        <f t="shared" si="4"/>
        <v>3411.63305712</v>
      </c>
      <c r="S41" s="46">
        <f t="shared" si="5"/>
        <v>11.25951504</v>
      </c>
      <c r="T41" s="46" t="b">
        <f t="shared" si="6"/>
        <v>0</v>
      </c>
      <c r="U41" s="46" t="b">
        <f t="shared" si="7"/>
        <v>1</v>
      </c>
    </row>
    <row r="42" s="46" customFormat="1" ht="22.5" outlineLevel="1" spans="1:21">
      <c r="A42" s="32">
        <v>35</v>
      </c>
      <c r="B42" s="32" t="s">
        <v>384</v>
      </c>
      <c r="C42" s="32" t="s">
        <v>385</v>
      </c>
      <c r="D42" s="32" t="s">
        <v>386</v>
      </c>
      <c r="E42" s="32">
        <v>1</v>
      </c>
      <c r="F42" s="32">
        <v>300</v>
      </c>
      <c r="G42" s="48">
        <f t="shared" si="15"/>
        <v>0</v>
      </c>
      <c r="H42" s="48">
        <v>0</v>
      </c>
      <c r="I42" s="49">
        <v>0</v>
      </c>
      <c r="J42" s="31">
        <v>85</v>
      </c>
      <c r="K42" s="31">
        <f>(F42+G42+J42)*$K$5</f>
        <v>23.1</v>
      </c>
      <c r="L42" s="31">
        <f>(F42+G42+J42+K42)*$L$5</f>
        <v>12.243</v>
      </c>
      <c r="M42" s="48">
        <f t="shared" si="23"/>
        <v>630.5145</v>
      </c>
      <c r="N42" s="48"/>
      <c r="O42" s="48">
        <f t="shared" si="1"/>
        <v>630.5145</v>
      </c>
      <c r="P42" s="32"/>
      <c r="R42" s="46">
        <f t="shared" si="4"/>
        <v>630.5145</v>
      </c>
      <c r="S42" s="46">
        <f t="shared" si="5"/>
        <v>420.343</v>
      </c>
      <c r="T42" s="46" t="b">
        <f t="shared" si="6"/>
        <v>0</v>
      </c>
      <c r="U42" s="46" t="b">
        <f t="shared" si="7"/>
        <v>1</v>
      </c>
    </row>
    <row r="43" s="46" customFormat="1" spans="1:21">
      <c r="A43" s="32"/>
      <c r="B43" s="32" t="s">
        <v>387</v>
      </c>
      <c r="C43" s="32"/>
      <c r="D43" s="32"/>
      <c r="E43" s="32"/>
      <c r="F43" s="32"/>
      <c r="G43" s="48"/>
      <c r="H43" s="48"/>
      <c r="I43" s="49"/>
      <c r="J43" s="31"/>
      <c r="K43" s="31"/>
      <c r="L43" s="31"/>
      <c r="M43" s="48">
        <f t="shared" si="23"/>
        <v>0</v>
      </c>
      <c r="N43" s="48"/>
      <c r="O43" s="48"/>
      <c r="P43" s="32"/>
      <c r="R43" s="46">
        <f t="shared" si="4"/>
        <v>0</v>
      </c>
      <c r="S43" s="46">
        <f t="shared" si="5"/>
        <v>0</v>
      </c>
      <c r="T43" s="46" t="b">
        <f t="shared" si="6"/>
        <v>1</v>
      </c>
      <c r="U43" s="46" t="b">
        <f t="shared" si="7"/>
        <v>1</v>
      </c>
    </row>
    <row r="44" s="46" customFormat="1" ht="56.25" outlineLevel="1" spans="1:21">
      <c r="A44" s="32">
        <v>36</v>
      </c>
      <c r="B44" s="32" t="s">
        <v>336</v>
      </c>
      <c r="C44" s="32" t="s">
        <v>388</v>
      </c>
      <c r="D44" s="32" t="s">
        <v>102</v>
      </c>
      <c r="E44" s="32">
        <v>51.2</v>
      </c>
      <c r="F44" s="32">
        <f>F10</f>
        <v>25</v>
      </c>
      <c r="G44" s="48">
        <f t="shared" ref="G44:G73" si="24">H44*(1+I44)</f>
        <v>56.1</v>
      </c>
      <c r="H44" s="48">
        <v>55</v>
      </c>
      <c r="I44" s="49">
        <v>0.02</v>
      </c>
      <c r="J44" s="31">
        <v>6</v>
      </c>
      <c r="K44" s="31">
        <f>(F44+G44+J44)*$K$5</f>
        <v>5.226</v>
      </c>
      <c r="L44" s="31">
        <f>(F44+G44+J44+K44)*$L$5</f>
        <v>2.76978</v>
      </c>
      <c r="M44" s="48">
        <f t="shared" si="23"/>
        <v>142.64367</v>
      </c>
      <c r="N44" s="48"/>
      <c r="O44" s="48">
        <f t="shared" ref="O44:O73" si="25">M44*E44</f>
        <v>7303.355904</v>
      </c>
      <c r="P44" s="32"/>
      <c r="R44" s="46">
        <f t="shared" si="4"/>
        <v>7303.355904</v>
      </c>
      <c r="S44" s="46">
        <f t="shared" si="5"/>
        <v>95.09578</v>
      </c>
      <c r="T44" s="46" t="b">
        <f t="shared" si="6"/>
        <v>0</v>
      </c>
      <c r="U44" s="46" t="b">
        <f t="shared" si="7"/>
        <v>1</v>
      </c>
    </row>
    <row r="45" s="46" customFormat="1" ht="56.25" outlineLevel="1" spans="1:21">
      <c r="A45" s="32">
        <v>37</v>
      </c>
      <c r="B45" s="32" t="s">
        <v>336</v>
      </c>
      <c r="C45" s="32" t="s">
        <v>389</v>
      </c>
      <c r="D45" s="32" t="s">
        <v>102</v>
      </c>
      <c r="E45" s="32">
        <v>82.99</v>
      </c>
      <c r="F45" s="32">
        <f>F10</f>
        <v>25</v>
      </c>
      <c r="G45" s="48">
        <f t="shared" si="24"/>
        <v>48.96</v>
      </c>
      <c r="H45" s="48">
        <v>48</v>
      </c>
      <c r="I45" s="49">
        <v>0.02</v>
      </c>
      <c r="J45" s="31">
        <v>6</v>
      </c>
      <c r="K45" s="31">
        <f>(F45+G45+J45)*$K$5</f>
        <v>4.7976</v>
      </c>
      <c r="L45" s="31">
        <f>(F45+G45+J45+K45)*$L$5</f>
        <v>2.542728</v>
      </c>
      <c r="M45" s="48">
        <f t="shared" si="23"/>
        <v>130.950492</v>
      </c>
      <c r="N45" s="48"/>
      <c r="O45" s="48">
        <f t="shared" si="25"/>
        <v>10867.58133108</v>
      </c>
      <c r="P45" s="32"/>
      <c r="R45" s="46">
        <f t="shared" si="4"/>
        <v>10867.58133108</v>
      </c>
      <c r="S45" s="46">
        <f t="shared" si="5"/>
        <v>87.300328</v>
      </c>
      <c r="T45" s="46" t="b">
        <f t="shared" si="6"/>
        <v>0</v>
      </c>
      <c r="U45" s="46" t="b">
        <f t="shared" si="7"/>
        <v>1</v>
      </c>
    </row>
    <row r="46" s="46" customFormat="1" ht="67.5" outlineLevel="1" spans="1:21">
      <c r="A46" s="32">
        <v>38</v>
      </c>
      <c r="B46" s="32" t="s">
        <v>341</v>
      </c>
      <c r="C46" s="32" t="s">
        <v>342</v>
      </c>
      <c r="D46" s="32" t="s">
        <v>343</v>
      </c>
      <c r="E46" s="32">
        <v>67.08</v>
      </c>
      <c r="F46" s="32">
        <f t="shared" ref="F46:J46" si="26">F14</f>
        <v>4.6</v>
      </c>
      <c r="G46" s="48">
        <f t="shared" si="24"/>
        <v>5.04</v>
      </c>
      <c r="H46" s="32">
        <f t="shared" si="26"/>
        <v>4.8</v>
      </c>
      <c r="I46" s="49">
        <f t="shared" si="26"/>
        <v>0.05</v>
      </c>
      <c r="J46" s="30">
        <f t="shared" si="26"/>
        <v>3</v>
      </c>
      <c r="K46" s="31">
        <f>(F46+G46+J46)*$K$5</f>
        <v>0.7584</v>
      </c>
      <c r="L46" s="31">
        <f>(F46+G46+J46+K46)*$L$5</f>
        <v>0.401952</v>
      </c>
      <c r="M46" s="48">
        <f t="shared" si="23"/>
        <v>20.700528</v>
      </c>
      <c r="N46" s="48"/>
      <c r="O46" s="48">
        <f t="shared" si="25"/>
        <v>1388.59141824</v>
      </c>
      <c r="P46" s="32"/>
      <c r="R46" s="46">
        <f t="shared" si="4"/>
        <v>1388.59141824</v>
      </c>
      <c r="S46" s="46">
        <f t="shared" si="5"/>
        <v>13.800352</v>
      </c>
      <c r="T46" s="46" t="b">
        <f t="shared" si="6"/>
        <v>0</v>
      </c>
      <c r="U46" s="46" t="b">
        <f t="shared" si="7"/>
        <v>1</v>
      </c>
    </row>
    <row r="47" s="46" customFormat="1" ht="56.25" outlineLevel="1" spans="1:21">
      <c r="A47" s="32">
        <v>39</v>
      </c>
      <c r="B47" s="32" t="s">
        <v>344</v>
      </c>
      <c r="C47" s="32" t="s">
        <v>345</v>
      </c>
      <c r="D47" s="32" t="s">
        <v>102</v>
      </c>
      <c r="E47" s="32">
        <v>212.52</v>
      </c>
      <c r="F47" s="32">
        <f t="shared" ref="F47:J47" si="27">F15</f>
        <v>10</v>
      </c>
      <c r="G47" s="48">
        <f t="shared" si="24"/>
        <v>5.665</v>
      </c>
      <c r="H47" s="32">
        <f t="shared" si="27"/>
        <v>5.5</v>
      </c>
      <c r="I47" s="49">
        <f t="shared" si="27"/>
        <v>0.03</v>
      </c>
      <c r="J47" s="30">
        <f t="shared" si="27"/>
        <v>2</v>
      </c>
      <c r="K47" s="31">
        <f>(F47+G47+J47)*$K$5</f>
        <v>1.0599</v>
      </c>
      <c r="L47" s="31">
        <f>(F47+G47+J47+K47)*$L$5</f>
        <v>0.561747</v>
      </c>
      <c r="M47" s="48">
        <f t="shared" si="23"/>
        <v>28.9299705</v>
      </c>
      <c r="N47" s="48"/>
      <c r="O47" s="48">
        <f t="shared" si="25"/>
        <v>6148.19733066</v>
      </c>
      <c r="P47" s="32" t="str">
        <f>P20</f>
        <v>郑州三厂</v>
      </c>
      <c r="R47" s="46">
        <f t="shared" si="4"/>
        <v>6148.19733066</v>
      </c>
      <c r="S47" s="46">
        <f t="shared" si="5"/>
        <v>19.286647</v>
      </c>
      <c r="T47" s="46" t="b">
        <f t="shared" si="6"/>
        <v>0</v>
      </c>
      <c r="U47" s="46" t="b">
        <f t="shared" si="7"/>
        <v>1</v>
      </c>
    </row>
    <row r="48" s="46" customFormat="1" ht="56.25" outlineLevel="1" spans="1:21">
      <c r="A48" s="32">
        <v>40</v>
      </c>
      <c r="B48" s="32" t="s">
        <v>344</v>
      </c>
      <c r="C48" s="32" t="s">
        <v>347</v>
      </c>
      <c r="D48" s="32" t="s">
        <v>102</v>
      </c>
      <c r="E48" s="32">
        <v>49.04</v>
      </c>
      <c r="F48" s="32">
        <f t="shared" ref="F48:J48" si="28">F15</f>
        <v>10</v>
      </c>
      <c r="G48" s="48">
        <f t="shared" si="24"/>
        <v>5.665</v>
      </c>
      <c r="H48" s="32">
        <f t="shared" si="28"/>
        <v>5.5</v>
      </c>
      <c r="I48" s="49">
        <f t="shared" si="28"/>
        <v>0.03</v>
      </c>
      <c r="J48" s="30">
        <f t="shared" si="28"/>
        <v>2</v>
      </c>
      <c r="K48" s="31">
        <f>(F48+G48+J48)*$K$5</f>
        <v>1.0599</v>
      </c>
      <c r="L48" s="31">
        <f>(F48+G48+J48+K48)*$L$5</f>
        <v>0.561747</v>
      </c>
      <c r="M48" s="48">
        <f t="shared" si="23"/>
        <v>28.9299705</v>
      </c>
      <c r="N48" s="48"/>
      <c r="O48" s="48">
        <f t="shared" si="25"/>
        <v>1418.72575332</v>
      </c>
      <c r="P48" s="32" t="str">
        <f>P47</f>
        <v>郑州三厂</v>
      </c>
      <c r="R48" s="46">
        <f t="shared" si="4"/>
        <v>1418.72575332</v>
      </c>
      <c r="S48" s="46">
        <f t="shared" si="5"/>
        <v>19.286647</v>
      </c>
      <c r="T48" s="46" t="b">
        <f t="shared" si="6"/>
        <v>0</v>
      </c>
      <c r="U48" s="46" t="b">
        <f t="shared" si="7"/>
        <v>1</v>
      </c>
    </row>
    <row r="49" s="46" customFormat="1" ht="56.25" outlineLevel="1" spans="1:21">
      <c r="A49" s="32">
        <v>41</v>
      </c>
      <c r="B49" s="32" t="s">
        <v>344</v>
      </c>
      <c r="C49" s="32" t="s">
        <v>348</v>
      </c>
      <c r="D49" s="32" t="s">
        <v>102</v>
      </c>
      <c r="E49" s="32">
        <v>5.52</v>
      </c>
      <c r="F49" s="32">
        <f t="shared" ref="F49:J49" si="29">F17</f>
        <v>10</v>
      </c>
      <c r="G49" s="48">
        <f t="shared" si="24"/>
        <v>8.858</v>
      </c>
      <c r="H49" s="32">
        <f t="shared" si="29"/>
        <v>8.6</v>
      </c>
      <c r="I49" s="49">
        <f t="shared" si="29"/>
        <v>0.03</v>
      </c>
      <c r="J49" s="30">
        <f t="shared" si="29"/>
        <v>2</v>
      </c>
      <c r="K49" s="31">
        <f>(F49+G49+J49)*$K$5</f>
        <v>1.25148</v>
      </c>
      <c r="L49" s="31">
        <f>(F49+G49+J49+K49)*$L$5</f>
        <v>0.6632844</v>
      </c>
      <c r="M49" s="48">
        <f t="shared" si="23"/>
        <v>34.1591466</v>
      </c>
      <c r="N49" s="48"/>
      <c r="O49" s="48">
        <f t="shared" si="25"/>
        <v>188.558489232</v>
      </c>
      <c r="P49" s="32" t="str">
        <f>P47</f>
        <v>郑州三厂</v>
      </c>
      <c r="R49" s="46">
        <f t="shared" si="4"/>
        <v>188.558489232</v>
      </c>
      <c r="S49" s="46">
        <f t="shared" si="5"/>
        <v>22.7727644</v>
      </c>
      <c r="T49" s="46" t="b">
        <f t="shared" si="6"/>
        <v>0</v>
      </c>
      <c r="U49" s="46" t="b">
        <f t="shared" si="7"/>
        <v>1</v>
      </c>
    </row>
    <row r="50" s="46" customFormat="1" ht="56.25" outlineLevel="1" spans="1:21">
      <c r="A50" s="32">
        <v>42</v>
      </c>
      <c r="B50" s="32" t="s">
        <v>344</v>
      </c>
      <c r="C50" s="32" t="s">
        <v>349</v>
      </c>
      <c r="D50" s="32" t="s">
        <v>102</v>
      </c>
      <c r="E50" s="32">
        <v>6</v>
      </c>
      <c r="F50" s="32">
        <f t="shared" ref="F50:J50" si="30">F18</f>
        <v>10</v>
      </c>
      <c r="G50" s="48">
        <f t="shared" si="24"/>
        <v>8.858</v>
      </c>
      <c r="H50" s="32">
        <f t="shared" si="30"/>
        <v>8.6</v>
      </c>
      <c r="I50" s="49">
        <f t="shared" si="30"/>
        <v>0.03</v>
      </c>
      <c r="J50" s="30">
        <f t="shared" si="30"/>
        <v>2</v>
      </c>
      <c r="K50" s="31">
        <f>(F50+G50+J50)*$K$5</f>
        <v>1.25148</v>
      </c>
      <c r="L50" s="31">
        <f>(F50+G50+J50+K50)*$L$5</f>
        <v>0.6632844</v>
      </c>
      <c r="M50" s="48">
        <f t="shared" si="23"/>
        <v>34.1591466</v>
      </c>
      <c r="N50" s="48"/>
      <c r="O50" s="48">
        <f t="shared" si="25"/>
        <v>204.9548796</v>
      </c>
      <c r="P50" s="32" t="str">
        <f>P47</f>
        <v>郑州三厂</v>
      </c>
      <c r="R50" s="46">
        <f t="shared" si="4"/>
        <v>204.9548796</v>
      </c>
      <c r="S50" s="46">
        <f t="shared" si="5"/>
        <v>22.7727644</v>
      </c>
      <c r="T50" s="46" t="b">
        <f t="shared" si="6"/>
        <v>0</v>
      </c>
      <c r="U50" s="46" t="b">
        <f t="shared" si="7"/>
        <v>1</v>
      </c>
    </row>
    <row r="51" s="46" customFormat="1" ht="56.25" outlineLevel="1" spans="1:21">
      <c r="A51" s="32">
        <v>43</v>
      </c>
      <c r="B51" s="32" t="s">
        <v>354</v>
      </c>
      <c r="C51" s="32" t="s">
        <v>390</v>
      </c>
      <c r="D51" s="32" t="s">
        <v>102</v>
      </c>
      <c r="E51" s="32">
        <v>31.01</v>
      </c>
      <c r="F51" s="32">
        <f>F21</f>
        <v>3</v>
      </c>
      <c r="G51" s="48">
        <f t="shared" si="24"/>
        <v>3.248</v>
      </c>
      <c r="H51" s="48">
        <v>2.8</v>
      </c>
      <c r="I51" s="49">
        <f>I24</f>
        <v>0.16</v>
      </c>
      <c r="J51" s="31">
        <f>J24</f>
        <v>0.5</v>
      </c>
      <c r="K51" s="31">
        <f>(F51+G51+J51)*$K$5</f>
        <v>0.40488</v>
      </c>
      <c r="L51" s="31">
        <f>(F51+G51+J51+K51)*$L$5</f>
        <v>0.2145864</v>
      </c>
      <c r="M51" s="48">
        <f t="shared" si="23"/>
        <v>11.0511996</v>
      </c>
      <c r="N51" s="48"/>
      <c r="O51" s="48">
        <f t="shared" si="25"/>
        <v>342.697699596</v>
      </c>
      <c r="P51" s="32" t="str">
        <f>P47</f>
        <v>郑州三厂</v>
      </c>
      <c r="R51" s="46">
        <f t="shared" si="4"/>
        <v>342.697699596</v>
      </c>
      <c r="S51" s="46">
        <f t="shared" si="5"/>
        <v>7.3674664</v>
      </c>
      <c r="T51" s="46" t="b">
        <f t="shared" si="6"/>
        <v>0</v>
      </c>
      <c r="U51" s="46" t="b">
        <f t="shared" si="7"/>
        <v>1</v>
      </c>
    </row>
    <row r="52" s="46" customFormat="1" ht="56.25" outlineLevel="1" spans="1:21">
      <c r="A52" s="32">
        <v>44</v>
      </c>
      <c r="B52" s="32" t="s">
        <v>354</v>
      </c>
      <c r="C52" s="32" t="s">
        <v>391</v>
      </c>
      <c r="D52" s="32" t="s">
        <v>102</v>
      </c>
      <c r="E52" s="32">
        <v>89.12</v>
      </c>
      <c r="F52" s="32">
        <f>F21</f>
        <v>3</v>
      </c>
      <c r="G52" s="48">
        <f t="shared" si="24"/>
        <v>3.248</v>
      </c>
      <c r="H52" s="48">
        <f t="shared" ref="H52:J52" si="31">H51</f>
        <v>2.8</v>
      </c>
      <c r="I52" s="49">
        <f t="shared" si="31"/>
        <v>0.16</v>
      </c>
      <c r="J52" s="31">
        <f t="shared" si="31"/>
        <v>0.5</v>
      </c>
      <c r="K52" s="31">
        <f>(F52+G52+J52)*$K$5</f>
        <v>0.40488</v>
      </c>
      <c r="L52" s="31">
        <f>(F52+G52+J52+K52)*$L$5</f>
        <v>0.2145864</v>
      </c>
      <c r="M52" s="48">
        <f t="shared" si="23"/>
        <v>11.0511996</v>
      </c>
      <c r="N52" s="48"/>
      <c r="O52" s="48">
        <f t="shared" si="25"/>
        <v>984.882908352</v>
      </c>
      <c r="P52" s="32" t="str">
        <f>P51</f>
        <v>郑州三厂</v>
      </c>
      <c r="R52" s="46">
        <f t="shared" si="4"/>
        <v>984.882908352</v>
      </c>
      <c r="S52" s="46">
        <f t="shared" si="5"/>
        <v>7.3674664</v>
      </c>
      <c r="T52" s="46" t="b">
        <f t="shared" si="6"/>
        <v>0</v>
      </c>
      <c r="U52" s="46" t="b">
        <f t="shared" si="7"/>
        <v>1</v>
      </c>
    </row>
    <row r="53" s="46" customFormat="1" ht="56.25" outlineLevel="1" spans="1:21">
      <c r="A53" s="32">
        <v>45</v>
      </c>
      <c r="B53" s="32" t="s">
        <v>354</v>
      </c>
      <c r="C53" s="32" t="s">
        <v>392</v>
      </c>
      <c r="D53" s="32" t="s">
        <v>102</v>
      </c>
      <c r="E53" s="32">
        <v>3.42</v>
      </c>
      <c r="F53" s="32">
        <f>F21</f>
        <v>3</v>
      </c>
      <c r="G53" s="48">
        <f t="shared" si="24"/>
        <v>2.436</v>
      </c>
      <c r="H53" s="48">
        <v>2.1</v>
      </c>
      <c r="I53" s="49">
        <f t="shared" ref="I53:I59" si="32">I52</f>
        <v>0.16</v>
      </c>
      <c r="J53" s="31">
        <f t="shared" ref="J53:J59" si="33">J52</f>
        <v>0.5</v>
      </c>
      <c r="K53" s="31">
        <f>(F53+G53+J53)*$K$5</f>
        <v>0.35616</v>
      </c>
      <c r="L53" s="31">
        <f>(F53+G53+J53+K53)*$L$5</f>
        <v>0.1887648</v>
      </c>
      <c r="M53" s="48">
        <f t="shared" si="23"/>
        <v>9.7213872</v>
      </c>
      <c r="N53" s="48"/>
      <c r="O53" s="48">
        <f t="shared" si="25"/>
        <v>33.247144224</v>
      </c>
      <c r="P53" s="32" t="str">
        <f>P51</f>
        <v>郑州三厂</v>
      </c>
      <c r="R53" s="46">
        <f t="shared" si="4"/>
        <v>33.247144224</v>
      </c>
      <c r="S53" s="46">
        <f t="shared" si="5"/>
        <v>6.4809248</v>
      </c>
      <c r="T53" s="46" t="b">
        <f t="shared" si="6"/>
        <v>0</v>
      </c>
      <c r="U53" s="46" t="b">
        <f t="shared" si="7"/>
        <v>1</v>
      </c>
    </row>
    <row r="54" s="46" customFormat="1" ht="56.25" outlineLevel="1" spans="1:21">
      <c r="A54" s="32">
        <v>46</v>
      </c>
      <c r="B54" s="32" t="s">
        <v>354</v>
      </c>
      <c r="C54" s="32" t="s">
        <v>393</v>
      </c>
      <c r="D54" s="32" t="s">
        <v>102</v>
      </c>
      <c r="E54" s="32">
        <v>109.58</v>
      </c>
      <c r="F54" s="32">
        <f>F21</f>
        <v>3</v>
      </c>
      <c r="G54" s="48">
        <f t="shared" si="24"/>
        <v>4.06</v>
      </c>
      <c r="H54" s="48">
        <v>3.5</v>
      </c>
      <c r="I54" s="49">
        <f t="shared" si="32"/>
        <v>0.16</v>
      </c>
      <c r="J54" s="31">
        <f t="shared" si="33"/>
        <v>0.5</v>
      </c>
      <c r="K54" s="31">
        <f>(F54+G54+J54)*$K$5</f>
        <v>0.4536</v>
      </c>
      <c r="L54" s="31">
        <f>(F54+G54+J54+K54)*$L$5</f>
        <v>0.240408</v>
      </c>
      <c r="M54" s="48">
        <f t="shared" si="23"/>
        <v>12.381012</v>
      </c>
      <c r="N54" s="48"/>
      <c r="O54" s="48">
        <f t="shared" si="25"/>
        <v>1356.71129496</v>
      </c>
      <c r="P54" s="32" t="str">
        <f>P51</f>
        <v>郑州三厂</v>
      </c>
      <c r="R54" s="46">
        <f t="shared" si="4"/>
        <v>1356.71129496</v>
      </c>
      <c r="S54" s="46">
        <f t="shared" si="5"/>
        <v>8.254008</v>
      </c>
      <c r="T54" s="46" t="b">
        <f t="shared" si="6"/>
        <v>0</v>
      </c>
      <c r="U54" s="46" t="b">
        <f t="shared" si="7"/>
        <v>1</v>
      </c>
    </row>
    <row r="55" s="46" customFormat="1" ht="56.25" outlineLevel="1" spans="1:21">
      <c r="A55" s="32">
        <v>47</v>
      </c>
      <c r="B55" s="32" t="s">
        <v>354</v>
      </c>
      <c r="C55" s="32" t="s">
        <v>394</v>
      </c>
      <c r="D55" s="32" t="s">
        <v>102</v>
      </c>
      <c r="E55" s="32">
        <v>49.9</v>
      </c>
      <c r="F55" s="32">
        <f>F21</f>
        <v>3</v>
      </c>
      <c r="G55" s="48">
        <f t="shared" si="24"/>
        <v>5.22</v>
      </c>
      <c r="H55" s="48">
        <v>4.5</v>
      </c>
      <c r="I55" s="49">
        <f>I53</f>
        <v>0.16</v>
      </c>
      <c r="J55" s="31">
        <f>J53</f>
        <v>0.5</v>
      </c>
      <c r="K55" s="31">
        <f>(F55+G55+J55)*$K$5</f>
        <v>0.5232</v>
      </c>
      <c r="L55" s="31">
        <f>(F55+G55+J55+K55)*$L$5</f>
        <v>0.277296</v>
      </c>
      <c r="M55" s="48">
        <f t="shared" si="23"/>
        <v>14.280744</v>
      </c>
      <c r="N55" s="48"/>
      <c r="O55" s="48">
        <f t="shared" si="25"/>
        <v>712.6091256</v>
      </c>
      <c r="P55" s="32" t="str">
        <f>P53</f>
        <v>郑州三厂</v>
      </c>
      <c r="R55" s="46">
        <f t="shared" si="4"/>
        <v>712.6091256</v>
      </c>
      <c r="S55" s="46">
        <f t="shared" si="5"/>
        <v>9.520496</v>
      </c>
      <c r="T55" s="46" t="b">
        <f t="shared" si="6"/>
        <v>0</v>
      </c>
      <c r="U55" s="46" t="b">
        <f t="shared" si="7"/>
        <v>1</v>
      </c>
    </row>
    <row r="56" s="46" customFormat="1" ht="56.25" outlineLevel="1" spans="1:21">
      <c r="A56" s="32">
        <v>48</v>
      </c>
      <c r="B56" s="32" t="s">
        <v>354</v>
      </c>
      <c r="C56" s="32" t="s">
        <v>395</v>
      </c>
      <c r="D56" s="32" t="s">
        <v>102</v>
      </c>
      <c r="E56" s="32">
        <v>2.15</v>
      </c>
      <c r="F56" s="32">
        <f>F21</f>
        <v>3</v>
      </c>
      <c r="G56" s="48">
        <f t="shared" si="24"/>
        <v>3.712</v>
      </c>
      <c r="H56" s="48">
        <v>3.2</v>
      </c>
      <c r="I56" s="49">
        <f>I53</f>
        <v>0.16</v>
      </c>
      <c r="J56" s="31">
        <f>J53</f>
        <v>0.5</v>
      </c>
      <c r="K56" s="31">
        <f>(F56+G56+J56)*$K$5</f>
        <v>0.43272</v>
      </c>
      <c r="L56" s="31">
        <f>(F56+G56+J56+K56)*$L$5</f>
        <v>0.2293416</v>
      </c>
      <c r="M56" s="48">
        <f t="shared" si="23"/>
        <v>11.8110924</v>
      </c>
      <c r="N56" s="48"/>
      <c r="O56" s="48">
        <f t="shared" si="25"/>
        <v>25.39384866</v>
      </c>
      <c r="P56" s="32" t="str">
        <f>P55</f>
        <v>郑州三厂</v>
      </c>
      <c r="R56" s="46">
        <f t="shared" si="4"/>
        <v>25.39384866</v>
      </c>
      <c r="S56" s="46">
        <f t="shared" si="5"/>
        <v>7.8740616</v>
      </c>
      <c r="T56" s="46" t="b">
        <f t="shared" si="6"/>
        <v>0</v>
      </c>
      <c r="U56" s="46" t="b">
        <f t="shared" si="7"/>
        <v>1</v>
      </c>
    </row>
    <row r="57" s="46" customFormat="1" ht="56.25" outlineLevel="1" spans="1:21">
      <c r="A57" s="32">
        <v>49</v>
      </c>
      <c r="B57" s="32" t="s">
        <v>354</v>
      </c>
      <c r="C57" s="32" t="s">
        <v>396</v>
      </c>
      <c r="D57" s="32" t="s">
        <v>102</v>
      </c>
      <c r="E57" s="32">
        <v>3.43</v>
      </c>
      <c r="F57" s="32">
        <f>F21</f>
        <v>3</v>
      </c>
      <c r="G57" s="48">
        <f t="shared" si="24"/>
        <v>3.248</v>
      </c>
      <c r="H57" s="48">
        <v>2.8</v>
      </c>
      <c r="I57" s="49">
        <f>I53</f>
        <v>0.16</v>
      </c>
      <c r="J57" s="31">
        <f>J53</f>
        <v>0.5</v>
      </c>
      <c r="K57" s="31">
        <f>(F57+G57+J57)*$K$5</f>
        <v>0.40488</v>
      </c>
      <c r="L57" s="31">
        <f>(F57+G57+J57+K57)*$L$5</f>
        <v>0.2145864</v>
      </c>
      <c r="M57" s="48">
        <f t="shared" si="23"/>
        <v>11.0511996</v>
      </c>
      <c r="N57" s="48"/>
      <c r="O57" s="48">
        <f t="shared" si="25"/>
        <v>37.905614628</v>
      </c>
      <c r="P57" s="32" t="str">
        <f>P55</f>
        <v>郑州三厂</v>
      </c>
      <c r="R57" s="46">
        <f t="shared" si="4"/>
        <v>37.905614628</v>
      </c>
      <c r="S57" s="46">
        <f t="shared" si="5"/>
        <v>7.3674664</v>
      </c>
      <c r="T57" s="46" t="b">
        <f t="shared" si="6"/>
        <v>0</v>
      </c>
      <c r="U57" s="46" t="b">
        <f t="shared" si="7"/>
        <v>1</v>
      </c>
    </row>
    <row r="58" s="46" customFormat="1" ht="56.25" outlineLevel="1" spans="1:21">
      <c r="A58" s="32">
        <v>50</v>
      </c>
      <c r="B58" s="32" t="s">
        <v>397</v>
      </c>
      <c r="C58" s="32" t="s">
        <v>398</v>
      </c>
      <c r="D58" s="32" t="s">
        <v>102</v>
      </c>
      <c r="E58" s="32">
        <v>188.97</v>
      </c>
      <c r="F58" s="32">
        <f>F57</f>
        <v>3</v>
      </c>
      <c r="G58" s="48">
        <f t="shared" si="24"/>
        <v>4.06</v>
      </c>
      <c r="H58" s="48">
        <v>3.5</v>
      </c>
      <c r="I58" s="49">
        <f t="shared" si="32"/>
        <v>0.16</v>
      </c>
      <c r="J58" s="31">
        <f t="shared" si="33"/>
        <v>0.5</v>
      </c>
      <c r="K58" s="31">
        <f>(F58+G58+J58)*$K$5</f>
        <v>0.4536</v>
      </c>
      <c r="L58" s="31">
        <f>(F58+G58+J58+K58)*$L$5</f>
        <v>0.240408</v>
      </c>
      <c r="M58" s="48">
        <f t="shared" si="23"/>
        <v>12.381012</v>
      </c>
      <c r="N58" s="48"/>
      <c r="O58" s="48">
        <f t="shared" si="25"/>
        <v>2339.63983764</v>
      </c>
      <c r="P58" s="32" t="str">
        <f>P55</f>
        <v>郑州三厂</v>
      </c>
      <c r="R58" s="46">
        <f t="shared" si="4"/>
        <v>2339.63983764</v>
      </c>
      <c r="S58" s="46">
        <f t="shared" si="5"/>
        <v>8.254008</v>
      </c>
      <c r="T58" s="46" t="b">
        <f t="shared" si="6"/>
        <v>0</v>
      </c>
      <c r="U58" s="46" t="b">
        <f t="shared" si="7"/>
        <v>1</v>
      </c>
    </row>
    <row r="59" s="46" customFormat="1" ht="56.25" outlineLevel="1" spans="1:21">
      <c r="A59" s="32">
        <v>51</v>
      </c>
      <c r="B59" s="32" t="s">
        <v>397</v>
      </c>
      <c r="C59" s="32" t="s">
        <v>399</v>
      </c>
      <c r="D59" s="32" t="s">
        <v>102</v>
      </c>
      <c r="E59" s="32">
        <v>1227.09</v>
      </c>
      <c r="F59" s="32">
        <f>F58</f>
        <v>3</v>
      </c>
      <c r="G59" s="48">
        <f t="shared" si="24"/>
        <v>4.06</v>
      </c>
      <c r="H59" s="48">
        <v>3.5</v>
      </c>
      <c r="I59" s="49">
        <f t="shared" si="32"/>
        <v>0.16</v>
      </c>
      <c r="J59" s="31">
        <f t="shared" si="33"/>
        <v>0.5</v>
      </c>
      <c r="K59" s="31">
        <f>(F59+G59+J59)*$K$5</f>
        <v>0.4536</v>
      </c>
      <c r="L59" s="31">
        <f>(F59+G59+J59+K59)*$L$5</f>
        <v>0.240408</v>
      </c>
      <c r="M59" s="48">
        <f t="shared" si="23"/>
        <v>12.381012</v>
      </c>
      <c r="N59" s="48"/>
      <c r="O59" s="48">
        <f t="shared" si="25"/>
        <v>15192.61601508</v>
      </c>
      <c r="P59" s="32" t="str">
        <f>P56</f>
        <v>郑州三厂</v>
      </c>
      <c r="R59" s="46">
        <f t="shared" si="4"/>
        <v>15192.61601508</v>
      </c>
      <c r="S59" s="46">
        <f t="shared" si="5"/>
        <v>8.254008</v>
      </c>
      <c r="T59" s="46" t="b">
        <f t="shared" si="6"/>
        <v>0</v>
      </c>
      <c r="U59" s="46" t="b">
        <f t="shared" si="7"/>
        <v>1</v>
      </c>
    </row>
    <row r="60" s="46" customFormat="1" ht="45" outlineLevel="1" spans="1:21">
      <c r="A60" s="32">
        <v>52</v>
      </c>
      <c r="B60" s="32" t="s">
        <v>400</v>
      </c>
      <c r="C60" s="32" t="s">
        <v>401</v>
      </c>
      <c r="D60" s="32" t="s">
        <v>334</v>
      </c>
      <c r="E60" s="32">
        <v>1</v>
      </c>
      <c r="F60" s="32">
        <v>500</v>
      </c>
      <c r="G60" s="48">
        <f t="shared" si="24"/>
        <v>5555</v>
      </c>
      <c r="H60" s="48">
        <v>5500</v>
      </c>
      <c r="I60" s="49">
        <v>0.01</v>
      </c>
      <c r="J60" s="31">
        <v>50</v>
      </c>
      <c r="K60" s="31">
        <f>(F60+G60+J60)*$K$5</f>
        <v>366.3</v>
      </c>
      <c r="L60" s="31">
        <f>(F60+G60+J60+K60)*$L$5</f>
        <v>194.139</v>
      </c>
      <c r="M60" s="48">
        <f t="shared" si="23"/>
        <v>9998.1585</v>
      </c>
      <c r="N60" s="48"/>
      <c r="O60" s="48">
        <f t="shared" si="25"/>
        <v>9998.1585</v>
      </c>
      <c r="P60" s="32"/>
      <c r="R60" s="46">
        <f t="shared" si="4"/>
        <v>9998.1585</v>
      </c>
      <c r="S60" s="46">
        <f t="shared" si="5"/>
        <v>6665.439</v>
      </c>
      <c r="T60" s="46" t="b">
        <f t="shared" si="6"/>
        <v>0</v>
      </c>
      <c r="U60" s="46" t="b">
        <f t="shared" si="7"/>
        <v>1</v>
      </c>
    </row>
    <row r="61" s="46" customFormat="1" ht="45" outlineLevel="1" spans="1:21">
      <c r="A61" s="32">
        <v>53</v>
      </c>
      <c r="B61" s="32" t="s">
        <v>402</v>
      </c>
      <c r="C61" s="32" t="s">
        <v>403</v>
      </c>
      <c r="D61" s="32" t="s">
        <v>334</v>
      </c>
      <c r="E61" s="32">
        <v>1</v>
      </c>
      <c r="F61" s="32">
        <v>2000</v>
      </c>
      <c r="G61" s="48">
        <f t="shared" si="24"/>
        <v>15150</v>
      </c>
      <c r="H61" s="48">
        <v>15000</v>
      </c>
      <c r="I61" s="49">
        <v>0.01</v>
      </c>
      <c r="J61" s="31">
        <v>85</v>
      </c>
      <c r="K61" s="31">
        <f>(F61+G61+J61)*$K$5</f>
        <v>1034.1</v>
      </c>
      <c r="L61" s="31">
        <f>(F61+G61+J61+K61)*$L$5</f>
        <v>548.073</v>
      </c>
      <c r="M61" s="48">
        <f t="shared" si="23"/>
        <v>28225.7595</v>
      </c>
      <c r="N61" s="48"/>
      <c r="O61" s="48">
        <f t="shared" si="25"/>
        <v>28225.7595</v>
      </c>
      <c r="P61" s="32"/>
      <c r="R61" s="46">
        <f t="shared" si="4"/>
        <v>28225.7595</v>
      </c>
      <c r="S61" s="46">
        <f t="shared" si="5"/>
        <v>18817.173</v>
      </c>
      <c r="T61" s="46" t="b">
        <f t="shared" si="6"/>
        <v>0</v>
      </c>
      <c r="U61" s="46" t="b">
        <f t="shared" si="7"/>
        <v>1</v>
      </c>
    </row>
    <row r="62" s="46" customFormat="1" ht="56.25" outlineLevel="1" spans="1:21">
      <c r="A62" s="32">
        <v>54</v>
      </c>
      <c r="B62" s="32" t="s">
        <v>404</v>
      </c>
      <c r="C62" s="32" t="s">
        <v>405</v>
      </c>
      <c r="D62" s="32" t="s">
        <v>334</v>
      </c>
      <c r="E62" s="32">
        <v>9</v>
      </c>
      <c r="F62" s="32">
        <v>35</v>
      </c>
      <c r="G62" s="48">
        <f t="shared" si="24"/>
        <v>166.65</v>
      </c>
      <c r="H62" s="48">
        <v>165</v>
      </c>
      <c r="I62" s="49">
        <v>0.01</v>
      </c>
      <c r="J62" s="31">
        <v>5</v>
      </c>
      <c r="K62" s="31">
        <f>(F62+G62+J62)*$K$5</f>
        <v>12.399</v>
      </c>
      <c r="L62" s="31">
        <f>(F62+G62+J62+K62)*$L$5</f>
        <v>6.57147</v>
      </c>
      <c r="M62" s="48">
        <f t="shared" si="23"/>
        <v>338.430705</v>
      </c>
      <c r="N62" s="48"/>
      <c r="O62" s="48">
        <f t="shared" si="25"/>
        <v>3045.876345</v>
      </c>
      <c r="P62" s="32"/>
      <c r="R62" s="46">
        <f t="shared" si="4"/>
        <v>3045.876345</v>
      </c>
      <c r="S62" s="46">
        <f t="shared" si="5"/>
        <v>225.62047</v>
      </c>
      <c r="T62" s="46" t="b">
        <f t="shared" si="6"/>
        <v>0</v>
      </c>
      <c r="U62" s="46" t="b">
        <f t="shared" si="7"/>
        <v>1</v>
      </c>
    </row>
    <row r="63" s="46" customFormat="1" ht="45" outlineLevel="1" spans="1:21">
      <c r="A63" s="32">
        <v>55</v>
      </c>
      <c r="B63" s="32" t="s">
        <v>404</v>
      </c>
      <c r="C63" s="32" t="s">
        <v>406</v>
      </c>
      <c r="D63" s="32" t="s">
        <v>334</v>
      </c>
      <c r="E63" s="32">
        <v>1</v>
      </c>
      <c r="F63" s="32">
        <v>50</v>
      </c>
      <c r="G63" s="48">
        <f t="shared" si="24"/>
        <v>505</v>
      </c>
      <c r="H63" s="48">
        <v>500</v>
      </c>
      <c r="I63" s="49">
        <v>0.01</v>
      </c>
      <c r="J63" s="31">
        <v>5</v>
      </c>
      <c r="K63" s="31">
        <f>(F63+G63+J63)*$K$5</f>
        <v>33.6</v>
      </c>
      <c r="L63" s="31">
        <f>(F63+G63+J63+K63)*$L$5</f>
        <v>17.808</v>
      </c>
      <c r="M63" s="48">
        <f t="shared" si="23"/>
        <v>917.112</v>
      </c>
      <c r="N63" s="48"/>
      <c r="O63" s="48">
        <f t="shared" si="25"/>
        <v>917.112</v>
      </c>
      <c r="P63" s="32"/>
      <c r="R63" s="46">
        <f t="shared" si="4"/>
        <v>917.112</v>
      </c>
      <c r="S63" s="46">
        <f t="shared" si="5"/>
        <v>611.408</v>
      </c>
      <c r="T63" s="46" t="b">
        <f t="shared" si="6"/>
        <v>0</v>
      </c>
      <c r="U63" s="46" t="b">
        <f t="shared" si="7"/>
        <v>1</v>
      </c>
    </row>
    <row r="64" s="46" customFormat="1" ht="45" outlineLevel="1" spans="1:21">
      <c r="A64" s="32">
        <v>56</v>
      </c>
      <c r="B64" s="32" t="s">
        <v>407</v>
      </c>
      <c r="C64" s="32" t="s">
        <v>408</v>
      </c>
      <c r="D64" s="32" t="s">
        <v>96</v>
      </c>
      <c r="E64" s="32">
        <v>1</v>
      </c>
      <c r="F64" s="32">
        <f t="shared" ref="F64:J64" si="34">F37</f>
        <v>15</v>
      </c>
      <c r="G64" s="48">
        <f t="shared" si="24"/>
        <v>45.45</v>
      </c>
      <c r="H64" s="48">
        <v>45</v>
      </c>
      <c r="I64" s="49">
        <f t="shared" si="34"/>
        <v>0.01</v>
      </c>
      <c r="J64" s="31">
        <f t="shared" si="34"/>
        <v>5</v>
      </c>
      <c r="K64" s="31">
        <f>(F64+G64+J64)*$K$5</f>
        <v>3.927</v>
      </c>
      <c r="L64" s="31">
        <f>(F64+G64+J64+K64)*$L$5</f>
        <v>2.08131</v>
      </c>
      <c r="M64" s="48">
        <f t="shared" si="23"/>
        <v>107.187465</v>
      </c>
      <c r="N64" s="48"/>
      <c r="O64" s="48">
        <f t="shared" si="25"/>
        <v>107.187465</v>
      </c>
      <c r="P64" s="32"/>
      <c r="R64" s="46">
        <f t="shared" si="4"/>
        <v>107.187465</v>
      </c>
      <c r="S64" s="46">
        <f t="shared" si="5"/>
        <v>71.45831</v>
      </c>
      <c r="T64" s="46" t="b">
        <f t="shared" si="6"/>
        <v>0</v>
      </c>
      <c r="U64" s="46" t="b">
        <f t="shared" si="7"/>
        <v>1</v>
      </c>
    </row>
    <row r="65" s="46" customFormat="1" ht="56.25" outlineLevel="1" spans="1:21">
      <c r="A65" s="32">
        <v>57</v>
      </c>
      <c r="B65" s="32" t="s">
        <v>407</v>
      </c>
      <c r="C65" s="32" t="s">
        <v>409</v>
      </c>
      <c r="D65" s="32" t="s">
        <v>96</v>
      </c>
      <c r="E65" s="32">
        <v>3</v>
      </c>
      <c r="F65" s="32">
        <f t="shared" ref="F65:J65" si="35">F37</f>
        <v>15</v>
      </c>
      <c r="G65" s="48">
        <f t="shared" si="24"/>
        <v>161.6</v>
      </c>
      <c r="H65" s="48">
        <v>160</v>
      </c>
      <c r="I65" s="49">
        <f t="shared" si="35"/>
        <v>0.01</v>
      </c>
      <c r="J65" s="31">
        <f t="shared" si="35"/>
        <v>5</v>
      </c>
      <c r="K65" s="31">
        <f>(F65+G65+J65)*$K$5</f>
        <v>10.896</v>
      </c>
      <c r="L65" s="31">
        <f>(F65+G65+J65+K65)*$L$5</f>
        <v>5.77488</v>
      </c>
      <c r="M65" s="48">
        <f t="shared" si="23"/>
        <v>297.40632</v>
      </c>
      <c r="N65" s="48"/>
      <c r="O65" s="48">
        <f t="shared" si="25"/>
        <v>892.21896</v>
      </c>
      <c r="P65" s="32"/>
      <c r="R65" s="46">
        <f t="shared" si="4"/>
        <v>892.21896</v>
      </c>
      <c r="S65" s="46">
        <f t="shared" si="5"/>
        <v>198.27088</v>
      </c>
      <c r="T65" s="46" t="b">
        <f t="shared" si="6"/>
        <v>0</v>
      </c>
      <c r="U65" s="46" t="b">
        <f t="shared" si="7"/>
        <v>1</v>
      </c>
    </row>
    <row r="66" s="46" customFormat="1" ht="45" outlineLevel="1" spans="1:21">
      <c r="A66" s="32">
        <v>58</v>
      </c>
      <c r="B66" s="32" t="s">
        <v>410</v>
      </c>
      <c r="C66" s="32" t="s">
        <v>411</v>
      </c>
      <c r="D66" s="32" t="s">
        <v>96</v>
      </c>
      <c r="E66" s="32">
        <v>11</v>
      </c>
      <c r="F66" s="32">
        <f t="shared" ref="F66:J66" si="36">F37</f>
        <v>15</v>
      </c>
      <c r="G66" s="48">
        <f t="shared" si="24"/>
        <v>75.75</v>
      </c>
      <c r="H66" s="48">
        <v>75</v>
      </c>
      <c r="I66" s="49">
        <f t="shared" si="36"/>
        <v>0.01</v>
      </c>
      <c r="J66" s="31">
        <f t="shared" si="36"/>
        <v>5</v>
      </c>
      <c r="K66" s="31">
        <f>(F66+G66+J66)*$K$5</f>
        <v>5.745</v>
      </c>
      <c r="L66" s="31">
        <f>(F66+G66+J66+K66)*$L$5</f>
        <v>3.04485</v>
      </c>
      <c r="M66" s="48">
        <f t="shared" si="23"/>
        <v>156.809775</v>
      </c>
      <c r="N66" s="48"/>
      <c r="O66" s="48">
        <f t="shared" si="25"/>
        <v>1724.907525</v>
      </c>
      <c r="P66" s="32"/>
      <c r="R66" s="46">
        <f t="shared" si="4"/>
        <v>1724.907525</v>
      </c>
      <c r="S66" s="46">
        <f t="shared" si="5"/>
        <v>104.53985</v>
      </c>
      <c r="T66" s="46" t="b">
        <f t="shared" si="6"/>
        <v>0</v>
      </c>
      <c r="U66" s="46" t="b">
        <f t="shared" si="7"/>
        <v>1</v>
      </c>
    </row>
    <row r="67" s="46" customFormat="1" ht="45" outlineLevel="1" spans="1:21">
      <c r="A67" s="32">
        <v>59</v>
      </c>
      <c r="B67" s="32" t="s">
        <v>412</v>
      </c>
      <c r="C67" s="32" t="s">
        <v>413</v>
      </c>
      <c r="D67" s="32" t="s">
        <v>334</v>
      </c>
      <c r="E67" s="32">
        <v>10</v>
      </c>
      <c r="F67" s="32">
        <v>65</v>
      </c>
      <c r="G67" s="48">
        <f t="shared" si="24"/>
        <v>484.8</v>
      </c>
      <c r="H67" s="48">
        <v>480</v>
      </c>
      <c r="I67" s="49">
        <v>0.01</v>
      </c>
      <c r="J67" s="31">
        <v>15</v>
      </c>
      <c r="K67" s="31">
        <f>(F67+G67+J67)*$K$5</f>
        <v>33.888</v>
      </c>
      <c r="L67" s="31">
        <f>(F67+G67+J67+K67)*$L$5</f>
        <v>17.96064</v>
      </c>
      <c r="M67" s="48">
        <f t="shared" si="23"/>
        <v>924.97296</v>
      </c>
      <c r="N67" s="48"/>
      <c r="O67" s="48">
        <f t="shared" si="25"/>
        <v>9249.7296</v>
      </c>
      <c r="P67" s="32"/>
      <c r="R67" s="46">
        <f t="shared" si="4"/>
        <v>9249.7296</v>
      </c>
      <c r="S67" s="46">
        <f t="shared" si="5"/>
        <v>616.64864</v>
      </c>
      <c r="T67" s="46" t="b">
        <f t="shared" si="6"/>
        <v>0</v>
      </c>
      <c r="U67" s="46" t="b">
        <f t="shared" si="7"/>
        <v>1</v>
      </c>
    </row>
    <row r="68" s="46" customFormat="1" ht="45" outlineLevel="1" spans="1:21">
      <c r="A68" s="32">
        <v>60</v>
      </c>
      <c r="B68" s="32" t="s">
        <v>414</v>
      </c>
      <c r="C68" s="32" t="s">
        <v>415</v>
      </c>
      <c r="D68" s="32" t="s">
        <v>334</v>
      </c>
      <c r="E68" s="32">
        <v>7</v>
      </c>
      <c r="F68" s="32">
        <v>30</v>
      </c>
      <c r="G68" s="48">
        <f t="shared" si="24"/>
        <v>186.85</v>
      </c>
      <c r="H68" s="48">
        <v>185</v>
      </c>
      <c r="I68" s="49">
        <v>0.01</v>
      </c>
      <c r="J68" s="31">
        <v>5</v>
      </c>
      <c r="K68" s="31">
        <f>(F68+G68+J68)*$K$5</f>
        <v>13.311</v>
      </c>
      <c r="L68" s="31">
        <f>(F68+G68+J68+K68)*$L$5</f>
        <v>7.05483</v>
      </c>
      <c r="M68" s="48">
        <f t="shared" si="23"/>
        <v>363.323745</v>
      </c>
      <c r="N68" s="48"/>
      <c r="O68" s="48">
        <f t="shared" si="25"/>
        <v>2543.266215</v>
      </c>
      <c r="P68" s="32"/>
      <c r="R68" s="46">
        <f t="shared" si="4"/>
        <v>2543.266215</v>
      </c>
      <c r="S68" s="46">
        <f t="shared" si="5"/>
        <v>242.21583</v>
      </c>
      <c r="T68" s="46" t="b">
        <f t="shared" si="6"/>
        <v>0</v>
      </c>
      <c r="U68" s="46" t="b">
        <f t="shared" si="7"/>
        <v>1</v>
      </c>
    </row>
    <row r="69" s="46" customFormat="1" ht="33.75" outlineLevel="1" spans="1:21">
      <c r="A69" s="32">
        <v>61</v>
      </c>
      <c r="B69" s="32" t="s">
        <v>416</v>
      </c>
      <c r="C69" s="32" t="s">
        <v>417</v>
      </c>
      <c r="D69" s="32" t="s">
        <v>334</v>
      </c>
      <c r="E69" s="32">
        <v>1</v>
      </c>
      <c r="F69" s="32">
        <v>65</v>
      </c>
      <c r="G69" s="48">
        <f t="shared" si="24"/>
        <v>656.5</v>
      </c>
      <c r="H69" s="48">
        <v>650</v>
      </c>
      <c r="I69" s="49">
        <v>0.01</v>
      </c>
      <c r="J69" s="31">
        <v>15</v>
      </c>
      <c r="K69" s="31">
        <f>(F69+G69+J69)*$K$5</f>
        <v>44.19</v>
      </c>
      <c r="L69" s="31">
        <f>(F69+G69+J69+K69)*$L$5</f>
        <v>23.4207</v>
      </c>
      <c r="M69" s="48">
        <f t="shared" si="23"/>
        <v>1206.16605</v>
      </c>
      <c r="N69" s="48"/>
      <c r="O69" s="48">
        <f t="shared" si="25"/>
        <v>1206.16605</v>
      </c>
      <c r="P69" s="32"/>
      <c r="R69" s="46">
        <f t="shared" si="4"/>
        <v>1206.16605</v>
      </c>
      <c r="S69" s="46">
        <f t="shared" si="5"/>
        <v>804.1107</v>
      </c>
      <c r="T69" s="46" t="b">
        <f t="shared" si="6"/>
        <v>0</v>
      </c>
      <c r="U69" s="46" t="b">
        <f t="shared" si="7"/>
        <v>1</v>
      </c>
    </row>
    <row r="70" s="46" customFormat="1" ht="33.75" outlineLevel="1" spans="1:21">
      <c r="A70" s="32">
        <v>62</v>
      </c>
      <c r="B70" s="32" t="s">
        <v>416</v>
      </c>
      <c r="C70" s="32" t="s">
        <v>418</v>
      </c>
      <c r="D70" s="32" t="s">
        <v>334</v>
      </c>
      <c r="E70" s="32">
        <v>1</v>
      </c>
      <c r="F70" s="32">
        <v>10</v>
      </c>
      <c r="G70" s="48">
        <f t="shared" si="24"/>
        <v>166.65</v>
      </c>
      <c r="H70" s="48">
        <v>165</v>
      </c>
      <c r="I70" s="49">
        <v>0.01</v>
      </c>
      <c r="J70" s="31">
        <v>5</v>
      </c>
      <c r="K70" s="31">
        <f>(F70+G70+J70)*$K$5</f>
        <v>10.899</v>
      </c>
      <c r="L70" s="31">
        <f>(F70+G70+J70+K70)*$L$5</f>
        <v>5.77647</v>
      </c>
      <c r="M70" s="48">
        <f t="shared" si="23"/>
        <v>297.488205</v>
      </c>
      <c r="N70" s="48"/>
      <c r="O70" s="48">
        <f t="shared" si="25"/>
        <v>297.488205</v>
      </c>
      <c r="P70" s="32"/>
      <c r="R70" s="46">
        <f t="shared" si="4"/>
        <v>297.488205</v>
      </c>
      <c r="S70" s="46">
        <f t="shared" si="5"/>
        <v>198.32547</v>
      </c>
      <c r="T70" s="46" t="b">
        <f t="shared" si="6"/>
        <v>0</v>
      </c>
      <c r="U70" s="46" t="b">
        <f t="shared" si="7"/>
        <v>1</v>
      </c>
    </row>
    <row r="71" s="46" customFormat="1" ht="22.5" outlineLevel="1" spans="1:21">
      <c r="A71" s="32">
        <v>63</v>
      </c>
      <c r="B71" s="32" t="s">
        <v>419</v>
      </c>
      <c r="C71" s="32" t="s">
        <v>420</v>
      </c>
      <c r="D71" s="32" t="s">
        <v>334</v>
      </c>
      <c r="E71" s="32">
        <v>1</v>
      </c>
      <c r="F71" s="32">
        <v>200</v>
      </c>
      <c r="G71" s="48">
        <f t="shared" si="24"/>
        <v>2020</v>
      </c>
      <c r="H71" s="48">
        <v>2000</v>
      </c>
      <c r="I71" s="49">
        <v>0.01</v>
      </c>
      <c r="J71" s="31">
        <v>15</v>
      </c>
      <c r="K71" s="31">
        <f>(F71+G71+J71)*$K$5</f>
        <v>134.1</v>
      </c>
      <c r="L71" s="31">
        <f>(F71+G71+J71+K71)*$L$5</f>
        <v>71.073</v>
      </c>
      <c r="M71" s="48">
        <f t="shared" si="23"/>
        <v>3660.2595</v>
      </c>
      <c r="N71" s="48"/>
      <c r="O71" s="48">
        <f t="shared" si="25"/>
        <v>3660.2595</v>
      </c>
      <c r="P71" s="32"/>
      <c r="R71" s="46">
        <f t="shared" si="4"/>
        <v>3660.2595</v>
      </c>
      <c r="S71" s="46">
        <f t="shared" si="5"/>
        <v>2440.173</v>
      </c>
      <c r="T71" s="46" t="b">
        <f t="shared" si="6"/>
        <v>0</v>
      </c>
      <c r="U71" s="46" t="b">
        <f t="shared" si="7"/>
        <v>1</v>
      </c>
    </row>
    <row r="72" s="46" customFormat="1" ht="33.75" outlineLevel="1" spans="1:21">
      <c r="A72" s="32">
        <v>64</v>
      </c>
      <c r="B72" s="32" t="s">
        <v>421</v>
      </c>
      <c r="C72" s="32" t="s">
        <v>422</v>
      </c>
      <c r="D72" s="32" t="s">
        <v>334</v>
      </c>
      <c r="E72" s="32">
        <v>1</v>
      </c>
      <c r="F72" s="32">
        <v>100</v>
      </c>
      <c r="G72" s="48">
        <f t="shared" si="24"/>
        <v>1515</v>
      </c>
      <c r="H72" s="48">
        <v>1500</v>
      </c>
      <c r="I72" s="49">
        <v>0.01</v>
      </c>
      <c r="J72" s="31">
        <v>15</v>
      </c>
      <c r="K72" s="31">
        <f>(F72+G72+J72)*$K$5</f>
        <v>97.8</v>
      </c>
      <c r="L72" s="31">
        <f>(F72+G72+J72+K72)*$L$5</f>
        <v>51.834</v>
      </c>
      <c r="M72" s="48">
        <f t="shared" si="23"/>
        <v>2669.451</v>
      </c>
      <c r="N72" s="48"/>
      <c r="O72" s="48">
        <f t="shared" si="25"/>
        <v>2669.451</v>
      </c>
      <c r="P72" s="32"/>
      <c r="R72" s="46">
        <f t="shared" si="4"/>
        <v>2669.451</v>
      </c>
      <c r="S72" s="46">
        <f t="shared" si="5"/>
        <v>1779.634</v>
      </c>
      <c r="T72" s="46" t="b">
        <f t="shared" si="6"/>
        <v>0</v>
      </c>
      <c r="U72" s="46" t="b">
        <f t="shared" si="7"/>
        <v>1</v>
      </c>
    </row>
    <row r="73" s="46" customFormat="1" ht="33.75" outlineLevel="1" spans="1:21">
      <c r="A73" s="32">
        <v>65</v>
      </c>
      <c r="B73" s="32" t="s">
        <v>381</v>
      </c>
      <c r="C73" s="32" t="s">
        <v>383</v>
      </c>
      <c r="D73" s="32" t="s">
        <v>96</v>
      </c>
      <c r="E73" s="32">
        <v>45</v>
      </c>
      <c r="F73" s="32">
        <f t="shared" ref="F73:J73" si="37">F40</f>
        <v>5</v>
      </c>
      <c r="G73" s="48">
        <f t="shared" si="24"/>
        <v>3.3128</v>
      </c>
      <c r="H73" s="48">
        <f t="shared" si="37"/>
        <v>3.28</v>
      </c>
      <c r="I73" s="49">
        <f t="shared" si="37"/>
        <v>0.01</v>
      </c>
      <c r="J73" s="31">
        <f t="shared" si="37"/>
        <v>2</v>
      </c>
      <c r="K73" s="31">
        <f>(F73+G73+J73)*$K$5</f>
        <v>0.618768</v>
      </c>
      <c r="L73" s="31">
        <f>(F73+G73+J73+K73)*$L$5</f>
        <v>0.32794704</v>
      </c>
      <c r="M73" s="48">
        <f>(F73+G73+J73+K73+L73)*1.5</f>
        <v>16.88927256</v>
      </c>
      <c r="N73" s="48"/>
      <c r="O73" s="48">
        <f t="shared" si="25"/>
        <v>760.0172652</v>
      </c>
      <c r="P73" s="32"/>
      <c r="R73" s="46">
        <f>E73*M73</f>
        <v>760.0172652</v>
      </c>
      <c r="S73" s="46">
        <f>F73+G73+J73+K73+L73</f>
        <v>11.25951504</v>
      </c>
      <c r="T73" s="46" t="b">
        <f>M73=S73</f>
        <v>0</v>
      </c>
      <c r="U73" s="46" t="b">
        <f>R73=O73</f>
        <v>1</v>
      </c>
    </row>
    <row r="74" s="46" customFormat="1" spans="1:21">
      <c r="A74" s="32"/>
      <c r="B74" s="32" t="s">
        <v>423</v>
      </c>
      <c r="C74" s="32"/>
      <c r="D74" s="32"/>
      <c r="E74" s="32"/>
      <c r="F74" s="32"/>
      <c r="G74" s="48"/>
      <c r="H74" s="48"/>
      <c r="I74" s="49"/>
      <c r="J74" s="31"/>
      <c r="K74" s="31"/>
      <c r="L74" s="31"/>
      <c r="M74" s="48">
        <f>(F74+G74+J74+K74+L74)*1.5</f>
        <v>0</v>
      </c>
      <c r="N74" s="48"/>
      <c r="O74" s="48"/>
      <c r="P74" s="32"/>
      <c r="R74" s="46">
        <f>E74*M74</f>
        <v>0</v>
      </c>
      <c r="S74" s="46">
        <f>F74+G74+J74+K74+L74</f>
        <v>0</v>
      </c>
      <c r="T74" s="46" t="b">
        <f>M74=S74</f>
        <v>1</v>
      </c>
      <c r="U74" s="46" t="b">
        <f>R74=O74</f>
        <v>1</v>
      </c>
    </row>
    <row r="75" s="46" customFormat="1" ht="78.75" outlineLevel="1" spans="1:21">
      <c r="A75" s="32">
        <v>66</v>
      </c>
      <c r="B75" s="32" t="s">
        <v>424</v>
      </c>
      <c r="C75" s="32" t="s">
        <v>425</v>
      </c>
      <c r="D75" s="32" t="s">
        <v>426</v>
      </c>
      <c r="E75" s="32">
        <v>4</v>
      </c>
      <c r="F75" s="32">
        <v>80</v>
      </c>
      <c r="G75" s="48">
        <f t="shared" ref="G75:G81" si="38">H75*(1+I75)</f>
        <v>1515</v>
      </c>
      <c r="H75" s="48">
        <v>1500</v>
      </c>
      <c r="I75" s="49">
        <v>0.01</v>
      </c>
      <c r="J75" s="31">
        <v>45</v>
      </c>
      <c r="K75" s="31">
        <f>(F75+G75+J75)*$K$5</f>
        <v>98.4</v>
      </c>
      <c r="L75" s="31">
        <f>(F75+G75+J75+K75)*$L$5</f>
        <v>52.152</v>
      </c>
      <c r="M75" s="48">
        <f>(F75+G75+J75+K75+L75)*1.5</f>
        <v>2685.828</v>
      </c>
      <c r="N75" s="48"/>
      <c r="O75" s="48">
        <f t="shared" ref="O75:O81" si="39">M75*E75</f>
        <v>10743.312</v>
      </c>
      <c r="P75" s="32" t="s">
        <v>427</v>
      </c>
      <c r="R75" s="46">
        <f>E75*M75</f>
        <v>10743.312</v>
      </c>
      <c r="S75" s="46">
        <f>F75+G75+J75+K75+L75</f>
        <v>1790.552</v>
      </c>
      <c r="T75" s="46" t="b">
        <f>M75=S75</f>
        <v>0</v>
      </c>
      <c r="U75" s="46" t="b">
        <f>R75=O75</f>
        <v>1</v>
      </c>
    </row>
    <row r="76" s="46" customFormat="1" ht="78.75" outlineLevel="1" spans="1:21">
      <c r="A76" s="32">
        <v>67</v>
      </c>
      <c r="B76" s="32" t="s">
        <v>428</v>
      </c>
      <c r="C76" s="32" t="s">
        <v>429</v>
      </c>
      <c r="D76" s="32" t="s">
        <v>426</v>
      </c>
      <c r="E76" s="32">
        <v>6</v>
      </c>
      <c r="F76" s="32">
        <v>80</v>
      </c>
      <c r="G76" s="48">
        <f t="shared" si="38"/>
        <v>858.5</v>
      </c>
      <c r="H76" s="48">
        <v>850</v>
      </c>
      <c r="I76" s="49">
        <v>0.01</v>
      </c>
      <c r="J76" s="31">
        <v>55</v>
      </c>
      <c r="K76" s="31">
        <f>(F76+G76+J76)*$K$5</f>
        <v>59.61</v>
      </c>
      <c r="L76" s="31">
        <f>(F76+G76+J76+K76)*$L$5</f>
        <v>31.5933</v>
      </c>
      <c r="M76" s="48">
        <f>(F76+G76+J76+K76+L76)*1.5</f>
        <v>1627.05495</v>
      </c>
      <c r="N76" s="48"/>
      <c r="O76" s="48">
        <f t="shared" si="39"/>
        <v>9762.3297</v>
      </c>
      <c r="P76" s="32" t="s">
        <v>427</v>
      </c>
      <c r="R76" s="46">
        <f>E76*M76</f>
        <v>9762.3297</v>
      </c>
      <c r="S76" s="46">
        <f>F76+G76+J76+K76+L76</f>
        <v>1084.7033</v>
      </c>
      <c r="T76" s="46" t="b">
        <f>M76=S76</f>
        <v>0</v>
      </c>
      <c r="U76" s="46" t="b">
        <f>R76=O76</f>
        <v>1</v>
      </c>
    </row>
    <row r="77" s="46" customFormat="1" ht="78.75" outlineLevel="1" spans="1:21">
      <c r="A77" s="32">
        <v>68</v>
      </c>
      <c r="B77" s="32" t="s">
        <v>430</v>
      </c>
      <c r="C77" s="32" t="s">
        <v>431</v>
      </c>
      <c r="D77" s="32" t="s">
        <v>426</v>
      </c>
      <c r="E77" s="32">
        <v>2</v>
      </c>
      <c r="F77" s="32">
        <f t="shared" ref="F77:J77" si="40">F76</f>
        <v>80</v>
      </c>
      <c r="G77" s="48">
        <f t="shared" si="38"/>
        <v>838.3</v>
      </c>
      <c r="H77" s="48">
        <v>830</v>
      </c>
      <c r="I77" s="49">
        <f t="shared" si="40"/>
        <v>0.01</v>
      </c>
      <c r="J77" s="30">
        <f t="shared" si="40"/>
        <v>55</v>
      </c>
      <c r="K77" s="31">
        <f>(F77+G77+J77)*$K$5</f>
        <v>58.398</v>
      </c>
      <c r="L77" s="31">
        <f>(F77+G77+J77+K77)*$L$5</f>
        <v>30.95094</v>
      </c>
      <c r="M77" s="48">
        <f>(F77+G77+J77+K77+L77)*1.5</f>
        <v>1593.97341</v>
      </c>
      <c r="N77" s="48"/>
      <c r="O77" s="48">
        <f t="shared" si="39"/>
        <v>3187.94682</v>
      </c>
      <c r="P77" s="32" t="s">
        <v>427</v>
      </c>
      <c r="R77" s="46">
        <f>E77*M77</f>
        <v>3187.94682</v>
      </c>
      <c r="S77" s="46">
        <f>F77+G77+J77+K77+L77</f>
        <v>1062.64894</v>
      </c>
      <c r="T77" s="46" t="b">
        <f>M77=S77</f>
        <v>0</v>
      </c>
      <c r="U77" s="46" t="b">
        <f>R77=O77</f>
        <v>1</v>
      </c>
    </row>
    <row r="78" s="46" customFormat="1" ht="78.75" outlineLevel="1" spans="1:21">
      <c r="A78" s="32">
        <v>69</v>
      </c>
      <c r="B78" s="32" t="s">
        <v>432</v>
      </c>
      <c r="C78" s="32" t="s">
        <v>433</v>
      </c>
      <c r="D78" s="32" t="s">
        <v>426</v>
      </c>
      <c r="E78" s="32">
        <v>1</v>
      </c>
      <c r="F78" s="32">
        <v>50</v>
      </c>
      <c r="G78" s="48">
        <f t="shared" si="38"/>
        <v>656.5</v>
      </c>
      <c r="H78" s="48">
        <v>650</v>
      </c>
      <c r="I78" s="49">
        <v>0.01</v>
      </c>
      <c r="J78" s="31">
        <v>35</v>
      </c>
      <c r="K78" s="31">
        <f>(F78+G78+J78)*$K$5</f>
        <v>44.49</v>
      </c>
      <c r="L78" s="31">
        <f>(F78+G78+J78+K78)*$L$5</f>
        <v>23.5797</v>
      </c>
      <c r="M78" s="48">
        <f>(F78+G78+J78+K78+L78)*1.5</f>
        <v>1214.35455</v>
      </c>
      <c r="N78" s="48"/>
      <c r="O78" s="48">
        <f t="shared" si="39"/>
        <v>1214.35455</v>
      </c>
      <c r="P78" s="32"/>
      <c r="R78" s="46">
        <f>E78*M78</f>
        <v>1214.35455</v>
      </c>
      <c r="S78" s="46">
        <f>F78+G78+J78+K78+L78</f>
        <v>809.5697</v>
      </c>
      <c r="T78" s="46" t="b">
        <f>M78=S78</f>
        <v>0</v>
      </c>
      <c r="U78" s="46" t="b">
        <f>R78=O78</f>
        <v>1</v>
      </c>
    </row>
    <row r="79" s="46" customFormat="1" ht="22.5" outlineLevel="1" spans="1:21">
      <c r="A79" s="32">
        <v>70</v>
      </c>
      <c r="B79" s="32" t="s">
        <v>434</v>
      </c>
      <c r="C79" s="32" t="s">
        <v>435</v>
      </c>
      <c r="D79" s="32" t="s">
        <v>96</v>
      </c>
      <c r="E79" s="32">
        <v>4</v>
      </c>
      <c r="F79" s="32">
        <v>25</v>
      </c>
      <c r="G79" s="48">
        <f t="shared" si="38"/>
        <v>65.65</v>
      </c>
      <c r="H79" s="48">
        <v>65</v>
      </c>
      <c r="I79" s="49">
        <v>0.01</v>
      </c>
      <c r="J79" s="31">
        <v>5</v>
      </c>
      <c r="K79" s="31">
        <f>(F79+G79+J79)*$K$5</f>
        <v>5.739</v>
      </c>
      <c r="L79" s="31">
        <f>(F79+G79+J79+K79)*$L$5</f>
        <v>3.04167</v>
      </c>
      <c r="M79" s="48">
        <f>(F79+G79+J79+K79+L79)*1.5</f>
        <v>156.646005</v>
      </c>
      <c r="N79" s="48"/>
      <c r="O79" s="48">
        <f t="shared" si="39"/>
        <v>626.58402</v>
      </c>
      <c r="P79" s="32"/>
      <c r="R79" s="46">
        <f>E79*M79</f>
        <v>626.58402</v>
      </c>
      <c r="S79" s="46">
        <f>F79+G79+J79+K79+L79</f>
        <v>104.43067</v>
      </c>
      <c r="T79" s="46" t="b">
        <f>M79=S79</f>
        <v>0</v>
      </c>
      <c r="U79" s="46" t="b">
        <f>R79=O79</f>
        <v>1</v>
      </c>
    </row>
    <row r="80" s="46" customFormat="1" ht="22.5" outlineLevel="1" spans="1:21">
      <c r="A80" s="32">
        <v>71</v>
      </c>
      <c r="B80" s="32" t="s">
        <v>434</v>
      </c>
      <c r="C80" s="32" t="s">
        <v>436</v>
      </c>
      <c r="D80" s="32" t="s">
        <v>96</v>
      </c>
      <c r="E80" s="32">
        <v>1</v>
      </c>
      <c r="F80" s="32">
        <v>25</v>
      </c>
      <c r="G80" s="48">
        <f t="shared" si="38"/>
        <v>35.35</v>
      </c>
      <c r="H80" s="48">
        <v>35</v>
      </c>
      <c r="I80" s="49">
        <v>0.01</v>
      </c>
      <c r="J80" s="31">
        <v>5</v>
      </c>
      <c r="K80" s="31">
        <f>(F80+G80+J80)*$K$5</f>
        <v>3.921</v>
      </c>
      <c r="L80" s="31">
        <f>(F80+G80+J80+K80)*$L$5</f>
        <v>2.07813</v>
      </c>
      <c r="M80" s="48">
        <f>(F80+G80+J80+K80+L80)*1.5</f>
        <v>107.023695</v>
      </c>
      <c r="N80" s="48"/>
      <c r="O80" s="48">
        <f t="shared" si="39"/>
        <v>107.023695</v>
      </c>
      <c r="P80" s="32"/>
      <c r="R80" s="46">
        <f>E80*M80</f>
        <v>107.023695</v>
      </c>
      <c r="S80" s="46">
        <f>F80+G80+J80+K80+L80</f>
        <v>71.34913</v>
      </c>
      <c r="T80" s="46" t="b">
        <f>M80=S80</f>
        <v>0</v>
      </c>
      <c r="U80" s="46" t="b">
        <f>R80=O80</f>
        <v>1</v>
      </c>
    </row>
    <row r="81" s="46" customFormat="1" ht="56.25" outlineLevel="1" spans="1:21">
      <c r="A81" s="32">
        <v>72</v>
      </c>
      <c r="B81" s="32" t="s">
        <v>437</v>
      </c>
      <c r="C81" s="32" t="s">
        <v>438</v>
      </c>
      <c r="D81" s="32" t="s">
        <v>102</v>
      </c>
      <c r="E81" s="32">
        <v>13.11</v>
      </c>
      <c r="F81" s="32">
        <v>18</v>
      </c>
      <c r="G81" s="32">
        <f t="shared" si="38"/>
        <v>32.96</v>
      </c>
      <c r="H81" s="32">
        <v>32</v>
      </c>
      <c r="I81" s="49">
        <v>0.03</v>
      </c>
      <c r="J81" s="30">
        <v>13</v>
      </c>
      <c r="K81" s="30">
        <f>(F81+G81+J81)*$K$5</f>
        <v>3.8376</v>
      </c>
      <c r="L81" s="30">
        <f>(F81+G81+J81+K81)*$L$5</f>
        <v>2.033928</v>
      </c>
      <c r="M81" s="48">
        <f>(F81+G81+J81+K81+L81)*1.5</f>
        <v>104.747292</v>
      </c>
      <c r="N81" s="48"/>
      <c r="O81" s="32">
        <f t="shared" si="39"/>
        <v>1373.23699812</v>
      </c>
      <c r="P81" s="32"/>
      <c r="R81" s="46">
        <f>E81*M81</f>
        <v>1373.23699812</v>
      </c>
      <c r="S81" s="46">
        <f>F81+G81+J81+K81+L81</f>
        <v>69.831528</v>
      </c>
      <c r="T81" s="46" t="b">
        <f>M81=S81</f>
        <v>0</v>
      </c>
      <c r="U81" s="46" t="b">
        <f>R81=O81</f>
        <v>1</v>
      </c>
    </row>
    <row r="82" s="46" customFormat="1" ht="56.25" outlineLevel="1" spans="1:21">
      <c r="A82" s="32">
        <v>73</v>
      </c>
      <c r="B82" s="32" t="s">
        <v>437</v>
      </c>
      <c r="C82" s="32" t="s">
        <v>439</v>
      </c>
      <c r="D82" s="32" t="s">
        <v>102</v>
      </c>
      <c r="E82" s="32">
        <v>8.53</v>
      </c>
      <c r="F82" s="32">
        <v>25</v>
      </c>
      <c r="G82" s="32">
        <f>H82*(1+I82)</f>
        <v>46.35</v>
      </c>
      <c r="H82" s="32">
        <v>45</v>
      </c>
      <c r="I82" s="49">
        <v>0.03</v>
      </c>
      <c r="J82" s="30">
        <v>18</v>
      </c>
      <c r="K82" s="30">
        <f>(F82+G82+J82)*$K$5</f>
        <v>5.361</v>
      </c>
      <c r="L82" s="30">
        <f>(F82+G82+J82+K82)*$L$5</f>
        <v>2.84133</v>
      </c>
      <c r="M82" s="48">
        <f>(F82+G82+J82+K82+L82)*1.5</f>
        <v>146.328495</v>
      </c>
      <c r="N82" s="48"/>
      <c r="O82" s="32">
        <f>M82*E82</f>
        <v>1248.18206235</v>
      </c>
      <c r="P82" s="32"/>
      <c r="R82" s="46">
        <f>E82*M82</f>
        <v>1248.18206235</v>
      </c>
      <c r="S82" s="46">
        <f>F82+G82+J82+K82+L82</f>
        <v>97.55233</v>
      </c>
      <c r="T82" s="46" t="b">
        <f>M82=S82</f>
        <v>0</v>
      </c>
      <c r="U82" s="46" t="b">
        <f>R82=O82</f>
        <v>1</v>
      </c>
    </row>
    <row r="83" s="46" customFormat="1" ht="56.25" outlineLevel="1" spans="1:21">
      <c r="A83" s="51">
        <v>74</v>
      </c>
      <c r="B83" s="51" t="s">
        <v>437</v>
      </c>
      <c r="C83" s="51" t="s">
        <v>440</v>
      </c>
      <c r="D83" s="51" t="s">
        <v>102</v>
      </c>
      <c r="E83" s="51">
        <v>14.12</v>
      </c>
      <c r="F83" s="51">
        <v>30</v>
      </c>
      <c r="G83" s="51">
        <f>H83*(1+I83)</f>
        <v>56.65</v>
      </c>
      <c r="H83" s="51">
        <v>55</v>
      </c>
      <c r="I83" s="54">
        <v>0.03</v>
      </c>
      <c r="J83" s="55">
        <v>22</v>
      </c>
      <c r="K83" s="55">
        <f>(F83+G83+J83)*$K$5</f>
        <v>6.519</v>
      </c>
      <c r="L83" s="55">
        <f>(F83+G83+J83+K83)*$L$5</f>
        <v>3.45507</v>
      </c>
      <c r="M83" s="48">
        <f>(F83+G83+J83+K83+L83)*1.5</f>
        <v>177.936105</v>
      </c>
      <c r="N83" s="48"/>
      <c r="O83" s="51">
        <f>M83*E83</f>
        <v>2512.4578026</v>
      </c>
      <c r="P83" s="51"/>
      <c r="R83" s="46">
        <f>E83*M83</f>
        <v>2512.4578026</v>
      </c>
      <c r="S83" s="46">
        <f>F83+G83+J83+K83+L83</f>
        <v>118.62407</v>
      </c>
      <c r="T83" s="46" t="b">
        <f>M83=S83</f>
        <v>0</v>
      </c>
      <c r="U83" s="46" t="b">
        <f>R83=O83</f>
        <v>1</v>
      </c>
    </row>
    <row r="84" s="46" customFormat="1" ht="67.5" outlineLevel="1" spans="1:21">
      <c r="A84" s="32">
        <v>75</v>
      </c>
      <c r="B84" s="32" t="s">
        <v>437</v>
      </c>
      <c r="C84" s="32" t="s">
        <v>441</v>
      </c>
      <c r="D84" s="32" t="s">
        <v>102</v>
      </c>
      <c r="E84" s="32">
        <v>16.41</v>
      </c>
      <c r="F84" s="32">
        <v>15</v>
      </c>
      <c r="G84" s="32">
        <f>H84*(1+I84)</f>
        <v>8.4</v>
      </c>
      <c r="H84" s="32">
        <v>8</v>
      </c>
      <c r="I84" s="49">
        <v>0.05</v>
      </c>
      <c r="J84" s="30">
        <v>3</v>
      </c>
      <c r="K84" s="30">
        <f>(F84+G84+J84)*$K$5</f>
        <v>1.584</v>
      </c>
      <c r="L84" s="30">
        <f>(F84+G84+J84+K84)*$L$5</f>
        <v>0.83952</v>
      </c>
      <c r="M84" s="48">
        <f>(F84+G84+J84+K84+L84)*1.5</f>
        <v>43.23528</v>
      </c>
      <c r="N84" s="48"/>
      <c r="O84" s="32">
        <f>M84*E84</f>
        <v>709.4909448</v>
      </c>
      <c r="P84" s="32"/>
      <c r="R84" s="46">
        <f>E84*M84</f>
        <v>709.4909448</v>
      </c>
      <c r="S84" s="46">
        <f>F84+G84+J84+K84+L84</f>
        <v>28.82352</v>
      </c>
      <c r="T84" s="46" t="b">
        <f>M84=S84</f>
        <v>0</v>
      </c>
      <c r="U84" s="46" t="b">
        <f>R84=O84</f>
        <v>1</v>
      </c>
    </row>
    <row r="85" s="46" customFormat="1" ht="67.5" outlineLevel="1" spans="1:21">
      <c r="A85" s="51">
        <v>76</v>
      </c>
      <c r="B85" s="51" t="s">
        <v>437</v>
      </c>
      <c r="C85" s="51" t="s">
        <v>442</v>
      </c>
      <c r="D85" s="51" t="s">
        <v>102</v>
      </c>
      <c r="E85" s="51">
        <v>12.5</v>
      </c>
      <c r="F85" s="51">
        <f t="shared" ref="F85:J85" si="41">F84</f>
        <v>15</v>
      </c>
      <c r="G85" s="51">
        <f>H85*(1+I85)</f>
        <v>10.5</v>
      </c>
      <c r="H85" s="51">
        <v>10</v>
      </c>
      <c r="I85" s="54">
        <f t="shared" si="41"/>
        <v>0.05</v>
      </c>
      <c r="J85" s="55">
        <f t="shared" si="41"/>
        <v>3</v>
      </c>
      <c r="K85" s="55">
        <f>(F85+G85+J85)*$K$5</f>
        <v>1.71</v>
      </c>
      <c r="L85" s="55">
        <f>(F85+G85+J85+K85)*$L$5</f>
        <v>0.9063</v>
      </c>
      <c r="M85" s="48">
        <f>(F85+G85+J85+K85+L85)*1.5</f>
        <v>46.67445</v>
      </c>
      <c r="N85" s="48"/>
      <c r="O85" s="51">
        <f>M85*E85</f>
        <v>583.430625</v>
      </c>
      <c r="P85" s="51"/>
      <c r="R85" s="46">
        <f>E85*M85</f>
        <v>583.430625</v>
      </c>
      <c r="S85" s="46">
        <f>F85+G85+J85+K85+L85</f>
        <v>31.1163</v>
      </c>
      <c r="T85" s="46" t="b">
        <f>M85=S85</f>
        <v>0</v>
      </c>
      <c r="U85" s="46" t="b">
        <f>R85=O85</f>
        <v>1</v>
      </c>
    </row>
    <row r="86" s="46" customFormat="1" ht="67.5" outlineLevel="1" spans="1:21">
      <c r="A86" s="32">
        <v>77</v>
      </c>
      <c r="B86" s="32" t="s">
        <v>437</v>
      </c>
      <c r="C86" s="32" t="s">
        <v>443</v>
      </c>
      <c r="D86" s="32" t="s">
        <v>102</v>
      </c>
      <c r="E86" s="32">
        <v>10.71</v>
      </c>
      <c r="F86" s="32">
        <f t="shared" ref="F86:J86" si="42">F84</f>
        <v>15</v>
      </c>
      <c r="G86" s="32">
        <f>H86*(1+I86)</f>
        <v>12.6</v>
      </c>
      <c r="H86" s="32">
        <v>12</v>
      </c>
      <c r="I86" s="49">
        <f t="shared" si="42"/>
        <v>0.05</v>
      </c>
      <c r="J86" s="30">
        <f t="shared" si="42"/>
        <v>3</v>
      </c>
      <c r="K86" s="30">
        <f>(F86+G86+J86)*$K$5</f>
        <v>1.836</v>
      </c>
      <c r="L86" s="30">
        <f>(F86+G86+J86+K86)*$L$5</f>
        <v>0.97308</v>
      </c>
      <c r="M86" s="48">
        <f>(F86+G86+J86+K86+L86)*1.5</f>
        <v>50.11362</v>
      </c>
      <c r="N86" s="48"/>
      <c r="O86" s="32">
        <f>M86*E86</f>
        <v>536.7168702</v>
      </c>
      <c r="P86" s="32"/>
      <c r="R86" s="46">
        <f>E86*M86</f>
        <v>536.7168702</v>
      </c>
      <c r="S86" s="46">
        <f>F86+G86+J86+K86+L86</f>
        <v>33.40908</v>
      </c>
      <c r="T86" s="46" t="b">
        <f>M86=S86</f>
        <v>0</v>
      </c>
      <c r="U86" s="46" t="b">
        <f>R86=O86</f>
        <v>1</v>
      </c>
    </row>
    <row r="87" s="46" customFormat="1" ht="67.5" outlineLevel="1" spans="1:21">
      <c r="A87" s="51">
        <v>78</v>
      </c>
      <c r="B87" s="51" t="s">
        <v>437</v>
      </c>
      <c r="C87" s="51" t="s">
        <v>444</v>
      </c>
      <c r="D87" s="51" t="s">
        <v>102</v>
      </c>
      <c r="E87" s="51">
        <v>6.28</v>
      </c>
      <c r="F87" s="51">
        <f>F84</f>
        <v>15</v>
      </c>
      <c r="G87" s="51">
        <f>H87*(1+I87)</f>
        <v>24.15</v>
      </c>
      <c r="H87" s="51">
        <v>23</v>
      </c>
      <c r="I87" s="54">
        <v>0.05</v>
      </c>
      <c r="J87" s="55">
        <v>10</v>
      </c>
      <c r="K87" s="55">
        <f>(F87+G87+J87)*$K$5</f>
        <v>2.949</v>
      </c>
      <c r="L87" s="55">
        <f>(F87+G87+J87+K87)*$L$5</f>
        <v>1.56297</v>
      </c>
      <c r="M87" s="48">
        <f>(F87+G87+J87+K87+L87)*1.5</f>
        <v>80.492955</v>
      </c>
      <c r="N87" s="48"/>
      <c r="O87" s="51">
        <f>M87*E87</f>
        <v>505.4957574</v>
      </c>
      <c r="P87" s="51"/>
      <c r="R87" s="46">
        <f>E87*M87</f>
        <v>505.4957574</v>
      </c>
      <c r="S87" s="46">
        <f>F87+G87+J87+K87+L87</f>
        <v>53.66197</v>
      </c>
      <c r="T87" s="46" t="b">
        <f>M87=S87</f>
        <v>0</v>
      </c>
      <c r="U87" s="46" t="b">
        <f>R87=O87</f>
        <v>1</v>
      </c>
    </row>
    <row r="88" s="46" customFormat="1" ht="33.75" outlineLevel="1" spans="1:21">
      <c r="A88" s="32">
        <v>79</v>
      </c>
      <c r="B88" s="32" t="s">
        <v>445</v>
      </c>
      <c r="C88" s="32" t="s">
        <v>446</v>
      </c>
      <c r="D88" s="32" t="s">
        <v>96</v>
      </c>
      <c r="E88" s="32">
        <v>1</v>
      </c>
      <c r="F88" s="32">
        <v>20</v>
      </c>
      <c r="G88" s="48">
        <f t="shared" ref="G88:G104" si="43">H88*(1+I88)</f>
        <v>65.65</v>
      </c>
      <c r="H88" s="48">
        <v>65</v>
      </c>
      <c r="I88" s="49">
        <v>0.01</v>
      </c>
      <c r="J88" s="31">
        <v>3</v>
      </c>
      <c r="K88" s="31">
        <f>(F88+G88+J88)*$K$5</f>
        <v>5.319</v>
      </c>
      <c r="L88" s="31">
        <f>(F88+G88+J88+K88)*$L$5</f>
        <v>2.81907</v>
      </c>
      <c r="M88" s="48">
        <f t="shared" ref="M88:M97" si="44">(F88+G88+J88+K88+L88)*1.5</f>
        <v>145.182105</v>
      </c>
      <c r="N88" s="48"/>
      <c r="O88" s="48">
        <f t="shared" ref="O88:O104" si="45">M88*E88</f>
        <v>145.182105</v>
      </c>
      <c r="P88" s="32"/>
      <c r="R88" s="46">
        <f t="shared" ref="R88:R129" si="46">E88*M88</f>
        <v>145.182105</v>
      </c>
      <c r="S88" s="46">
        <f t="shared" ref="S88:S129" si="47">F88+G88+J88+K88+L88</f>
        <v>96.78807</v>
      </c>
      <c r="T88" s="46" t="b">
        <f t="shared" ref="T88:T129" si="48">M88=S88</f>
        <v>0</v>
      </c>
      <c r="U88" s="46" t="b">
        <f t="shared" ref="U88:U129" si="49">R88=O88</f>
        <v>1</v>
      </c>
    </row>
    <row r="89" s="46" customFormat="1" ht="33.75" outlineLevel="1" spans="1:21">
      <c r="A89" s="32">
        <v>80</v>
      </c>
      <c r="B89" s="32" t="s">
        <v>445</v>
      </c>
      <c r="C89" s="32" t="s">
        <v>447</v>
      </c>
      <c r="D89" s="32" t="s">
        <v>96</v>
      </c>
      <c r="E89" s="32">
        <v>1</v>
      </c>
      <c r="F89" s="32">
        <f t="shared" ref="F89:J89" si="50">F88</f>
        <v>20</v>
      </c>
      <c r="G89" s="48">
        <f t="shared" si="43"/>
        <v>85.85</v>
      </c>
      <c r="H89" s="48">
        <v>85</v>
      </c>
      <c r="I89" s="49">
        <f t="shared" si="50"/>
        <v>0.01</v>
      </c>
      <c r="J89" s="31">
        <f t="shared" si="50"/>
        <v>3</v>
      </c>
      <c r="K89" s="31">
        <f>(F89+G89+J89)*$K$5</f>
        <v>6.531</v>
      </c>
      <c r="L89" s="31">
        <f>(F89+G89+J89+K89)*$L$5</f>
        <v>3.46143</v>
      </c>
      <c r="M89" s="48">
        <f t="shared" si="44"/>
        <v>178.263645</v>
      </c>
      <c r="N89" s="48"/>
      <c r="O89" s="48">
        <f t="shared" si="45"/>
        <v>178.263645</v>
      </c>
      <c r="P89" s="32"/>
      <c r="R89" s="46">
        <f t="shared" si="46"/>
        <v>178.263645</v>
      </c>
      <c r="S89" s="46">
        <f t="shared" si="47"/>
        <v>118.84243</v>
      </c>
      <c r="T89" s="46" t="b">
        <f t="shared" si="48"/>
        <v>0</v>
      </c>
      <c r="U89" s="46" t="b">
        <f t="shared" si="49"/>
        <v>1</v>
      </c>
    </row>
    <row r="90" s="46" customFormat="1" spans="1:21">
      <c r="A90" s="32"/>
      <c r="B90" s="32" t="s">
        <v>448</v>
      </c>
      <c r="C90" s="32"/>
      <c r="D90" s="32"/>
      <c r="E90" s="32"/>
      <c r="F90" s="32"/>
      <c r="G90" s="48"/>
      <c r="H90" s="48"/>
      <c r="I90" s="49"/>
      <c r="J90" s="31"/>
      <c r="K90" s="31"/>
      <c r="L90" s="31"/>
      <c r="M90" s="48">
        <f t="shared" si="44"/>
        <v>0</v>
      </c>
      <c r="N90" s="48"/>
      <c r="O90" s="48"/>
      <c r="P90" s="32"/>
      <c r="R90" s="46">
        <f t="shared" si="46"/>
        <v>0</v>
      </c>
      <c r="S90" s="46">
        <f t="shared" si="47"/>
        <v>0</v>
      </c>
      <c r="T90" s="46" t="b">
        <f t="shared" si="48"/>
        <v>1</v>
      </c>
      <c r="U90" s="46" t="b">
        <f t="shared" si="49"/>
        <v>1</v>
      </c>
    </row>
    <row r="91" s="46" customFormat="1" ht="90" outlineLevel="1" spans="1:21">
      <c r="A91" s="32">
        <v>81</v>
      </c>
      <c r="B91" s="32" t="s">
        <v>449</v>
      </c>
      <c r="C91" s="32" t="s">
        <v>450</v>
      </c>
      <c r="D91" s="32" t="s">
        <v>334</v>
      </c>
      <c r="E91" s="32">
        <v>2</v>
      </c>
      <c r="F91" s="32">
        <v>100</v>
      </c>
      <c r="G91" s="48">
        <f t="shared" si="43"/>
        <v>555.5</v>
      </c>
      <c r="H91" s="48">
        <v>550</v>
      </c>
      <c r="I91" s="49">
        <v>0.01</v>
      </c>
      <c r="J91" s="31">
        <v>50</v>
      </c>
      <c r="K91" s="31">
        <f>(F91+G91+J91)*$K$5</f>
        <v>42.33</v>
      </c>
      <c r="L91" s="31">
        <f>(F91+G91+J91+K91)*$L$5</f>
        <v>22.4349</v>
      </c>
      <c r="M91" s="48">
        <f t="shared" si="44"/>
        <v>1155.39735</v>
      </c>
      <c r="N91" s="48"/>
      <c r="O91" s="48">
        <f t="shared" si="45"/>
        <v>2310.7947</v>
      </c>
      <c r="P91" s="32"/>
      <c r="R91" s="46">
        <f t="shared" si="46"/>
        <v>2310.7947</v>
      </c>
      <c r="S91" s="46">
        <f t="shared" si="47"/>
        <v>770.2649</v>
      </c>
      <c r="T91" s="46" t="b">
        <f t="shared" si="48"/>
        <v>0</v>
      </c>
      <c r="U91" s="46" t="b">
        <f t="shared" si="49"/>
        <v>1</v>
      </c>
    </row>
    <row r="92" s="46" customFormat="1" ht="45" outlineLevel="1" spans="1:21">
      <c r="A92" s="32">
        <v>82</v>
      </c>
      <c r="B92" s="32" t="s">
        <v>451</v>
      </c>
      <c r="C92" s="32" t="s">
        <v>452</v>
      </c>
      <c r="D92" s="32" t="s">
        <v>67</v>
      </c>
      <c r="E92" s="32">
        <v>32.58</v>
      </c>
      <c r="F92" s="32">
        <v>150</v>
      </c>
      <c r="G92" s="48">
        <f t="shared" si="43"/>
        <v>606</v>
      </c>
      <c r="H92" s="48">
        <v>600</v>
      </c>
      <c r="I92" s="49">
        <v>0.01</v>
      </c>
      <c r="J92" s="31">
        <v>35</v>
      </c>
      <c r="K92" s="31">
        <f>(F92+G92+J92)*$K$5</f>
        <v>47.46</v>
      </c>
      <c r="L92" s="31">
        <f>(F92+G92+J92+K92)*$L$5</f>
        <v>25.1538</v>
      </c>
      <c r="M92" s="48">
        <f t="shared" si="44"/>
        <v>1295.4207</v>
      </c>
      <c r="N92" s="48"/>
      <c r="O92" s="48">
        <f t="shared" si="45"/>
        <v>42204.806406</v>
      </c>
      <c r="P92" s="32"/>
      <c r="R92" s="46">
        <f t="shared" si="46"/>
        <v>42204.806406</v>
      </c>
      <c r="S92" s="46">
        <f t="shared" si="47"/>
        <v>863.6138</v>
      </c>
      <c r="T92" s="46" t="b">
        <f t="shared" si="48"/>
        <v>0</v>
      </c>
      <c r="U92" s="46" t="b">
        <f t="shared" si="49"/>
        <v>1</v>
      </c>
    </row>
    <row r="93" s="46" customFormat="1" ht="112.5" outlineLevel="1" spans="1:21">
      <c r="A93" s="32">
        <v>83</v>
      </c>
      <c r="B93" s="32" t="s">
        <v>453</v>
      </c>
      <c r="C93" s="32" t="s">
        <v>454</v>
      </c>
      <c r="D93" s="32" t="s">
        <v>334</v>
      </c>
      <c r="E93" s="32">
        <v>1</v>
      </c>
      <c r="F93" s="32">
        <v>550</v>
      </c>
      <c r="G93" s="48">
        <f t="shared" si="43"/>
        <v>3131</v>
      </c>
      <c r="H93" s="48">
        <v>3100</v>
      </c>
      <c r="I93" s="49">
        <v>0.01</v>
      </c>
      <c r="J93" s="31">
        <v>150</v>
      </c>
      <c r="K93" s="31">
        <f>(F93+G93+J93)*$K$5</f>
        <v>229.86</v>
      </c>
      <c r="L93" s="31">
        <f>(F93+G93+J93+K93)*$L$5</f>
        <v>121.8258</v>
      </c>
      <c r="M93" s="48">
        <f t="shared" si="44"/>
        <v>6274.0287</v>
      </c>
      <c r="N93" s="48"/>
      <c r="O93" s="48">
        <f t="shared" si="45"/>
        <v>6274.0287</v>
      </c>
      <c r="P93" s="32" t="s">
        <v>455</v>
      </c>
      <c r="R93" s="46">
        <f t="shared" si="46"/>
        <v>6274.0287</v>
      </c>
      <c r="S93" s="46">
        <f t="shared" si="47"/>
        <v>4182.6858</v>
      </c>
      <c r="T93" s="46" t="b">
        <f t="shared" si="48"/>
        <v>0</v>
      </c>
      <c r="U93" s="46" t="b">
        <f t="shared" si="49"/>
        <v>1</v>
      </c>
    </row>
    <row r="94" s="46" customFormat="1" ht="112.5" outlineLevel="1" spans="1:21">
      <c r="A94" s="32">
        <v>84</v>
      </c>
      <c r="B94" s="32" t="s">
        <v>453</v>
      </c>
      <c r="C94" s="32" t="s">
        <v>456</v>
      </c>
      <c r="D94" s="32" t="s">
        <v>334</v>
      </c>
      <c r="E94" s="32">
        <v>1</v>
      </c>
      <c r="F94" s="32">
        <f t="shared" ref="F94:J94" si="51">F93</f>
        <v>550</v>
      </c>
      <c r="G94" s="48">
        <f t="shared" si="43"/>
        <v>2828</v>
      </c>
      <c r="H94" s="48">
        <v>2800</v>
      </c>
      <c r="I94" s="49">
        <f t="shared" si="51"/>
        <v>0.01</v>
      </c>
      <c r="J94" s="30">
        <f t="shared" si="51"/>
        <v>150</v>
      </c>
      <c r="K94" s="31">
        <f>(F94+G94+J94)*$K$5</f>
        <v>211.68</v>
      </c>
      <c r="L94" s="31">
        <f>(F94+G94+J94+K94)*$L$5</f>
        <v>112.1904</v>
      </c>
      <c r="M94" s="48">
        <f t="shared" si="44"/>
        <v>5777.8056</v>
      </c>
      <c r="N94" s="48"/>
      <c r="O94" s="48">
        <f t="shared" si="45"/>
        <v>5777.8056</v>
      </c>
      <c r="P94" s="32" t="str">
        <f>P93</f>
        <v>海信</v>
      </c>
      <c r="R94" s="46">
        <f t="shared" si="46"/>
        <v>5777.8056</v>
      </c>
      <c r="S94" s="46">
        <f t="shared" si="47"/>
        <v>3851.8704</v>
      </c>
      <c r="T94" s="46" t="b">
        <f t="shared" si="48"/>
        <v>0</v>
      </c>
      <c r="U94" s="46" t="b">
        <f t="shared" si="49"/>
        <v>1</v>
      </c>
    </row>
    <row r="95" s="46" customFormat="1" ht="101.25" outlineLevel="1" spans="1:21">
      <c r="A95" s="32">
        <v>85</v>
      </c>
      <c r="B95" s="32" t="s">
        <v>453</v>
      </c>
      <c r="C95" s="32" t="s">
        <v>457</v>
      </c>
      <c r="D95" s="32" t="s">
        <v>334</v>
      </c>
      <c r="E95" s="32">
        <v>1</v>
      </c>
      <c r="F95" s="32">
        <f t="shared" ref="F95:J95" si="52">F93</f>
        <v>550</v>
      </c>
      <c r="G95" s="48">
        <f t="shared" si="43"/>
        <v>2727</v>
      </c>
      <c r="H95" s="48">
        <v>2700</v>
      </c>
      <c r="I95" s="49">
        <f t="shared" si="52"/>
        <v>0.01</v>
      </c>
      <c r="J95" s="30">
        <f t="shared" si="52"/>
        <v>150</v>
      </c>
      <c r="K95" s="31">
        <f>(F95+G95+J95)*$K$5</f>
        <v>205.62</v>
      </c>
      <c r="L95" s="31">
        <f>(F95+G95+J95+K95)*$L$5</f>
        <v>108.9786</v>
      </c>
      <c r="M95" s="48">
        <f t="shared" si="44"/>
        <v>5612.3979</v>
      </c>
      <c r="N95" s="48"/>
      <c r="O95" s="48">
        <f t="shared" si="45"/>
        <v>5612.3979</v>
      </c>
      <c r="P95" s="32" t="str">
        <f>P93</f>
        <v>海信</v>
      </c>
      <c r="R95" s="46">
        <f t="shared" si="46"/>
        <v>5612.3979</v>
      </c>
      <c r="S95" s="46">
        <f t="shared" si="47"/>
        <v>3741.5986</v>
      </c>
      <c r="T95" s="46" t="b">
        <f t="shared" si="48"/>
        <v>0</v>
      </c>
      <c r="U95" s="46" t="b">
        <f t="shared" si="49"/>
        <v>1</v>
      </c>
    </row>
    <row r="96" s="46" customFormat="1" ht="101.25" outlineLevel="1" spans="1:21">
      <c r="A96" s="32">
        <v>86</v>
      </c>
      <c r="B96" s="32" t="s">
        <v>453</v>
      </c>
      <c r="C96" s="32" t="s">
        <v>458</v>
      </c>
      <c r="D96" s="32" t="s">
        <v>334</v>
      </c>
      <c r="E96" s="32">
        <v>2</v>
      </c>
      <c r="F96" s="32">
        <f t="shared" ref="F96:J96" si="53">F93</f>
        <v>550</v>
      </c>
      <c r="G96" s="48">
        <f t="shared" si="43"/>
        <v>2676.5</v>
      </c>
      <c r="H96" s="48">
        <v>2650</v>
      </c>
      <c r="I96" s="49">
        <f t="shared" si="53"/>
        <v>0.01</v>
      </c>
      <c r="J96" s="30">
        <f t="shared" si="53"/>
        <v>150</v>
      </c>
      <c r="K96" s="31">
        <f>(F96+G96+J96)*$K$5</f>
        <v>202.59</v>
      </c>
      <c r="L96" s="31">
        <f>(F96+G96+J96+K96)*$L$5</f>
        <v>107.3727</v>
      </c>
      <c r="M96" s="48">
        <f t="shared" si="44"/>
        <v>5529.69405</v>
      </c>
      <c r="N96" s="48"/>
      <c r="O96" s="48">
        <f t="shared" si="45"/>
        <v>11059.3881</v>
      </c>
      <c r="P96" s="32" t="str">
        <f>P94</f>
        <v>海信</v>
      </c>
      <c r="R96" s="46">
        <f t="shared" si="46"/>
        <v>11059.3881</v>
      </c>
      <c r="S96" s="46">
        <f t="shared" si="47"/>
        <v>3686.4627</v>
      </c>
      <c r="T96" s="46" t="b">
        <f t="shared" si="48"/>
        <v>0</v>
      </c>
      <c r="U96" s="46" t="b">
        <f t="shared" si="49"/>
        <v>1</v>
      </c>
    </row>
    <row r="97" s="46" customFormat="1" ht="101.25" outlineLevel="1" spans="1:21">
      <c r="A97" s="32">
        <v>87</v>
      </c>
      <c r="B97" s="32" t="s">
        <v>453</v>
      </c>
      <c r="C97" s="32" t="s">
        <v>459</v>
      </c>
      <c r="D97" s="32" t="s">
        <v>334</v>
      </c>
      <c r="E97" s="32">
        <v>1</v>
      </c>
      <c r="F97" s="32">
        <f t="shared" ref="F97:J97" si="54">F93</f>
        <v>550</v>
      </c>
      <c r="G97" s="48">
        <f t="shared" si="43"/>
        <v>2626</v>
      </c>
      <c r="H97" s="48">
        <v>2600</v>
      </c>
      <c r="I97" s="49">
        <f t="shared" si="54"/>
        <v>0.01</v>
      </c>
      <c r="J97" s="30">
        <f t="shared" si="54"/>
        <v>150</v>
      </c>
      <c r="K97" s="31">
        <f>(F97+G97+J97)*$K$5</f>
        <v>199.56</v>
      </c>
      <c r="L97" s="31">
        <f>(F97+G97+J97+K97)*$L$5</f>
        <v>105.7668</v>
      </c>
      <c r="M97" s="48">
        <f t="shared" si="44"/>
        <v>5446.9902</v>
      </c>
      <c r="N97" s="48"/>
      <c r="O97" s="48">
        <f t="shared" si="45"/>
        <v>5446.9902</v>
      </c>
      <c r="P97" s="32" t="str">
        <f t="shared" ref="P97:P103" si="55">P96</f>
        <v>海信</v>
      </c>
      <c r="R97" s="46">
        <f t="shared" si="46"/>
        <v>5446.9902</v>
      </c>
      <c r="S97" s="46">
        <f t="shared" si="47"/>
        <v>3631.3268</v>
      </c>
      <c r="T97" s="46" t="b">
        <f t="shared" si="48"/>
        <v>0</v>
      </c>
      <c r="U97" s="46" t="b">
        <f t="shared" si="49"/>
        <v>1</v>
      </c>
    </row>
    <row r="98" s="46" customFormat="1" ht="101.25" outlineLevel="1" spans="1:21">
      <c r="A98" s="32">
        <v>88</v>
      </c>
      <c r="B98" s="32" t="s">
        <v>453</v>
      </c>
      <c r="C98" s="32" t="s">
        <v>460</v>
      </c>
      <c r="D98" s="32" t="s">
        <v>334</v>
      </c>
      <c r="E98" s="32">
        <v>1</v>
      </c>
      <c r="F98" s="32">
        <f t="shared" ref="F98:J98" si="56">F93</f>
        <v>550</v>
      </c>
      <c r="G98" s="48">
        <f t="shared" si="43"/>
        <v>2575.5</v>
      </c>
      <c r="H98" s="48">
        <v>2550</v>
      </c>
      <c r="I98" s="49">
        <f t="shared" si="56"/>
        <v>0.01</v>
      </c>
      <c r="J98" s="30">
        <f t="shared" si="56"/>
        <v>150</v>
      </c>
      <c r="K98" s="31">
        <f>(F98+G98+J98)*$K$5</f>
        <v>196.53</v>
      </c>
      <c r="L98" s="31">
        <f>(F98+G98+J98+K98)*$L$5</f>
        <v>104.1609</v>
      </c>
      <c r="M98" s="48">
        <f t="shared" ref="M98:M129" si="57">(F98+G98+J98+K98+L98)*1.5</f>
        <v>5364.28635</v>
      </c>
      <c r="N98" s="48"/>
      <c r="O98" s="48">
        <f t="shared" si="45"/>
        <v>5364.28635</v>
      </c>
      <c r="P98" s="32" t="str">
        <f t="shared" si="55"/>
        <v>海信</v>
      </c>
      <c r="R98" s="46">
        <f t="shared" si="46"/>
        <v>5364.28635</v>
      </c>
      <c r="S98" s="46">
        <f t="shared" si="47"/>
        <v>3576.1909</v>
      </c>
      <c r="T98" s="46" t="b">
        <f t="shared" si="48"/>
        <v>0</v>
      </c>
      <c r="U98" s="46" t="b">
        <f t="shared" si="49"/>
        <v>1</v>
      </c>
    </row>
    <row r="99" s="46" customFormat="1" ht="101.25" outlineLevel="1" spans="1:21">
      <c r="A99" s="32">
        <v>89</v>
      </c>
      <c r="B99" s="32" t="s">
        <v>453</v>
      </c>
      <c r="C99" s="32" t="s">
        <v>461</v>
      </c>
      <c r="D99" s="32" t="s">
        <v>334</v>
      </c>
      <c r="E99" s="32">
        <v>1</v>
      </c>
      <c r="F99" s="32">
        <f t="shared" ref="F99:J99" si="58">F93</f>
        <v>550</v>
      </c>
      <c r="G99" s="48">
        <f t="shared" si="43"/>
        <v>2575.5</v>
      </c>
      <c r="H99" s="48">
        <f>H98</f>
        <v>2550</v>
      </c>
      <c r="I99" s="49">
        <f t="shared" si="58"/>
        <v>0.01</v>
      </c>
      <c r="J99" s="30">
        <f t="shared" si="58"/>
        <v>150</v>
      </c>
      <c r="K99" s="31">
        <f>(F99+G99+J99)*$K$5</f>
        <v>196.53</v>
      </c>
      <c r="L99" s="31">
        <f>(F99+G99+J99+K99)*$L$5</f>
        <v>104.1609</v>
      </c>
      <c r="M99" s="48">
        <f t="shared" si="57"/>
        <v>5364.28635</v>
      </c>
      <c r="N99" s="48"/>
      <c r="O99" s="48">
        <f t="shared" si="45"/>
        <v>5364.28635</v>
      </c>
      <c r="P99" s="32" t="str">
        <f t="shared" si="55"/>
        <v>海信</v>
      </c>
      <c r="R99" s="46">
        <f t="shared" si="46"/>
        <v>5364.28635</v>
      </c>
      <c r="S99" s="46">
        <f t="shared" si="47"/>
        <v>3576.1909</v>
      </c>
      <c r="T99" s="46" t="b">
        <f t="shared" si="48"/>
        <v>0</v>
      </c>
      <c r="U99" s="46" t="b">
        <f t="shared" si="49"/>
        <v>1</v>
      </c>
    </row>
    <row r="100" s="46" customFormat="1" ht="101.25" outlineLevel="1" spans="1:21">
      <c r="A100" s="32">
        <v>90</v>
      </c>
      <c r="B100" s="32" t="s">
        <v>453</v>
      </c>
      <c r="C100" s="32" t="s">
        <v>462</v>
      </c>
      <c r="D100" s="32" t="s">
        <v>334</v>
      </c>
      <c r="E100" s="32">
        <v>1</v>
      </c>
      <c r="F100" s="32">
        <f t="shared" ref="F100:J100" si="59">F93</f>
        <v>550</v>
      </c>
      <c r="G100" s="48">
        <f t="shared" si="43"/>
        <v>2575.5</v>
      </c>
      <c r="H100" s="48">
        <f>H98</f>
        <v>2550</v>
      </c>
      <c r="I100" s="49">
        <f t="shared" si="59"/>
        <v>0.01</v>
      </c>
      <c r="J100" s="30">
        <f t="shared" si="59"/>
        <v>150</v>
      </c>
      <c r="K100" s="31">
        <f>(F100+G100+J100)*$K$5</f>
        <v>196.53</v>
      </c>
      <c r="L100" s="31">
        <f>(F100+G100+J100+K100)*$L$5</f>
        <v>104.1609</v>
      </c>
      <c r="M100" s="48">
        <f t="shared" si="57"/>
        <v>5364.28635</v>
      </c>
      <c r="N100" s="48"/>
      <c r="O100" s="48">
        <f t="shared" si="45"/>
        <v>5364.28635</v>
      </c>
      <c r="P100" s="32" t="str">
        <f t="shared" si="55"/>
        <v>海信</v>
      </c>
      <c r="R100" s="46">
        <f t="shared" si="46"/>
        <v>5364.28635</v>
      </c>
      <c r="S100" s="46">
        <f t="shared" si="47"/>
        <v>3576.1909</v>
      </c>
      <c r="T100" s="46" t="b">
        <f t="shared" si="48"/>
        <v>0</v>
      </c>
      <c r="U100" s="46" t="b">
        <f t="shared" si="49"/>
        <v>1</v>
      </c>
    </row>
    <row r="101" s="46" customFormat="1" ht="101.25" outlineLevel="1" spans="1:21">
      <c r="A101" s="32">
        <v>91</v>
      </c>
      <c r="B101" s="32" t="s">
        <v>453</v>
      </c>
      <c r="C101" s="32" t="s">
        <v>463</v>
      </c>
      <c r="D101" s="32" t="s">
        <v>334</v>
      </c>
      <c r="E101" s="32">
        <v>1</v>
      </c>
      <c r="F101" s="32">
        <f t="shared" ref="F101:J101" si="60">F93</f>
        <v>550</v>
      </c>
      <c r="G101" s="48">
        <f t="shared" si="43"/>
        <v>2575.5</v>
      </c>
      <c r="H101" s="48">
        <f>H98</f>
        <v>2550</v>
      </c>
      <c r="I101" s="49">
        <f t="shared" si="60"/>
        <v>0.01</v>
      </c>
      <c r="J101" s="30">
        <f t="shared" si="60"/>
        <v>150</v>
      </c>
      <c r="K101" s="31">
        <f>(F101+G101+J101)*$K$5</f>
        <v>196.53</v>
      </c>
      <c r="L101" s="31">
        <f>(F101+G101+J101+K101)*$L$5</f>
        <v>104.1609</v>
      </c>
      <c r="M101" s="48">
        <f t="shared" si="57"/>
        <v>5364.28635</v>
      </c>
      <c r="N101" s="48"/>
      <c r="O101" s="48">
        <f t="shared" si="45"/>
        <v>5364.28635</v>
      </c>
      <c r="P101" s="32" t="str">
        <f t="shared" si="55"/>
        <v>海信</v>
      </c>
      <c r="R101" s="46">
        <f t="shared" si="46"/>
        <v>5364.28635</v>
      </c>
      <c r="S101" s="46">
        <f t="shared" si="47"/>
        <v>3576.1909</v>
      </c>
      <c r="T101" s="46" t="b">
        <f t="shared" si="48"/>
        <v>0</v>
      </c>
      <c r="U101" s="46" t="b">
        <f t="shared" si="49"/>
        <v>1</v>
      </c>
    </row>
    <row r="102" s="46" customFormat="1" ht="101.25" outlineLevel="1" spans="1:21">
      <c r="A102" s="32">
        <v>92</v>
      </c>
      <c r="B102" s="32" t="s">
        <v>453</v>
      </c>
      <c r="C102" s="32" t="s">
        <v>464</v>
      </c>
      <c r="D102" s="32" t="s">
        <v>334</v>
      </c>
      <c r="E102" s="32">
        <v>1</v>
      </c>
      <c r="F102" s="32">
        <f t="shared" ref="F102:J102" si="61">F93</f>
        <v>550</v>
      </c>
      <c r="G102" s="48">
        <f t="shared" si="43"/>
        <v>2575.5</v>
      </c>
      <c r="H102" s="48">
        <f>H101</f>
        <v>2550</v>
      </c>
      <c r="I102" s="49">
        <f t="shared" si="61"/>
        <v>0.01</v>
      </c>
      <c r="J102" s="30">
        <f t="shared" si="61"/>
        <v>150</v>
      </c>
      <c r="K102" s="31">
        <f>(F102+G102+J102)*$K$5</f>
        <v>196.53</v>
      </c>
      <c r="L102" s="31">
        <f>(F102+G102+J102+K102)*$L$5</f>
        <v>104.1609</v>
      </c>
      <c r="M102" s="48">
        <f t="shared" si="57"/>
        <v>5364.28635</v>
      </c>
      <c r="N102" s="48"/>
      <c r="O102" s="48">
        <f t="shared" si="45"/>
        <v>5364.28635</v>
      </c>
      <c r="P102" s="32" t="str">
        <f t="shared" si="55"/>
        <v>海信</v>
      </c>
      <c r="R102" s="46">
        <f t="shared" si="46"/>
        <v>5364.28635</v>
      </c>
      <c r="S102" s="46">
        <f t="shared" si="47"/>
        <v>3576.1909</v>
      </c>
      <c r="T102" s="46" t="b">
        <f t="shared" si="48"/>
        <v>0</v>
      </c>
      <c r="U102" s="46" t="b">
        <f t="shared" si="49"/>
        <v>1</v>
      </c>
    </row>
    <row r="103" s="46" customFormat="1" ht="112.5" outlineLevel="1" spans="1:21">
      <c r="A103" s="32">
        <v>93</v>
      </c>
      <c r="B103" s="32" t="s">
        <v>453</v>
      </c>
      <c r="C103" s="32" t="s">
        <v>465</v>
      </c>
      <c r="D103" s="32" t="s">
        <v>334</v>
      </c>
      <c r="E103" s="32">
        <v>12</v>
      </c>
      <c r="F103" s="32">
        <f t="shared" ref="F103:J103" si="62">F93</f>
        <v>550</v>
      </c>
      <c r="G103" s="48">
        <f t="shared" si="43"/>
        <v>4545</v>
      </c>
      <c r="H103" s="48">
        <v>4500</v>
      </c>
      <c r="I103" s="49">
        <f t="shared" si="62"/>
        <v>0.01</v>
      </c>
      <c r="J103" s="30">
        <f t="shared" si="62"/>
        <v>150</v>
      </c>
      <c r="K103" s="31">
        <f>(F103+G103+J103)*$K$5</f>
        <v>314.7</v>
      </c>
      <c r="L103" s="31">
        <f>(F103+G103+J103+K103)*$L$5</f>
        <v>166.791</v>
      </c>
      <c r="M103" s="48">
        <f t="shared" si="57"/>
        <v>8589.7365</v>
      </c>
      <c r="N103" s="48"/>
      <c r="O103" s="48">
        <f t="shared" si="45"/>
        <v>103076.838</v>
      </c>
      <c r="P103" s="32" t="str">
        <f t="shared" si="55"/>
        <v>海信</v>
      </c>
      <c r="R103" s="46">
        <f t="shared" si="46"/>
        <v>103076.838</v>
      </c>
      <c r="S103" s="46">
        <f t="shared" si="47"/>
        <v>5726.491</v>
      </c>
      <c r="T103" s="46" t="b">
        <f t="shared" si="48"/>
        <v>0</v>
      </c>
      <c r="U103" s="46" t="b">
        <f t="shared" si="49"/>
        <v>1</v>
      </c>
    </row>
    <row r="104" s="46" customFormat="1" outlineLevel="1" spans="1:21">
      <c r="A104" s="32">
        <v>94</v>
      </c>
      <c r="B104" s="32" t="s">
        <v>466</v>
      </c>
      <c r="C104" s="32" t="s">
        <v>467</v>
      </c>
      <c r="D104" s="32" t="s">
        <v>67</v>
      </c>
      <c r="E104" s="32">
        <v>71.17</v>
      </c>
      <c r="F104" s="32">
        <v>35</v>
      </c>
      <c r="G104" s="32">
        <f t="shared" si="43"/>
        <v>68.25</v>
      </c>
      <c r="H104" s="32">
        <v>65</v>
      </c>
      <c r="I104" s="49">
        <v>0.05</v>
      </c>
      <c r="J104" s="30">
        <v>15</v>
      </c>
      <c r="K104" s="30">
        <f>(F104+G104+J104)*$K$5</f>
        <v>7.095</v>
      </c>
      <c r="L104" s="30">
        <f>(F104+G104+J104+K104)*$L$5</f>
        <v>3.76035</v>
      </c>
      <c r="M104" s="48">
        <f t="shared" si="57"/>
        <v>193.658025</v>
      </c>
      <c r="N104" s="48"/>
      <c r="O104" s="32">
        <f t="shared" si="45"/>
        <v>13782.64163925</v>
      </c>
      <c r="P104" s="32"/>
      <c r="R104" s="46">
        <f t="shared" si="46"/>
        <v>13782.64163925</v>
      </c>
      <c r="S104" s="46">
        <f t="shared" si="47"/>
        <v>129.10535</v>
      </c>
      <c r="T104" s="46" t="b">
        <f t="shared" si="48"/>
        <v>0</v>
      </c>
      <c r="U104" s="46" t="b">
        <f t="shared" si="49"/>
        <v>1</v>
      </c>
    </row>
    <row r="105" s="46" customFormat="1" outlineLevel="1" spans="1:21">
      <c r="A105" s="32"/>
      <c r="B105" s="32"/>
      <c r="C105" s="32"/>
      <c r="D105" s="32"/>
      <c r="E105" s="32"/>
      <c r="F105" s="32"/>
      <c r="G105" s="32"/>
      <c r="H105" s="32"/>
      <c r="I105" s="49"/>
      <c r="J105" s="30"/>
      <c r="K105" s="30"/>
      <c r="L105" s="30"/>
      <c r="M105" s="48">
        <f t="shared" si="57"/>
        <v>0</v>
      </c>
      <c r="N105" s="48"/>
      <c r="O105" s="32"/>
      <c r="P105" s="32"/>
      <c r="R105" s="46">
        <f t="shared" si="46"/>
        <v>0</v>
      </c>
      <c r="S105" s="46">
        <f t="shared" si="47"/>
        <v>0</v>
      </c>
      <c r="T105" s="46" t="b">
        <f t="shared" si="48"/>
        <v>1</v>
      </c>
      <c r="U105" s="46" t="b">
        <f t="shared" si="49"/>
        <v>1</v>
      </c>
    </row>
    <row r="106" s="46" customFormat="1" outlineLevel="1" spans="1:21">
      <c r="A106" s="51">
        <v>95</v>
      </c>
      <c r="B106" s="51" t="s">
        <v>466</v>
      </c>
      <c r="C106" s="51" t="s">
        <v>468</v>
      </c>
      <c r="D106" s="51" t="s">
        <v>67</v>
      </c>
      <c r="E106" s="51">
        <v>54.25</v>
      </c>
      <c r="F106" s="51">
        <f t="shared" ref="F106:J106" si="63">F104</f>
        <v>35</v>
      </c>
      <c r="G106" s="51">
        <f t="shared" ref="G106:G121" si="64">H106*(1+I106)</f>
        <v>68.25</v>
      </c>
      <c r="H106" s="51">
        <f t="shared" si="63"/>
        <v>65</v>
      </c>
      <c r="I106" s="54">
        <f t="shared" si="63"/>
        <v>0.05</v>
      </c>
      <c r="J106" s="55">
        <f t="shared" si="63"/>
        <v>15</v>
      </c>
      <c r="K106" s="55">
        <f>(F106+G106+J106)*$K$5</f>
        <v>7.095</v>
      </c>
      <c r="L106" s="55">
        <f>(F106+G106+J106+K106)*$L$5</f>
        <v>3.76035</v>
      </c>
      <c r="M106" s="48">
        <f t="shared" si="57"/>
        <v>193.658025</v>
      </c>
      <c r="N106" s="48"/>
      <c r="O106" s="51">
        <f t="shared" ref="O106:O121" si="65">M106*E106</f>
        <v>10505.94785625</v>
      </c>
      <c r="P106" s="55"/>
      <c r="R106" s="46">
        <f t="shared" si="46"/>
        <v>10505.94785625</v>
      </c>
      <c r="S106" s="46">
        <f t="shared" si="47"/>
        <v>129.10535</v>
      </c>
      <c r="T106" s="46" t="b">
        <f t="shared" si="48"/>
        <v>0</v>
      </c>
      <c r="U106" s="46" t="b">
        <f t="shared" si="49"/>
        <v>1</v>
      </c>
    </row>
    <row r="107" s="46" customFormat="1" outlineLevel="1" spans="1:21">
      <c r="A107" s="52"/>
      <c r="B107" s="52"/>
      <c r="C107" s="52"/>
      <c r="D107" s="52"/>
      <c r="E107" s="52"/>
      <c r="F107" s="52"/>
      <c r="G107" s="52"/>
      <c r="H107" s="52"/>
      <c r="I107" s="56"/>
      <c r="J107" s="57"/>
      <c r="K107" s="57"/>
      <c r="L107" s="57"/>
      <c r="M107" s="48">
        <f t="shared" si="57"/>
        <v>0</v>
      </c>
      <c r="N107" s="48"/>
      <c r="O107" s="52"/>
      <c r="P107" s="57"/>
      <c r="R107" s="46">
        <f t="shared" si="46"/>
        <v>0</v>
      </c>
      <c r="S107" s="46">
        <f t="shared" si="47"/>
        <v>0</v>
      </c>
      <c r="T107" s="46" t="b">
        <f t="shared" si="48"/>
        <v>1</v>
      </c>
      <c r="U107" s="46" t="b">
        <f t="shared" si="49"/>
        <v>1</v>
      </c>
    </row>
    <row r="108" s="46" customFormat="1" outlineLevel="1" spans="1:21">
      <c r="A108" s="51">
        <v>96</v>
      </c>
      <c r="B108" s="51" t="s">
        <v>466</v>
      </c>
      <c r="C108" s="51" t="s">
        <v>469</v>
      </c>
      <c r="D108" s="51" t="s">
        <v>67</v>
      </c>
      <c r="E108" s="51">
        <v>10.73</v>
      </c>
      <c r="F108" s="51">
        <f t="shared" ref="F108:J108" si="66">F104</f>
        <v>35</v>
      </c>
      <c r="G108" s="51">
        <f t="shared" si="64"/>
        <v>68.25</v>
      </c>
      <c r="H108" s="51">
        <f t="shared" si="66"/>
        <v>65</v>
      </c>
      <c r="I108" s="54">
        <f t="shared" si="66"/>
        <v>0.05</v>
      </c>
      <c r="J108" s="55">
        <f t="shared" si="66"/>
        <v>15</v>
      </c>
      <c r="K108" s="55">
        <f>(F108+G108+J108)*$K$5</f>
        <v>7.095</v>
      </c>
      <c r="L108" s="55">
        <f>(F108+G108+J108+K108)*$L$5</f>
        <v>3.76035</v>
      </c>
      <c r="M108" s="48">
        <f t="shared" si="57"/>
        <v>193.658025</v>
      </c>
      <c r="N108" s="48"/>
      <c r="O108" s="51">
        <f t="shared" si="65"/>
        <v>2077.95060825</v>
      </c>
      <c r="P108" s="55"/>
      <c r="R108" s="46">
        <f t="shared" si="46"/>
        <v>2077.95060825</v>
      </c>
      <c r="S108" s="46">
        <f t="shared" si="47"/>
        <v>129.10535</v>
      </c>
      <c r="T108" s="46" t="b">
        <f t="shared" si="48"/>
        <v>0</v>
      </c>
      <c r="U108" s="46" t="b">
        <f t="shared" si="49"/>
        <v>1</v>
      </c>
    </row>
    <row r="109" s="46" customFormat="1" outlineLevel="1" spans="1:21">
      <c r="A109" s="52"/>
      <c r="B109" s="52"/>
      <c r="C109" s="52"/>
      <c r="D109" s="52"/>
      <c r="E109" s="52"/>
      <c r="F109" s="52"/>
      <c r="G109" s="52"/>
      <c r="H109" s="52"/>
      <c r="I109" s="56"/>
      <c r="J109" s="57"/>
      <c r="K109" s="57"/>
      <c r="L109" s="57"/>
      <c r="M109" s="48">
        <f t="shared" si="57"/>
        <v>0</v>
      </c>
      <c r="N109" s="48"/>
      <c r="O109" s="52"/>
      <c r="P109" s="57"/>
      <c r="R109" s="46">
        <f t="shared" si="46"/>
        <v>0</v>
      </c>
      <c r="S109" s="46">
        <f t="shared" si="47"/>
        <v>0</v>
      </c>
      <c r="T109" s="46" t="b">
        <f t="shared" si="48"/>
        <v>1</v>
      </c>
      <c r="U109" s="46" t="b">
        <f t="shared" si="49"/>
        <v>1</v>
      </c>
    </row>
    <row r="110" s="46" customFormat="1" ht="33.75" outlineLevel="1" spans="1:21">
      <c r="A110" s="32">
        <v>97</v>
      </c>
      <c r="B110" s="32" t="s">
        <v>470</v>
      </c>
      <c r="C110" s="32" t="s">
        <v>471</v>
      </c>
      <c r="D110" s="32" t="s">
        <v>67</v>
      </c>
      <c r="E110" s="32">
        <v>18.82</v>
      </c>
      <c r="F110" s="32">
        <v>185</v>
      </c>
      <c r="G110" s="48">
        <f t="shared" si="64"/>
        <v>231</v>
      </c>
      <c r="H110" s="48">
        <v>220</v>
      </c>
      <c r="I110" s="49">
        <v>0.05</v>
      </c>
      <c r="J110" s="31">
        <v>15</v>
      </c>
      <c r="K110" s="31">
        <f>(F110+G110+J110)*$K$5</f>
        <v>25.86</v>
      </c>
      <c r="L110" s="31">
        <f>(F110+G110+J110+K110)*$L$5</f>
        <v>13.7058</v>
      </c>
      <c r="M110" s="48">
        <f t="shared" si="57"/>
        <v>705.8487</v>
      </c>
      <c r="N110" s="48"/>
      <c r="O110" s="48">
        <f t="shared" si="65"/>
        <v>13284.072534</v>
      </c>
      <c r="P110" s="32"/>
      <c r="R110" s="46">
        <f t="shared" si="46"/>
        <v>13284.072534</v>
      </c>
      <c r="S110" s="46">
        <f t="shared" si="47"/>
        <v>470.5658</v>
      </c>
      <c r="T110" s="46" t="b">
        <f t="shared" si="48"/>
        <v>0</v>
      </c>
      <c r="U110" s="46" t="b">
        <f t="shared" si="49"/>
        <v>1</v>
      </c>
    </row>
    <row r="111" s="46" customFormat="1" ht="78.75" outlineLevel="1" spans="1:21">
      <c r="A111" s="32">
        <v>98</v>
      </c>
      <c r="B111" s="32" t="s">
        <v>472</v>
      </c>
      <c r="C111" s="32" t="s">
        <v>473</v>
      </c>
      <c r="D111" s="32" t="s">
        <v>102</v>
      </c>
      <c r="E111" s="32">
        <v>51.62</v>
      </c>
      <c r="F111" s="32">
        <v>15</v>
      </c>
      <c r="G111" s="48">
        <f t="shared" si="64"/>
        <v>78.75</v>
      </c>
      <c r="H111" s="48">
        <v>75</v>
      </c>
      <c r="I111" s="49">
        <v>0.05</v>
      </c>
      <c r="J111" s="31">
        <v>1</v>
      </c>
      <c r="K111" s="31">
        <f>(F111+G111+J111)*$K$5</f>
        <v>5.685</v>
      </c>
      <c r="L111" s="31">
        <f>(F111+G111+J111+K111)*$L$5</f>
        <v>3.01305</v>
      </c>
      <c r="M111" s="48">
        <f t="shared" si="57"/>
        <v>155.172075</v>
      </c>
      <c r="N111" s="48"/>
      <c r="O111" s="48">
        <f t="shared" si="65"/>
        <v>8009.9825115</v>
      </c>
      <c r="P111" s="58" t="s">
        <v>474</v>
      </c>
      <c r="R111" s="46">
        <f t="shared" si="46"/>
        <v>8009.9825115</v>
      </c>
      <c r="S111" s="46">
        <f t="shared" si="47"/>
        <v>103.44805</v>
      </c>
      <c r="T111" s="46" t="b">
        <f t="shared" si="48"/>
        <v>0</v>
      </c>
      <c r="U111" s="46" t="b">
        <f t="shared" si="49"/>
        <v>1</v>
      </c>
    </row>
    <row r="112" s="46" customFormat="1" ht="78.75" outlineLevel="1" spans="1:21">
      <c r="A112" s="32">
        <v>99</v>
      </c>
      <c r="B112" s="32" t="s">
        <v>472</v>
      </c>
      <c r="C112" s="32" t="s">
        <v>475</v>
      </c>
      <c r="D112" s="32" t="s">
        <v>102</v>
      </c>
      <c r="E112" s="32">
        <v>7.39</v>
      </c>
      <c r="F112" s="32">
        <f t="shared" ref="F112:J112" si="67">F111</f>
        <v>15</v>
      </c>
      <c r="G112" s="48">
        <f t="shared" si="64"/>
        <v>71.4</v>
      </c>
      <c r="H112" s="48">
        <v>68</v>
      </c>
      <c r="I112" s="49">
        <f t="shared" si="67"/>
        <v>0.05</v>
      </c>
      <c r="J112" s="31">
        <f t="shared" si="67"/>
        <v>1</v>
      </c>
      <c r="K112" s="31">
        <f>(F112+G112+J112)*$K$5</f>
        <v>5.244</v>
      </c>
      <c r="L112" s="31">
        <f>(F112+G112+J112+K112)*$L$5</f>
        <v>2.77932</v>
      </c>
      <c r="M112" s="48">
        <f t="shared" si="57"/>
        <v>143.13498</v>
      </c>
      <c r="N112" s="48"/>
      <c r="O112" s="48">
        <f t="shared" si="65"/>
        <v>1057.7675022</v>
      </c>
      <c r="P112" s="58" t="s">
        <v>474</v>
      </c>
      <c r="R112" s="46">
        <f t="shared" si="46"/>
        <v>1057.7675022</v>
      </c>
      <c r="S112" s="46">
        <f t="shared" si="47"/>
        <v>95.42332</v>
      </c>
      <c r="T112" s="46" t="b">
        <f t="shared" si="48"/>
        <v>0</v>
      </c>
      <c r="U112" s="46" t="b">
        <f t="shared" si="49"/>
        <v>1</v>
      </c>
    </row>
    <row r="113" s="46" customFormat="1" ht="90" outlineLevel="1" spans="1:21">
      <c r="A113" s="32">
        <v>100</v>
      </c>
      <c r="B113" s="32" t="s">
        <v>472</v>
      </c>
      <c r="C113" s="32" t="s">
        <v>476</v>
      </c>
      <c r="D113" s="32" t="s">
        <v>102</v>
      </c>
      <c r="E113" s="32">
        <v>40.63</v>
      </c>
      <c r="F113" s="32">
        <f t="shared" ref="F113:J113" si="68">F111</f>
        <v>15</v>
      </c>
      <c r="G113" s="48">
        <f t="shared" si="64"/>
        <v>65.1</v>
      </c>
      <c r="H113" s="48">
        <v>62</v>
      </c>
      <c r="I113" s="49">
        <f t="shared" si="68"/>
        <v>0.05</v>
      </c>
      <c r="J113" s="31">
        <f t="shared" si="68"/>
        <v>1</v>
      </c>
      <c r="K113" s="31">
        <f>(F113+G113+J113)*$K$5</f>
        <v>4.866</v>
      </c>
      <c r="L113" s="31">
        <f>(F113+G113+J113+K113)*$L$5</f>
        <v>2.57898</v>
      </c>
      <c r="M113" s="48">
        <f t="shared" si="57"/>
        <v>132.81747</v>
      </c>
      <c r="N113" s="48"/>
      <c r="O113" s="48">
        <f t="shared" si="65"/>
        <v>5396.3738061</v>
      </c>
      <c r="P113" s="58" t="s">
        <v>474</v>
      </c>
      <c r="R113" s="46">
        <f t="shared" si="46"/>
        <v>5396.3738061</v>
      </c>
      <c r="S113" s="46">
        <f t="shared" si="47"/>
        <v>88.54498</v>
      </c>
      <c r="T113" s="46" t="b">
        <f t="shared" si="48"/>
        <v>0</v>
      </c>
      <c r="U113" s="46" t="b">
        <f t="shared" si="49"/>
        <v>1</v>
      </c>
    </row>
    <row r="114" s="46" customFormat="1" ht="78.75" outlineLevel="1" spans="1:21">
      <c r="A114" s="32">
        <v>101</v>
      </c>
      <c r="B114" s="32" t="s">
        <v>472</v>
      </c>
      <c r="C114" s="32" t="s">
        <v>477</v>
      </c>
      <c r="D114" s="32" t="s">
        <v>102</v>
      </c>
      <c r="E114" s="32">
        <v>39.36</v>
      </c>
      <c r="F114" s="32">
        <f t="shared" ref="F114:J114" si="69">F111</f>
        <v>15</v>
      </c>
      <c r="G114" s="48">
        <f t="shared" si="64"/>
        <v>57.75</v>
      </c>
      <c r="H114" s="48">
        <v>55</v>
      </c>
      <c r="I114" s="49">
        <f t="shared" si="69"/>
        <v>0.05</v>
      </c>
      <c r="J114" s="31">
        <f t="shared" si="69"/>
        <v>1</v>
      </c>
      <c r="K114" s="31">
        <f>(F114+G114+J114)*$K$5</f>
        <v>4.425</v>
      </c>
      <c r="L114" s="31">
        <f>(F114+G114+J114+K114)*$L$5</f>
        <v>2.34525</v>
      </c>
      <c r="M114" s="48">
        <f t="shared" si="57"/>
        <v>120.780375</v>
      </c>
      <c r="N114" s="48"/>
      <c r="O114" s="48">
        <f t="shared" si="65"/>
        <v>4753.91556</v>
      </c>
      <c r="P114" s="58" t="s">
        <v>474</v>
      </c>
      <c r="R114" s="46">
        <f t="shared" si="46"/>
        <v>4753.91556</v>
      </c>
      <c r="S114" s="46">
        <f t="shared" si="47"/>
        <v>80.52025</v>
      </c>
      <c r="T114" s="46" t="b">
        <f t="shared" si="48"/>
        <v>0</v>
      </c>
      <c r="U114" s="46" t="b">
        <f t="shared" si="49"/>
        <v>1</v>
      </c>
    </row>
    <row r="115" s="46" customFormat="1" ht="78.75" outlineLevel="1" spans="1:21">
      <c r="A115" s="32">
        <v>102</v>
      </c>
      <c r="B115" s="32" t="s">
        <v>472</v>
      </c>
      <c r="C115" s="32" t="s">
        <v>478</v>
      </c>
      <c r="D115" s="32" t="s">
        <v>102</v>
      </c>
      <c r="E115" s="32">
        <v>12.89</v>
      </c>
      <c r="F115" s="32">
        <v>10</v>
      </c>
      <c r="G115" s="48">
        <f t="shared" si="64"/>
        <v>47.25</v>
      </c>
      <c r="H115" s="48">
        <v>45</v>
      </c>
      <c r="I115" s="49">
        <f>I111</f>
        <v>0.05</v>
      </c>
      <c r="J115" s="31">
        <f>J111</f>
        <v>1</v>
      </c>
      <c r="K115" s="31">
        <f>(F115+G115+J115)*$K$5</f>
        <v>3.495</v>
      </c>
      <c r="L115" s="31">
        <f>(F115+G115+J115+K115)*$L$5</f>
        <v>1.85235</v>
      </c>
      <c r="M115" s="48">
        <f t="shared" si="57"/>
        <v>95.396025</v>
      </c>
      <c r="N115" s="48"/>
      <c r="O115" s="48">
        <f t="shared" si="65"/>
        <v>1229.65476225</v>
      </c>
      <c r="P115" s="58" t="s">
        <v>474</v>
      </c>
      <c r="R115" s="46">
        <f t="shared" si="46"/>
        <v>1229.65476225</v>
      </c>
      <c r="S115" s="46">
        <f t="shared" si="47"/>
        <v>63.59735</v>
      </c>
      <c r="T115" s="46" t="b">
        <f t="shared" si="48"/>
        <v>0</v>
      </c>
      <c r="U115" s="46" t="b">
        <f t="shared" si="49"/>
        <v>1</v>
      </c>
    </row>
    <row r="116" s="46" customFormat="1" ht="78.75" outlineLevel="1" spans="1:21">
      <c r="A116" s="32">
        <v>103</v>
      </c>
      <c r="B116" s="32" t="s">
        <v>472</v>
      </c>
      <c r="C116" s="32" t="s">
        <v>479</v>
      </c>
      <c r="D116" s="32" t="s">
        <v>102</v>
      </c>
      <c r="E116" s="32">
        <v>59.01</v>
      </c>
      <c r="F116" s="32">
        <f>F115</f>
        <v>10</v>
      </c>
      <c r="G116" s="48">
        <f t="shared" si="64"/>
        <v>44.1</v>
      </c>
      <c r="H116" s="48">
        <v>42</v>
      </c>
      <c r="I116" s="49">
        <f>I111</f>
        <v>0.05</v>
      </c>
      <c r="J116" s="31">
        <f>J111</f>
        <v>1</v>
      </c>
      <c r="K116" s="31">
        <f>(F116+G116+J116)*$K$5</f>
        <v>3.306</v>
      </c>
      <c r="L116" s="31">
        <f>(F116+G116+J116+K116)*$L$5</f>
        <v>1.75218</v>
      </c>
      <c r="M116" s="48">
        <f t="shared" si="57"/>
        <v>90.23727</v>
      </c>
      <c r="N116" s="48"/>
      <c r="O116" s="48">
        <f t="shared" si="65"/>
        <v>5324.9013027</v>
      </c>
      <c r="P116" s="58" t="s">
        <v>474</v>
      </c>
      <c r="R116" s="46">
        <f t="shared" si="46"/>
        <v>5324.9013027</v>
      </c>
      <c r="S116" s="46">
        <f t="shared" si="47"/>
        <v>60.15818</v>
      </c>
      <c r="T116" s="46" t="b">
        <f t="shared" si="48"/>
        <v>0</v>
      </c>
      <c r="U116" s="46" t="b">
        <f t="shared" si="49"/>
        <v>1</v>
      </c>
    </row>
    <row r="117" s="46" customFormat="1" ht="90" outlineLevel="1" spans="1:21">
      <c r="A117" s="32">
        <v>104</v>
      </c>
      <c r="B117" s="32" t="s">
        <v>472</v>
      </c>
      <c r="C117" s="32" t="s">
        <v>480</v>
      </c>
      <c r="D117" s="32" t="s">
        <v>102</v>
      </c>
      <c r="E117" s="32">
        <v>53.18</v>
      </c>
      <c r="F117" s="32">
        <f>F115</f>
        <v>10</v>
      </c>
      <c r="G117" s="48">
        <f t="shared" si="64"/>
        <v>36.75</v>
      </c>
      <c r="H117" s="48">
        <v>35</v>
      </c>
      <c r="I117" s="49">
        <f>I111</f>
        <v>0.05</v>
      </c>
      <c r="J117" s="31">
        <f>J111</f>
        <v>1</v>
      </c>
      <c r="K117" s="31">
        <f>(F117+G117+J117)*$K$5</f>
        <v>2.865</v>
      </c>
      <c r="L117" s="31">
        <f>(F117+G117+J117+K117)*$L$5</f>
        <v>1.51845</v>
      </c>
      <c r="M117" s="48">
        <f t="shared" si="57"/>
        <v>78.200175</v>
      </c>
      <c r="N117" s="48"/>
      <c r="O117" s="48">
        <f t="shared" si="65"/>
        <v>4158.6853065</v>
      </c>
      <c r="P117" s="58" t="s">
        <v>474</v>
      </c>
      <c r="R117" s="46">
        <f t="shared" si="46"/>
        <v>4158.6853065</v>
      </c>
      <c r="S117" s="46">
        <f t="shared" si="47"/>
        <v>52.13345</v>
      </c>
      <c r="T117" s="46" t="b">
        <f t="shared" si="48"/>
        <v>0</v>
      </c>
      <c r="U117" s="46" t="b">
        <f t="shared" si="49"/>
        <v>1</v>
      </c>
    </row>
    <row r="118" s="46" customFormat="1" ht="90" outlineLevel="1" spans="1:21">
      <c r="A118" s="32">
        <v>105</v>
      </c>
      <c r="B118" s="32" t="s">
        <v>472</v>
      </c>
      <c r="C118" s="32" t="s">
        <v>481</v>
      </c>
      <c r="D118" s="32" t="s">
        <v>102</v>
      </c>
      <c r="E118" s="32">
        <v>143.52</v>
      </c>
      <c r="F118" s="32">
        <f>F115</f>
        <v>10</v>
      </c>
      <c r="G118" s="48">
        <f t="shared" si="64"/>
        <v>33.6</v>
      </c>
      <c r="H118" s="48">
        <v>32</v>
      </c>
      <c r="I118" s="49">
        <f>I111</f>
        <v>0.05</v>
      </c>
      <c r="J118" s="31">
        <f>J111</f>
        <v>1</v>
      </c>
      <c r="K118" s="31">
        <f>(F118+G118+J118)*$K$5</f>
        <v>2.676</v>
      </c>
      <c r="L118" s="31">
        <f>(F118+G118+J118+K118)*$L$5</f>
        <v>1.41828</v>
      </c>
      <c r="M118" s="48">
        <f t="shared" si="57"/>
        <v>73.04142</v>
      </c>
      <c r="N118" s="48"/>
      <c r="O118" s="48">
        <f t="shared" si="65"/>
        <v>10482.9045984</v>
      </c>
      <c r="P118" s="58" t="s">
        <v>474</v>
      </c>
      <c r="R118" s="46">
        <f t="shared" si="46"/>
        <v>10482.9045984</v>
      </c>
      <c r="S118" s="46">
        <f t="shared" si="47"/>
        <v>48.69428</v>
      </c>
      <c r="T118" s="46" t="b">
        <f t="shared" si="48"/>
        <v>0</v>
      </c>
      <c r="U118" s="46" t="b">
        <f t="shared" si="49"/>
        <v>1</v>
      </c>
    </row>
    <row r="119" s="46" customFormat="1" ht="78.75" outlineLevel="1" spans="1:21">
      <c r="A119" s="32">
        <v>106</v>
      </c>
      <c r="B119" s="32" t="s">
        <v>472</v>
      </c>
      <c r="C119" s="32" t="s">
        <v>482</v>
      </c>
      <c r="D119" s="32" t="s">
        <v>102</v>
      </c>
      <c r="E119" s="32">
        <v>29.16</v>
      </c>
      <c r="F119" s="32">
        <f>F115</f>
        <v>10</v>
      </c>
      <c r="G119" s="48">
        <f t="shared" si="64"/>
        <v>26.25</v>
      </c>
      <c r="H119" s="48">
        <v>25</v>
      </c>
      <c r="I119" s="49">
        <f>I111</f>
        <v>0.05</v>
      </c>
      <c r="J119" s="31">
        <f>J111</f>
        <v>1</v>
      </c>
      <c r="K119" s="31">
        <f>(F119+G119+J119)*$K$5</f>
        <v>2.235</v>
      </c>
      <c r="L119" s="31">
        <f>(F119+G119+J119+K119)*$L$5</f>
        <v>1.18455</v>
      </c>
      <c r="M119" s="48">
        <f t="shared" si="57"/>
        <v>61.004325</v>
      </c>
      <c r="N119" s="48"/>
      <c r="O119" s="48">
        <f t="shared" si="65"/>
        <v>1778.886117</v>
      </c>
      <c r="P119" s="58" t="s">
        <v>474</v>
      </c>
      <c r="R119" s="46">
        <f t="shared" si="46"/>
        <v>1778.886117</v>
      </c>
      <c r="S119" s="46">
        <f t="shared" si="47"/>
        <v>40.66955</v>
      </c>
      <c r="T119" s="46" t="b">
        <f t="shared" si="48"/>
        <v>0</v>
      </c>
      <c r="U119" s="46" t="b">
        <f t="shared" si="49"/>
        <v>1</v>
      </c>
    </row>
    <row r="120" s="46" customFormat="1" ht="78.75" outlineLevel="1" spans="1:21">
      <c r="A120" s="32">
        <v>107</v>
      </c>
      <c r="B120" s="32" t="s">
        <v>472</v>
      </c>
      <c r="C120" s="32" t="s">
        <v>483</v>
      </c>
      <c r="D120" s="32" t="s">
        <v>102</v>
      </c>
      <c r="E120" s="32">
        <v>107.87</v>
      </c>
      <c r="F120" s="32">
        <f>F117</f>
        <v>10</v>
      </c>
      <c r="G120" s="48">
        <f t="shared" si="64"/>
        <v>21</v>
      </c>
      <c r="H120" s="48">
        <v>20</v>
      </c>
      <c r="I120" s="49">
        <f>I111</f>
        <v>0.05</v>
      </c>
      <c r="J120" s="31">
        <f>J111</f>
        <v>1</v>
      </c>
      <c r="K120" s="31">
        <f>(F120+G120+J120)*$K$5</f>
        <v>1.92</v>
      </c>
      <c r="L120" s="31">
        <f>(F120+G120+J120+K120)*$L$5</f>
        <v>1.0176</v>
      </c>
      <c r="M120" s="48">
        <f t="shared" si="57"/>
        <v>52.4064</v>
      </c>
      <c r="N120" s="48"/>
      <c r="O120" s="48">
        <f t="shared" si="65"/>
        <v>5653.078368</v>
      </c>
      <c r="P120" s="58" t="s">
        <v>474</v>
      </c>
      <c r="R120" s="46">
        <f t="shared" si="46"/>
        <v>5653.078368</v>
      </c>
      <c r="S120" s="46">
        <f t="shared" si="47"/>
        <v>34.9376</v>
      </c>
      <c r="T120" s="46" t="b">
        <f t="shared" si="48"/>
        <v>0</v>
      </c>
      <c r="U120" s="46" t="b">
        <f t="shared" si="49"/>
        <v>1</v>
      </c>
    </row>
    <row r="121" s="46" customFormat="1" outlineLevel="1" spans="1:21">
      <c r="A121" s="51">
        <v>108</v>
      </c>
      <c r="B121" s="51" t="s">
        <v>437</v>
      </c>
      <c r="C121" s="51" t="s">
        <v>484</v>
      </c>
      <c r="D121" s="51" t="s">
        <v>102</v>
      </c>
      <c r="E121" s="51">
        <v>102.51</v>
      </c>
      <c r="F121" s="51">
        <f>F87</f>
        <v>15</v>
      </c>
      <c r="G121" s="51">
        <f t="shared" si="64"/>
        <v>33.6</v>
      </c>
      <c r="H121" s="51">
        <f>H81</f>
        <v>32</v>
      </c>
      <c r="I121" s="54">
        <f>I87</f>
        <v>0.05</v>
      </c>
      <c r="J121" s="55">
        <v>12</v>
      </c>
      <c r="K121" s="55">
        <f>(F121+G121+J121)*$K$5</f>
        <v>3.636</v>
      </c>
      <c r="L121" s="55">
        <f>(F121+G121+J121+K121)*$L$5</f>
        <v>1.92708</v>
      </c>
      <c r="M121" s="48">
        <f t="shared" si="57"/>
        <v>99.24462</v>
      </c>
      <c r="N121" s="48"/>
      <c r="O121" s="51">
        <f t="shared" si="65"/>
        <v>10173.5659962</v>
      </c>
      <c r="P121" s="51"/>
      <c r="R121" s="46">
        <f t="shared" si="46"/>
        <v>10173.5659962</v>
      </c>
      <c r="S121" s="46">
        <f t="shared" si="47"/>
        <v>66.16308</v>
      </c>
      <c r="T121" s="46" t="b">
        <f t="shared" si="48"/>
        <v>0</v>
      </c>
      <c r="U121" s="46" t="b">
        <f t="shared" si="49"/>
        <v>1</v>
      </c>
    </row>
    <row r="122" s="46" customFormat="1" outlineLevel="1" spans="1:21">
      <c r="A122" s="53"/>
      <c r="B122" s="53"/>
      <c r="C122" s="53"/>
      <c r="D122" s="53"/>
      <c r="E122" s="53"/>
      <c r="F122" s="53"/>
      <c r="G122" s="53"/>
      <c r="H122" s="53"/>
      <c r="I122" s="59"/>
      <c r="J122" s="60"/>
      <c r="K122" s="60"/>
      <c r="L122" s="60"/>
      <c r="M122" s="48">
        <f t="shared" si="57"/>
        <v>0</v>
      </c>
      <c r="N122" s="48"/>
      <c r="O122" s="53"/>
      <c r="P122" s="53"/>
      <c r="R122" s="46">
        <f t="shared" si="46"/>
        <v>0</v>
      </c>
      <c r="S122" s="46">
        <f t="shared" si="47"/>
        <v>0</v>
      </c>
      <c r="T122" s="46" t="b">
        <f t="shared" si="48"/>
        <v>1</v>
      </c>
      <c r="U122" s="46" t="b">
        <f t="shared" si="49"/>
        <v>1</v>
      </c>
    </row>
    <row r="123" s="46" customFormat="1" outlineLevel="1" spans="1:21">
      <c r="A123" s="52"/>
      <c r="B123" s="52"/>
      <c r="C123" s="52"/>
      <c r="D123" s="52"/>
      <c r="E123" s="52"/>
      <c r="F123" s="52"/>
      <c r="G123" s="52"/>
      <c r="H123" s="52"/>
      <c r="I123" s="56"/>
      <c r="J123" s="57"/>
      <c r="K123" s="57"/>
      <c r="L123" s="57"/>
      <c r="M123" s="48">
        <f t="shared" si="57"/>
        <v>0</v>
      </c>
      <c r="N123" s="48"/>
      <c r="O123" s="52"/>
      <c r="P123" s="52"/>
      <c r="R123" s="46">
        <f t="shared" si="46"/>
        <v>0</v>
      </c>
      <c r="S123" s="46">
        <f t="shared" si="47"/>
        <v>0</v>
      </c>
      <c r="T123" s="46" t="b">
        <f t="shared" si="48"/>
        <v>1</v>
      </c>
      <c r="U123" s="46" t="b">
        <f t="shared" si="49"/>
        <v>1</v>
      </c>
    </row>
    <row r="124" s="46" customFormat="1" outlineLevel="1" spans="1:21">
      <c r="A124" s="51">
        <v>109</v>
      </c>
      <c r="B124" s="51" t="s">
        <v>437</v>
      </c>
      <c r="C124" s="51" t="s">
        <v>485</v>
      </c>
      <c r="D124" s="51" t="s">
        <v>102</v>
      </c>
      <c r="E124" s="51">
        <v>101.05</v>
      </c>
      <c r="F124" s="51">
        <f>F121</f>
        <v>15</v>
      </c>
      <c r="G124" s="51">
        <f t="shared" ref="G124:G151" si="70">H124*(1+I124)</f>
        <v>18.9</v>
      </c>
      <c r="H124" s="51">
        <v>18</v>
      </c>
      <c r="I124" s="54">
        <f>I121</f>
        <v>0.05</v>
      </c>
      <c r="J124" s="55">
        <v>8</v>
      </c>
      <c r="K124" s="55">
        <f>(F124+G124+J124)*$K$5</f>
        <v>2.514</v>
      </c>
      <c r="L124" s="55">
        <f>(F124+G124+J124+K124)*$L$5</f>
        <v>1.33242</v>
      </c>
      <c r="M124" s="48">
        <f t="shared" si="57"/>
        <v>68.61963</v>
      </c>
      <c r="N124" s="48"/>
      <c r="O124" s="51">
        <f t="shared" ref="O124:O151" si="71">M124*E124</f>
        <v>6934.0136115</v>
      </c>
      <c r="P124" s="51"/>
      <c r="R124" s="46">
        <f t="shared" si="46"/>
        <v>6934.0136115</v>
      </c>
      <c r="S124" s="46">
        <f t="shared" si="47"/>
        <v>45.74642</v>
      </c>
      <c r="T124" s="46" t="b">
        <f t="shared" si="48"/>
        <v>0</v>
      </c>
      <c r="U124" s="46" t="b">
        <f t="shared" si="49"/>
        <v>1</v>
      </c>
    </row>
    <row r="125" s="46" customFormat="1" outlineLevel="1" spans="1:21">
      <c r="A125" s="53"/>
      <c r="B125" s="53"/>
      <c r="C125" s="53"/>
      <c r="D125" s="53"/>
      <c r="E125" s="53"/>
      <c r="F125" s="53"/>
      <c r="G125" s="53"/>
      <c r="H125" s="53"/>
      <c r="I125" s="59"/>
      <c r="J125" s="60"/>
      <c r="K125" s="60"/>
      <c r="L125" s="60"/>
      <c r="M125" s="48">
        <f t="shared" si="57"/>
        <v>0</v>
      </c>
      <c r="N125" s="48"/>
      <c r="O125" s="53"/>
      <c r="P125" s="53"/>
      <c r="R125" s="46">
        <f t="shared" si="46"/>
        <v>0</v>
      </c>
      <c r="S125" s="46">
        <f t="shared" si="47"/>
        <v>0</v>
      </c>
      <c r="T125" s="46" t="b">
        <f t="shared" si="48"/>
        <v>1</v>
      </c>
      <c r="U125" s="46" t="b">
        <f t="shared" si="49"/>
        <v>1</v>
      </c>
    </row>
    <row r="126" s="46" customFormat="1" outlineLevel="1" spans="1:21">
      <c r="A126" s="52"/>
      <c r="B126" s="52"/>
      <c r="C126" s="52"/>
      <c r="D126" s="52"/>
      <c r="E126" s="52"/>
      <c r="F126" s="52"/>
      <c r="G126" s="52"/>
      <c r="H126" s="52"/>
      <c r="I126" s="56"/>
      <c r="J126" s="57"/>
      <c r="K126" s="57"/>
      <c r="L126" s="57"/>
      <c r="M126" s="48">
        <f t="shared" si="57"/>
        <v>0</v>
      </c>
      <c r="N126" s="48"/>
      <c r="O126" s="52"/>
      <c r="P126" s="52"/>
      <c r="R126" s="46">
        <f t="shared" si="46"/>
        <v>0</v>
      </c>
      <c r="S126" s="46">
        <f t="shared" si="47"/>
        <v>0</v>
      </c>
      <c r="T126" s="46" t="b">
        <f t="shared" si="48"/>
        <v>1</v>
      </c>
      <c r="U126" s="46" t="b">
        <f t="shared" si="49"/>
        <v>1</v>
      </c>
    </row>
    <row r="127" s="46" customFormat="1" ht="56.25" outlineLevel="1" spans="1:21">
      <c r="A127" s="32">
        <v>110</v>
      </c>
      <c r="B127" s="32" t="s">
        <v>486</v>
      </c>
      <c r="C127" s="32" t="s">
        <v>487</v>
      </c>
      <c r="D127" s="32" t="s">
        <v>96</v>
      </c>
      <c r="E127" s="32">
        <v>2</v>
      </c>
      <c r="F127" s="32">
        <v>35</v>
      </c>
      <c r="G127" s="48">
        <f t="shared" si="70"/>
        <v>237.35</v>
      </c>
      <c r="H127" s="48">
        <v>235</v>
      </c>
      <c r="I127" s="49">
        <v>0.01</v>
      </c>
      <c r="J127" s="31">
        <v>10</v>
      </c>
      <c r="K127" s="31">
        <f>(F127+G127+J127)*$K$5</f>
        <v>16.941</v>
      </c>
      <c r="L127" s="31">
        <f>(F127+G127+J127+K127)*$L$5</f>
        <v>8.97873</v>
      </c>
      <c r="M127" s="48">
        <f t="shared" si="57"/>
        <v>462.404595</v>
      </c>
      <c r="N127" s="48"/>
      <c r="O127" s="48">
        <f t="shared" si="71"/>
        <v>924.80919</v>
      </c>
      <c r="P127" s="32"/>
      <c r="R127" s="46">
        <f t="shared" si="46"/>
        <v>924.80919</v>
      </c>
      <c r="S127" s="46">
        <f t="shared" si="47"/>
        <v>308.26973</v>
      </c>
      <c r="T127" s="46" t="b">
        <f t="shared" si="48"/>
        <v>0</v>
      </c>
      <c r="U127" s="46" t="b">
        <f t="shared" si="49"/>
        <v>1</v>
      </c>
    </row>
    <row r="128" s="46" customFormat="1" ht="56.25" outlineLevel="1" spans="1:21">
      <c r="A128" s="32">
        <v>111</v>
      </c>
      <c r="B128" s="32" t="s">
        <v>486</v>
      </c>
      <c r="C128" s="32" t="s">
        <v>488</v>
      </c>
      <c r="D128" s="32" t="s">
        <v>96</v>
      </c>
      <c r="E128" s="32">
        <v>1</v>
      </c>
      <c r="F128" s="32">
        <f t="shared" ref="F128:J128" si="72">F127</f>
        <v>35</v>
      </c>
      <c r="G128" s="48">
        <f t="shared" si="70"/>
        <v>237.35</v>
      </c>
      <c r="H128" s="48">
        <f t="shared" si="72"/>
        <v>235</v>
      </c>
      <c r="I128" s="49">
        <f t="shared" si="72"/>
        <v>0.01</v>
      </c>
      <c r="J128" s="31">
        <f t="shared" si="72"/>
        <v>10</v>
      </c>
      <c r="K128" s="31">
        <f>(F128+G128+J128)*$K$5</f>
        <v>16.941</v>
      </c>
      <c r="L128" s="31">
        <f>(F128+G128+J128+K128)*$L$5</f>
        <v>8.97873</v>
      </c>
      <c r="M128" s="48">
        <f t="shared" si="57"/>
        <v>462.404595</v>
      </c>
      <c r="N128" s="48"/>
      <c r="O128" s="48">
        <f t="shared" si="71"/>
        <v>462.404595</v>
      </c>
      <c r="P128" s="32"/>
      <c r="R128" s="46">
        <f t="shared" si="46"/>
        <v>462.404595</v>
      </c>
      <c r="S128" s="46">
        <f t="shared" si="47"/>
        <v>308.26973</v>
      </c>
      <c r="T128" s="46" t="b">
        <f t="shared" si="48"/>
        <v>0</v>
      </c>
      <c r="U128" s="46" t="b">
        <f t="shared" si="49"/>
        <v>1</v>
      </c>
    </row>
    <row r="129" s="46" customFormat="1" ht="56.25" outlineLevel="1" spans="1:21">
      <c r="A129" s="32">
        <v>112</v>
      </c>
      <c r="B129" s="32" t="s">
        <v>486</v>
      </c>
      <c r="C129" s="32" t="s">
        <v>489</v>
      </c>
      <c r="D129" s="32" t="s">
        <v>96</v>
      </c>
      <c r="E129" s="32">
        <v>1</v>
      </c>
      <c r="F129" s="32">
        <f t="shared" ref="F129:J129" si="73">F127</f>
        <v>35</v>
      </c>
      <c r="G129" s="48">
        <f t="shared" si="70"/>
        <v>237.35</v>
      </c>
      <c r="H129" s="48">
        <f t="shared" si="73"/>
        <v>235</v>
      </c>
      <c r="I129" s="49">
        <f t="shared" si="73"/>
        <v>0.01</v>
      </c>
      <c r="J129" s="31">
        <f t="shared" si="73"/>
        <v>10</v>
      </c>
      <c r="K129" s="31">
        <f>(F129+G129+J129)*$K$5</f>
        <v>16.941</v>
      </c>
      <c r="L129" s="31">
        <f>(F129+G129+J129+K129)*$L$5</f>
        <v>8.97873</v>
      </c>
      <c r="M129" s="48">
        <f t="shared" si="57"/>
        <v>462.404595</v>
      </c>
      <c r="N129" s="48"/>
      <c r="O129" s="48">
        <f t="shared" si="71"/>
        <v>462.404595</v>
      </c>
      <c r="P129" s="32"/>
      <c r="R129" s="46">
        <f t="shared" si="46"/>
        <v>462.404595</v>
      </c>
      <c r="S129" s="46">
        <f t="shared" si="47"/>
        <v>308.26973</v>
      </c>
      <c r="T129" s="46" t="b">
        <f t="shared" si="48"/>
        <v>0</v>
      </c>
      <c r="U129" s="46" t="b">
        <f t="shared" si="49"/>
        <v>1</v>
      </c>
    </row>
    <row r="130" s="46" customFormat="1" ht="67.5" outlineLevel="1" spans="1:21">
      <c r="A130" s="32">
        <v>113</v>
      </c>
      <c r="B130" s="32" t="s">
        <v>486</v>
      </c>
      <c r="C130" s="32" t="s">
        <v>490</v>
      </c>
      <c r="D130" s="32" t="s">
        <v>96</v>
      </c>
      <c r="E130" s="32">
        <v>1</v>
      </c>
      <c r="F130" s="32">
        <f t="shared" ref="F130:J130" si="74">F127</f>
        <v>35</v>
      </c>
      <c r="G130" s="48">
        <f t="shared" si="70"/>
        <v>166.65</v>
      </c>
      <c r="H130" s="48">
        <v>165</v>
      </c>
      <c r="I130" s="49">
        <f t="shared" si="74"/>
        <v>0.01</v>
      </c>
      <c r="J130" s="31">
        <f t="shared" si="74"/>
        <v>10</v>
      </c>
      <c r="K130" s="31">
        <f>(F130+G130+J130)*$K$5</f>
        <v>12.699</v>
      </c>
      <c r="L130" s="31">
        <f>(F130+G130+J130+K130)*$L$5</f>
        <v>6.73047</v>
      </c>
      <c r="M130" s="48">
        <f t="shared" ref="M130:M151" si="75">(F130+G130+J130+K130+L130)*1.5</f>
        <v>346.619205</v>
      </c>
      <c r="N130" s="48"/>
      <c r="O130" s="48">
        <f t="shared" si="71"/>
        <v>346.619205</v>
      </c>
      <c r="P130" s="32"/>
      <c r="R130" s="46">
        <f t="shared" ref="R130:R193" si="76">E130*M130</f>
        <v>346.619205</v>
      </c>
      <c r="S130" s="46">
        <f t="shared" ref="S130:S193" si="77">F130+G130+J130+K130+L130</f>
        <v>231.07947</v>
      </c>
      <c r="T130" s="46" t="b">
        <f t="shared" ref="T130:T193" si="78">M130=S130</f>
        <v>0</v>
      </c>
      <c r="U130" s="46" t="b">
        <f t="shared" ref="U130:U193" si="79">R130=O130</f>
        <v>1</v>
      </c>
    </row>
    <row r="131" s="46" customFormat="1" ht="67.5" outlineLevel="1" spans="1:21">
      <c r="A131" s="32">
        <v>114</v>
      </c>
      <c r="B131" s="32" t="s">
        <v>486</v>
      </c>
      <c r="C131" s="32" t="s">
        <v>491</v>
      </c>
      <c r="D131" s="32" t="s">
        <v>96</v>
      </c>
      <c r="E131" s="32">
        <v>4</v>
      </c>
      <c r="F131" s="32">
        <f>F127</f>
        <v>35</v>
      </c>
      <c r="G131" s="48">
        <f t="shared" si="70"/>
        <v>166.65</v>
      </c>
      <c r="H131" s="48">
        <f t="shared" ref="H131:J131" si="80">H130</f>
        <v>165</v>
      </c>
      <c r="I131" s="49">
        <f t="shared" si="80"/>
        <v>0.01</v>
      </c>
      <c r="J131" s="31">
        <f t="shared" si="80"/>
        <v>10</v>
      </c>
      <c r="K131" s="31">
        <f>(F131+G131+J131)*$K$5</f>
        <v>12.699</v>
      </c>
      <c r="L131" s="31">
        <f>(F131+G131+J131+K131)*$L$5</f>
        <v>6.73047</v>
      </c>
      <c r="M131" s="48">
        <f t="shared" si="75"/>
        <v>346.619205</v>
      </c>
      <c r="N131" s="48"/>
      <c r="O131" s="48">
        <f t="shared" si="71"/>
        <v>1386.47682</v>
      </c>
      <c r="P131" s="32"/>
      <c r="R131" s="46">
        <f t="shared" si="76"/>
        <v>1386.47682</v>
      </c>
      <c r="S131" s="46">
        <f t="shared" si="77"/>
        <v>231.07947</v>
      </c>
      <c r="T131" s="46" t="b">
        <f t="shared" si="78"/>
        <v>0</v>
      </c>
      <c r="U131" s="46" t="b">
        <f t="shared" si="79"/>
        <v>1</v>
      </c>
    </row>
    <row r="132" s="46" customFormat="1" ht="67.5" outlineLevel="1" spans="1:21">
      <c r="A132" s="32">
        <v>115</v>
      </c>
      <c r="B132" s="32" t="s">
        <v>486</v>
      </c>
      <c r="C132" s="32" t="s">
        <v>492</v>
      </c>
      <c r="D132" s="32" t="s">
        <v>96</v>
      </c>
      <c r="E132" s="32">
        <v>2</v>
      </c>
      <c r="F132" s="32">
        <f>F127</f>
        <v>35</v>
      </c>
      <c r="G132" s="48">
        <f t="shared" si="70"/>
        <v>166.65</v>
      </c>
      <c r="H132" s="48">
        <f t="shared" ref="H132:J132" si="81">H130</f>
        <v>165</v>
      </c>
      <c r="I132" s="49">
        <f t="shared" si="81"/>
        <v>0.01</v>
      </c>
      <c r="J132" s="31">
        <f t="shared" si="81"/>
        <v>10</v>
      </c>
      <c r="K132" s="31">
        <f>(F132+G132+J132)*$K$5</f>
        <v>12.699</v>
      </c>
      <c r="L132" s="31">
        <f>(F132+G132+J132+K132)*$L$5</f>
        <v>6.73047</v>
      </c>
      <c r="M132" s="48">
        <f t="shared" si="75"/>
        <v>346.619205</v>
      </c>
      <c r="N132" s="48"/>
      <c r="O132" s="48">
        <f t="shared" si="71"/>
        <v>693.23841</v>
      </c>
      <c r="P132" s="32"/>
      <c r="R132" s="46">
        <f t="shared" si="76"/>
        <v>693.23841</v>
      </c>
      <c r="S132" s="46">
        <f t="shared" si="77"/>
        <v>231.07947</v>
      </c>
      <c r="T132" s="46" t="b">
        <f t="shared" si="78"/>
        <v>0</v>
      </c>
      <c r="U132" s="46" t="b">
        <f t="shared" si="79"/>
        <v>1</v>
      </c>
    </row>
    <row r="133" s="46" customFormat="1" ht="56.25" outlineLevel="1" spans="1:21">
      <c r="A133" s="32">
        <v>116</v>
      </c>
      <c r="B133" s="32" t="s">
        <v>486</v>
      </c>
      <c r="C133" s="32" t="s">
        <v>493</v>
      </c>
      <c r="D133" s="32" t="s">
        <v>96</v>
      </c>
      <c r="E133" s="32">
        <v>4</v>
      </c>
      <c r="F133" s="32">
        <f>F127</f>
        <v>35</v>
      </c>
      <c r="G133" s="48">
        <f t="shared" si="70"/>
        <v>151.5</v>
      </c>
      <c r="H133" s="48">
        <v>150</v>
      </c>
      <c r="I133" s="49">
        <f>I130</f>
        <v>0.01</v>
      </c>
      <c r="J133" s="31">
        <f>J130</f>
        <v>10</v>
      </c>
      <c r="K133" s="31">
        <f>(F133+G133+J133)*$K$5</f>
        <v>11.79</v>
      </c>
      <c r="L133" s="31">
        <f>(F133+G133+J133+K133)*$L$5</f>
        <v>6.2487</v>
      </c>
      <c r="M133" s="48">
        <f t="shared" si="75"/>
        <v>321.80805</v>
      </c>
      <c r="N133" s="48"/>
      <c r="O133" s="48">
        <f t="shared" si="71"/>
        <v>1287.2322</v>
      </c>
      <c r="P133" s="32"/>
      <c r="R133" s="46">
        <f t="shared" si="76"/>
        <v>1287.2322</v>
      </c>
      <c r="S133" s="46">
        <f t="shared" si="77"/>
        <v>214.5387</v>
      </c>
      <c r="T133" s="46" t="b">
        <f t="shared" si="78"/>
        <v>0</v>
      </c>
      <c r="U133" s="46" t="b">
        <f t="shared" si="79"/>
        <v>1</v>
      </c>
    </row>
    <row r="134" s="46" customFormat="1" ht="56.25" outlineLevel="1" spans="1:21">
      <c r="A134" s="32">
        <v>117</v>
      </c>
      <c r="B134" s="32" t="s">
        <v>486</v>
      </c>
      <c r="C134" s="32" t="s">
        <v>494</v>
      </c>
      <c r="D134" s="32" t="s">
        <v>96</v>
      </c>
      <c r="E134" s="32">
        <v>3</v>
      </c>
      <c r="F134" s="32">
        <f t="shared" ref="F134:J134" si="82">F127</f>
        <v>35</v>
      </c>
      <c r="G134" s="48">
        <f t="shared" si="70"/>
        <v>151.5</v>
      </c>
      <c r="H134" s="48">
        <f>H133</f>
        <v>150</v>
      </c>
      <c r="I134" s="49">
        <f t="shared" si="82"/>
        <v>0.01</v>
      </c>
      <c r="J134" s="30">
        <f t="shared" si="82"/>
        <v>10</v>
      </c>
      <c r="K134" s="31">
        <f>(F134+G134+J134)*$K$5</f>
        <v>11.79</v>
      </c>
      <c r="L134" s="31">
        <f>(F134+G134+J134+K134)*$L$5</f>
        <v>6.2487</v>
      </c>
      <c r="M134" s="48">
        <f t="shared" si="75"/>
        <v>321.80805</v>
      </c>
      <c r="N134" s="48"/>
      <c r="O134" s="48">
        <f t="shared" si="71"/>
        <v>965.42415</v>
      </c>
      <c r="P134" s="32"/>
      <c r="R134" s="46">
        <f t="shared" si="76"/>
        <v>965.42415</v>
      </c>
      <c r="S134" s="46">
        <f t="shared" si="77"/>
        <v>214.5387</v>
      </c>
      <c r="T134" s="46" t="b">
        <f t="shared" si="78"/>
        <v>0</v>
      </c>
      <c r="U134" s="46" t="b">
        <f t="shared" si="79"/>
        <v>1</v>
      </c>
    </row>
    <row r="135" s="46" customFormat="1" ht="67.5" outlineLevel="1" spans="1:21">
      <c r="A135" s="32">
        <v>118</v>
      </c>
      <c r="B135" s="32" t="s">
        <v>486</v>
      </c>
      <c r="C135" s="32" t="s">
        <v>495</v>
      </c>
      <c r="D135" s="32" t="s">
        <v>96</v>
      </c>
      <c r="E135" s="32">
        <v>1</v>
      </c>
      <c r="F135" s="32">
        <f t="shared" ref="F135:J135" si="83">F127</f>
        <v>35</v>
      </c>
      <c r="G135" s="48">
        <f t="shared" si="70"/>
        <v>151.5</v>
      </c>
      <c r="H135" s="48">
        <f>H133</f>
        <v>150</v>
      </c>
      <c r="I135" s="49">
        <f t="shared" si="83"/>
        <v>0.01</v>
      </c>
      <c r="J135" s="30">
        <f t="shared" si="83"/>
        <v>10</v>
      </c>
      <c r="K135" s="31">
        <f>(F135+G135+J135)*$K$5</f>
        <v>11.79</v>
      </c>
      <c r="L135" s="31">
        <f>(F135+G135+J135+K135)*$L$5</f>
        <v>6.2487</v>
      </c>
      <c r="M135" s="48">
        <f t="shared" si="75"/>
        <v>321.80805</v>
      </c>
      <c r="N135" s="48"/>
      <c r="O135" s="48">
        <f t="shared" si="71"/>
        <v>321.80805</v>
      </c>
      <c r="P135" s="32"/>
      <c r="R135" s="46">
        <f t="shared" si="76"/>
        <v>321.80805</v>
      </c>
      <c r="S135" s="46">
        <f t="shared" si="77"/>
        <v>214.5387</v>
      </c>
      <c r="T135" s="46" t="b">
        <f t="shared" si="78"/>
        <v>0</v>
      </c>
      <c r="U135" s="46" t="b">
        <f t="shared" si="79"/>
        <v>1</v>
      </c>
    </row>
    <row r="136" s="46" customFormat="1" ht="67.5" outlineLevel="1" spans="1:21">
      <c r="A136" s="32">
        <v>119</v>
      </c>
      <c r="B136" s="32" t="s">
        <v>486</v>
      </c>
      <c r="C136" s="32" t="s">
        <v>496</v>
      </c>
      <c r="D136" s="32" t="s">
        <v>96</v>
      </c>
      <c r="E136" s="32">
        <v>2</v>
      </c>
      <c r="F136" s="32">
        <f t="shared" ref="F136:J136" si="84">F127</f>
        <v>35</v>
      </c>
      <c r="G136" s="48">
        <f t="shared" si="70"/>
        <v>151.5</v>
      </c>
      <c r="H136" s="48">
        <f>H133</f>
        <v>150</v>
      </c>
      <c r="I136" s="49">
        <f t="shared" si="84"/>
        <v>0.01</v>
      </c>
      <c r="J136" s="30">
        <f t="shared" si="84"/>
        <v>10</v>
      </c>
      <c r="K136" s="31">
        <f>(F136+G136+J136)*$K$5</f>
        <v>11.79</v>
      </c>
      <c r="L136" s="31">
        <f>(F136+G136+J136+K136)*$L$5</f>
        <v>6.2487</v>
      </c>
      <c r="M136" s="48">
        <f t="shared" si="75"/>
        <v>321.80805</v>
      </c>
      <c r="N136" s="48"/>
      <c r="O136" s="48">
        <f t="shared" si="71"/>
        <v>643.6161</v>
      </c>
      <c r="P136" s="32"/>
      <c r="R136" s="46">
        <f t="shared" si="76"/>
        <v>643.6161</v>
      </c>
      <c r="S136" s="46">
        <f t="shared" si="77"/>
        <v>214.5387</v>
      </c>
      <c r="T136" s="46" t="b">
        <f t="shared" si="78"/>
        <v>0</v>
      </c>
      <c r="U136" s="46" t="b">
        <f t="shared" si="79"/>
        <v>1</v>
      </c>
    </row>
    <row r="137" s="46" customFormat="1" ht="56.25" outlineLevel="1" spans="1:21">
      <c r="A137" s="32">
        <v>120</v>
      </c>
      <c r="B137" s="32" t="s">
        <v>486</v>
      </c>
      <c r="C137" s="32" t="s">
        <v>497</v>
      </c>
      <c r="D137" s="32" t="s">
        <v>96</v>
      </c>
      <c r="E137" s="32">
        <v>1</v>
      </c>
      <c r="F137" s="32">
        <f t="shared" ref="F137:J137" si="85">F127</f>
        <v>35</v>
      </c>
      <c r="G137" s="48">
        <f t="shared" si="70"/>
        <v>85.85</v>
      </c>
      <c r="H137" s="48">
        <v>85</v>
      </c>
      <c r="I137" s="49">
        <f t="shared" si="85"/>
        <v>0.01</v>
      </c>
      <c r="J137" s="30">
        <f t="shared" si="85"/>
        <v>10</v>
      </c>
      <c r="K137" s="31">
        <f>(F137+G137+J137)*$K$5</f>
        <v>7.851</v>
      </c>
      <c r="L137" s="31">
        <f>(F137+G137+J137+K137)*$L$5</f>
        <v>4.16103</v>
      </c>
      <c r="M137" s="48">
        <f t="shared" si="75"/>
        <v>214.293045</v>
      </c>
      <c r="N137" s="48"/>
      <c r="O137" s="48">
        <f t="shared" si="71"/>
        <v>214.293045</v>
      </c>
      <c r="P137" s="32"/>
      <c r="R137" s="46">
        <f t="shared" si="76"/>
        <v>214.293045</v>
      </c>
      <c r="S137" s="46">
        <f t="shared" si="77"/>
        <v>142.86203</v>
      </c>
      <c r="T137" s="46" t="b">
        <f t="shared" si="78"/>
        <v>0</v>
      </c>
      <c r="U137" s="46" t="b">
        <f t="shared" si="79"/>
        <v>1</v>
      </c>
    </row>
    <row r="138" s="46" customFormat="1" ht="56.25" outlineLevel="1" spans="1:21">
      <c r="A138" s="32">
        <v>121</v>
      </c>
      <c r="B138" s="32" t="s">
        <v>486</v>
      </c>
      <c r="C138" s="32" t="s">
        <v>498</v>
      </c>
      <c r="D138" s="32" t="s">
        <v>96</v>
      </c>
      <c r="E138" s="32">
        <v>2</v>
      </c>
      <c r="F138" s="32">
        <f t="shared" ref="F138:J138" si="86">F127</f>
        <v>35</v>
      </c>
      <c r="G138" s="48">
        <f t="shared" si="70"/>
        <v>85.85</v>
      </c>
      <c r="H138" s="48">
        <f>H137</f>
        <v>85</v>
      </c>
      <c r="I138" s="49">
        <f t="shared" si="86"/>
        <v>0.01</v>
      </c>
      <c r="J138" s="30">
        <f t="shared" si="86"/>
        <v>10</v>
      </c>
      <c r="K138" s="31">
        <f>(F138+G138+J138)*$K$5</f>
        <v>7.851</v>
      </c>
      <c r="L138" s="31">
        <f>(F138+G138+J138+K138)*$L$5</f>
        <v>4.16103</v>
      </c>
      <c r="M138" s="48">
        <f t="shared" si="75"/>
        <v>214.293045</v>
      </c>
      <c r="N138" s="48"/>
      <c r="O138" s="48">
        <f t="shared" si="71"/>
        <v>428.58609</v>
      </c>
      <c r="P138" s="32"/>
      <c r="R138" s="46">
        <f t="shared" si="76"/>
        <v>428.58609</v>
      </c>
      <c r="S138" s="46">
        <f t="shared" si="77"/>
        <v>142.86203</v>
      </c>
      <c r="T138" s="46" t="b">
        <f t="shared" si="78"/>
        <v>0</v>
      </c>
      <c r="U138" s="46" t="b">
        <f t="shared" si="79"/>
        <v>1</v>
      </c>
    </row>
    <row r="139" s="46" customFormat="1" ht="56.25" outlineLevel="1" spans="1:21">
      <c r="A139" s="32">
        <v>122</v>
      </c>
      <c r="B139" s="32" t="s">
        <v>486</v>
      </c>
      <c r="C139" s="32" t="s">
        <v>499</v>
      </c>
      <c r="D139" s="32" t="s">
        <v>96</v>
      </c>
      <c r="E139" s="32">
        <v>1</v>
      </c>
      <c r="F139" s="32">
        <f t="shared" ref="F139:J139" si="87">F127</f>
        <v>35</v>
      </c>
      <c r="G139" s="48">
        <f t="shared" si="70"/>
        <v>85.85</v>
      </c>
      <c r="H139" s="48">
        <f>H137</f>
        <v>85</v>
      </c>
      <c r="I139" s="49">
        <f t="shared" si="87"/>
        <v>0.01</v>
      </c>
      <c r="J139" s="30">
        <f t="shared" si="87"/>
        <v>10</v>
      </c>
      <c r="K139" s="31">
        <f>(F139+G139+J139)*$K$5</f>
        <v>7.851</v>
      </c>
      <c r="L139" s="31">
        <f>(F139+G139+J139+K139)*$L$5</f>
        <v>4.16103</v>
      </c>
      <c r="M139" s="48">
        <f t="shared" si="75"/>
        <v>214.293045</v>
      </c>
      <c r="N139" s="48"/>
      <c r="O139" s="48">
        <f t="shared" si="71"/>
        <v>214.293045</v>
      </c>
      <c r="P139" s="32"/>
      <c r="R139" s="46">
        <f t="shared" si="76"/>
        <v>214.293045</v>
      </c>
      <c r="S139" s="46">
        <f t="shared" si="77"/>
        <v>142.86203</v>
      </c>
      <c r="T139" s="46" t="b">
        <f t="shared" si="78"/>
        <v>0</v>
      </c>
      <c r="U139" s="46" t="b">
        <f t="shared" si="79"/>
        <v>1</v>
      </c>
    </row>
    <row r="140" s="46" customFormat="1" ht="56.25" outlineLevel="1" spans="1:21">
      <c r="A140" s="32">
        <v>123</v>
      </c>
      <c r="B140" s="32" t="s">
        <v>486</v>
      </c>
      <c r="C140" s="32" t="s">
        <v>500</v>
      </c>
      <c r="D140" s="32" t="s">
        <v>96</v>
      </c>
      <c r="E140" s="32">
        <v>1</v>
      </c>
      <c r="F140" s="32">
        <f t="shared" ref="F140:J140" si="88">F127</f>
        <v>35</v>
      </c>
      <c r="G140" s="48">
        <f t="shared" si="70"/>
        <v>85.85</v>
      </c>
      <c r="H140" s="48">
        <f>H137</f>
        <v>85</v>
      </c>
      <c r="I140" s="49">
        <f t="shared" si="88"/>
        <v>0.01</v>
      </c>
      <c r="J140" s="30">
        <f t="shared" si="88"/>
        <v>10</v>
      </c>
      <c r="K140" s="31">
        <f>(F140+G140+J140)*$K$5</f>
        <v>7.851</v>
      </c>
      <c r="L140" s="31">
        <f>(F140+G140+J140+K140)*$L$5</f>
        <v>4.16103</v>
      </c>
      <c r="M140" s="48">
        <f t="shared" si="75"/>
        <v>214.293045</v>
      </c>
      <c r="N140" s="48"/>
      <c r="O140" s="48">
        <f t="shared" si="71"/>
        <v>214.293045</v>
      </c>
      <c r="P140" s="32"/>
      <c r="R140" s="46">
        <f t="shared" si="76"/>
        <v>214.293045</v>
      </c>
      <c r="S140" s="46">
        <f t="shared" si="77"/>
        <v>142.86203</v>
      </c>
      <c r="T140" s="46" t="b">
        <f t="shared" si="78"/>
        <v>0</v>
      </c>
      <c r="U140" s="46" t="b">
        <f t="shared" si="79"/>
        <v>1</v>
      </c>
    </row>
    <row r="141" s="46" customFormat="1" ht="67.5" outlineLevel="1" spans="1:21">
      <c r="A141" s="32">
        <v>124</v>
      </c>
      <c r="B141" s="32" t="s">
        <v>486</v>
      </c>
      <c r="C141" s="32" t="s">
        <v>501</v>
      </c>
      <c r="D141" s="32" t="s">
        <v>96</v>
      </c>
      <c r="E141" s="32">
        <v>4</v>
      </c>
      <c r="F141" s="32">
        <f t="shared" ref="F141:J141" si="89">F127</f>
        <v>35</v>
      </c>
      <c r="G141" s="48">
        <f t="shared" si="70"/>
        <v>85.85</v>
      </c>
      <c r="H141" s="48">
        <f>H137</f>
        <v>85</v>
      </c>
      <c r="I141" s="49">
        <f t="shared" si="89"/>
        <v>0.01</v>
      </c>
      <c r="J141" s="30">
        <f t="shared" si="89"/>
        <v>10</v>
      </c>
      <c r="K141" s="31">
        <f>(F141+G141+J141)*$K$5</f>
        <v>7.851</v>
      </c>
      <c r="L141" s="31">
        <f>(F141+G141+J141+K141)*$L$5</f>
        <v>4.16103</v>
      </c>
      <c r="M141" s="48">
        <f t="shared" si="75"/>
        <v>214.293045</v>
      </c>
      <c r="N141" s="48"/>
      <c r="O141" s="48">
        <f t="shared" si="71"/>
        <v>857.17218</v>
      </c>
      <c r="P141" s="32"/>
      <c r="R141" s="46">
        <f t="shared" si="76"/>
        <v>857.17218</v>
      </c>
      <c r="S141" s="46">
        <f t="shared" si="77"/>
        <v>142.86203</v>
      </c>
      <c r="T141" s="46" t="b">
        <f t="shared" si="78"/>
        <v>0</v>
      </c>
      <c r="U141" s="46" t="b">
        <f t="shared" si="79"/>
        <v>1</v>
      </c>
    </row>
    <row r="142" s="46" customFormat="1" ht="67.5" outlineLevel="1" spans="1:21">
      <c r="A142" s="32">
        <v>125</v>
      </c>
      <c r="B142" s="32" t="s">
        <v>486</v>
      </c>
      <c r="C142" s="32" t="s">
        <v>502</v>
      </c>
      <c r="D142" s="32" t="s">
        <v>96</v>
      </c>
      <c r="E142" s="32">
        <v>2</v>
      </c>
      <c r="F142" s="32">
        <f t="shared" ref="F142:J142" si="90">F127</f>
        <v>35</v>
      </c>
      <c r="G142" s="48">
        <f t="shared" si="70"/>
        <v>85.85</v>
      </c>
      <c r="H142" s="48">
        <f>H137</f>
        <v>85</v>
      </c>
      <c r="I142" s="49">
        <f t="shared" si="90"/>
        <v>0.01</v>
      </c>
      <c r="J142" s="30">
        <f t="shared" si="90"/>
        <v>10</v>
      </c>
      <c r="K142" s="31">
        <f>(F142+G142+J142)*$K$5</f>
        <v>7.851</v>
      </c>
      <c r="L142" s="31">
        <f>(F142+G142+J142+K142)*$L$5</f>
        <v>4.16103</v>
      </c>
      <c r="M142" s="48">
        <f t="shared" si="75"/>
        <v>214.293045</v>
      </c>
      <c r="N142" s="48"/>
      <c r="O142" s="48">
        <f t="shared" si="71"/>
        <v>428.58609</v>
      </c>
      <c r="P142" s="32"/>
      <c r="R142" s="46">
        <f t="shared" si="76"/>
        <v>428.58609</v>
      </c>
      <c r="S142" s="46">
        <f t="shared" si="77"/>
        <v>142.86203</v>
      </c>
      <c r="T142" s="46" t="b">
        <f t="shared" si="78"/>
        <v>0</v>
      </c>
      <c r="U142" s="46" t="b">
        <f t="shared" si="79"/>
        <v>1</v>
      </c>
    </row>
    <row r="143" s="46" customFormat="1" ht="67.5" outlineLevel="1" spans="1:21">
      <c r="A143" s="32">
        <v>126</v>
      </c>
      <c r="B143" s="32" t="s">
        <v>486</v>
      </c>
      <c r="C143" s="32" t="s">
        <v>503</v>
      </c>
      <c r="D143" s="32" t="s">
        <v>96</v>
      </c>
      <c r="E143" s="32">
        <v>2</v>
      </c>
      <c r="F143" s="32">
        <f t="shared" ref="F143:J143" si="91">F127</f>
        <v>35</v>
      </c>
      <c r="G143" s="48">
        <f t="shared" si="70"/>
        <v>85.85</v>
      </c>
      <c r="H143" s="48">
        <f t="shared" ref="H143:H147" si="92">H141</f>
        <v>85</v>
      </c>
      <c r="I143" s="49">
        <f t="shared" si="91"/>
        <v>0.01</v>
      </c>
      <c r="J143" s="30">
        <f t="shared" si="91"/>
        <v>10</v>
      </c>
      <c r="K143" s="31">
        <f>(F143+G143+J143)*$K$5</f>
        <v>7.851</v>
      </c>
      <c r="L143" s="31">
        <f>(F143+G143+J143+K143)*$L$5</f>
        <v>4.16103</v>
      </c>
      <c r="M143" s="48">
        <f t="shared" si="75"/>
        <v>214.293045</v>
      </c>
      <c r="N143" s="48"/>
      <c r="O143" s="48">
        <f t="shared" si="71"/>
        <v>428.58609</v>
      </c>
      <c r="P143" s="32"/>
      <c r="R143" s="46">
        <f t="shared" si="76"/>
        <v>428.58609</v>
      </c>
      <c r="S143" s="46">
        <f t="shared" si="77"/>
        <v>142.86203</v>
      </c>
      <c r="T143" s="46" t="b">
        <f t="shared" si="78"/>
        <v>0</v>
      </c>
      <c r="U143" s="46" t="b">
        <f t="shared" si="79"/>
        <v>1</v>
      </c>
    </row>
    <row r="144" s="46" customFormat="1" ht="67.5" outlineLevel="1" spans="1:21">
      <c r="A144" s="32">
        <v>127</v>
      </c>
      <c r="B144" s="32" t="s">
        <v>486</v>
      </c>
      <c r="C144" s="32" t="s">
        <v>504</v>
      </c>
      <c r="D144" s="32" t="s">
        <v>96</v>
      </c>
      <c r="E144" s="32">
        <v>1</v>
      </c>
      <c r="F144" s="32">
        <f t="shared" ref="F144:J144" si="93">F127</f>
        <v>35</v>
      </c>
      <c r="G144" s="48">
        <f t="shared" si="70"/>
        <v>85.85</v>
      </c>
      <c r="H144" s="48">
        <f>H143</f>
        <v>85</v>
      </c>
      <c r="I144" s="49">
        <f t="shared" si="93"/>
        <v>0.01</v>
      </c>
      <c r="J144" s="30">
        <f t="shared" si="93"/>
        <v>10</v>
      </c>
      <c r="K144" s="31">
        <f>(F144+G144+J144)*$K$5</f>
        <v>7.851</v>
      </c>
      <c r="L144" s="31">
        <f>(F144+G144+J144+K144)*$L$5</f>
        <v>4.16103</v>
      </c>
      <c r="M144" s="48">
        <f t="shared" si="75"/>
        <v>214.293045</v>
      </c>
      <c r="N144" s="48"/>
      <c r="O144" s="48">
        <f t="shared" si="71"/>
        <v>214.293045</v>
      </c>
      <c r="P144" s="32"/>
      <c r="R144" s="46">
        <f t="shared" si="76"/>
        <v>214.293045</v>
      </c>
      <c r="S144" s="46">
        <f t="shared" si="77"/>
        <v>142.86203</v>
      </c>
      <c r="T144" s="46" t="b">
        <f t="shared" si="78"/>
        <v>0</v>
      </c>
      <c r="U144" s="46" t="b">
        <f t="shared" si="79"/>
        <v>1</v>
      </c>
    </row>
    <row r="145" s="46" customFormat="1" ht="67.5" outlineLevel="1" spans="1:21">
      <c r="A145" s="32">
        <v>128</v>
      </c>
      <c r="B145" s="32" t="s">
        <v>486</v>
      </c>
      <c r="C145" s="32" t="s">
        <v>505</v>
      </c>
      <c r="D145" s="32" t="s">
        <v>96</v>
      </c>
      <c r="E145" s="32">
        <v>2</v>
      </c>
      <c r="F145" s="32">
        <f t="shared" ref="F145:J145" si="94">F127</f>
        <v>35</v>
      </c>
      <c r="G145" s="48">
        <f t="shared" si="70"/>
        <v>85.85</v>
      </c>
      <c r="H145" s="48">
        <f t="shared" si="92"/>
        <v>85</v>
      </c>
      <c r="I145" s="49">
        <f t="shared" si="94"/>
        <v>0.01</v>
      </c>
      <c r="J145" s="30">
        <f t="shared" si="94"/>
        <v>10</v>
      </c>
      <c r="K145" s="31">
        <f>(F145+G145+J145)*$K$5</f>
        <v>7.851</v>
      </c>
      <c r="L145" s="31">
        <f>(F145+G145+J145+K145)*$L$5</f>
        <v>4.16103</v>
      </c>
      <c r="M145" s="48">
        <f t="shared" si="75"/>
        <v>214.293045</v>
      </c>
      <c r="N145" s="48"/>
      <c r="O145" s="48">
        <f t="shared" si="71"/>
        <v>428.58609</v>
      </c>
      <c r="P145" s="32"/>
      <c r="R145" s="46">
        <f t="shared" si="76"/>
        <v>428.58609</v>
      </c>
      <c r="S145" s="46">
        <f t="shared" si="77"/>
        <v>142.86203</v>
      </c>
      <c r="T145" s="46" t="b">
        <f t="shared" si="78"/>
        <v>0</v>
      </c>
      <c r="U145" s="46" t="b">
        <f t="shared" si="79"/>
        <v>1</v>
      </c>
    </row>
    <row r="146" s="46" customFormat="1" ht="56.25" outlineLevel="1" spans="1:21">
      <c r="A146" s="32">
        <v>129</v>
      </c>
      <c r="B146" s="32" t="s">
        <v>486</v>
      </c>
      <c r="C146" s="32" t="s">
        <v>506</v>
      </c>
      <c r="D146" s="32" t="s">
        <v>96</v>
      </c>
      <c r="E146" s="32">
        <v>3</v>
      </c>
      <c r="F146" s="32">
        <f t="shared" ref="F146:J146" si="95">F127</f>
        <v>35</v>
      </c>
      <c r="G146" s="48">
        <f t="shared" si="70"/>
        <v>85.85</v>
      </c>
      <c r="H146" s="48">
        <f>H145</f>
        <v>85</v>
      </c>
      <c r="I146" s="49">
        <f t="shared" si="95"/>
        <v>0.01</v>
      </c>
      <c r="J146" s="30">
        <f t="shared" si="95"/>
        <v>10</v>
      </c>
      <c r="K146" s="31">
        <f>(F146+G146+J146)*$K$5</f>
        <v>7.851</v>
      </c>
      <c r="L146" s="31">
        <f>(F146+G146+J146+K146)*$L$5</f>
        <v>4.16103</v>
      </c>
      <c r="M146" s="48">
        <f t="shared" si="75"/>
        <v>214.293045</v>
      </c>
      <c r="N146" s="48"/>
      <c r="O146" s="48">
        <f t="shared" si="71"/>
        <v>642.879135</v>
      </c>
      <c r="P146" s="32"/>
      <c r="R146" s="46">
        <f t="shared" si="76"/>
        <v>642.879135</v>
      </c>
      <c r="S146" s="46">
        <f t="shared" si="77"/>
        <v>142.86203</v>
      </c>
      <c r="T146" s="46" t="b">
        <f t="shared" si="78"/>
        <v>0</v>
      </c>
      <c r="U146" s="46" t="b">
        <f t="shared" si="79"/>
        <v>1</v>
      </c>
    </row>
    <row r="147" s="46" customFormat="1" ht="56.25" outlineLevel="1" spans="1:21">
      <c r="A147" s="32">
        <v>130</v>
      </c>
      <c r="B147" s="32" t="s">
        <v>486</v>
      </c>
      <c r="C147" s="32" t="s">
        <v>507</v>
      </c>
      <c r="D147" s="32" t="s">
        <v>96</v>
      </c>
      <c r="E147" s="32">
        <v>5</v>
      </c>
      <c r="F147" s="32">
        <f t="shared" ref="F147:J147" si="96">F127</f>
        <v>35</v>
      </c>
      <c r="G147" s="48">
        <f t="shared" si="70"/>
        <v>85.85</v>
      </c>
      <c r="H147" s="48">
        <f t="shared" si="92"/>
        <v>85</v>
      </c>
      <c r="I147" s="49">
        <f t="shared" si="96"/>
        <v>0.01</v>
      </c>
      <c r="J147" s="30">
        <f t="shared" si="96"/>
        <v>10</v>
      </c>
      <c r="K147" s="31">
        <f>(F147+G147+J147)*$K$5</f>
        <v>7.851</v>
      </c>
      <c r="L147" s="31">
        <f>(F147+G147+J147+K147)*$L$5</f>
        <v>4.16103</v>
      </c>
      <c r="M147" s="48">
        <f t="shared" si="75"/>
        <v>214.293045</v>
      </c>
      <c r="N147" s="48"/>
      <c r="O147" s="48">
        <f t="shared" si="71"/>
        <v>1071.465225</v>
      </c>
      <c r="P147" s="32"/>
      <c r="R147" s="46">
        <f t="shared" si="76"/>
        <v>1071.465225</v>
      </c>
      <c r="S147" s="46">
        <f t="shared" si="77"/>
        <v>142.86203</v>
      </c>
      <c r="T147" s="46" t="b">
        <f t="shared" si="78"/>
        <v>0</v>
      </c>
      <c r="U147" s="46" t="b">
        <f t="shared" si="79"/>
        <v>1</v>
      </c>
    </row>
    <row r="148" s="46" customFormat="1" ht="56.25" outlineLevel="1" spans="1:21">
      <c r="A148" s="32">
        <v>131</v>
      </c>
      <c r="B148" s="32" t="s">
        <v>486</v>
      </c>
      <c r="C148" s="32" t="s">
        <v>508</v>
      </c>
      <c r="D148" s="32" t="s">
        <v>96</v>
      </c>
      <c r="E148" s="32">
        <v>3</v>
      </c>
      <c r="F148" s="32">
        <f t="shared" ref="F148:J148" si="97">F127</f>
        <v>35</v>
      </c>
      <c r="G148" s="48">
        <f t="shared" si="70"/>
        <v>85.85</v>
      </c>
      <c r="H148" s="48">
        <f>H145</f>
        <v>85</v>
      </c>
      <c r="I148" s="49">
        <f t="shared" si="97"/>
        <v>0.01</v>
      </c>
      <c r="J148" s="30">
        <f t="shared" si="97"/>
        <v>10</v>
      </c>
      <c r="K148" s="31">
        <f>(F148+G148+J148)*$K$5</f>
        <v>7.851</v>
      </c>
      <c r="L148" s="31">
        <f>(F148+G148+J148+K148)*$L$5</f>
        <v>4.16103</v>
      </c>
      <c r="M148" s="48">
        <f t="shared" si="75"/>
        <v>214.293045</v>
      </c>
      <c r="N148" s="48"/>
      <c r="O148" s="48">
        <f t="shared" si="71"/>
        <v>642.879135</v>
      </c>
      <c r="P148" s="32"/>
      <c r="R148" s="46">
        <f t="shared" si="76"/>
        <v>642.879135</v>
      </c>
      <c r="S148" s="46">
        <f t="shared" si="77"/>
        <v>142.86203</v>
      </c>
      <c r="T148" s="46" t="b">
        <f t="shared" si="78"/>
        <v>0</v>
      </c>
      <c r="U148" s="46" t="b">
        <f t="shared" si="79"/>
        <v>1</v>
      </c>
    </row>
    <row r="149" s="46" customFormat="1" ht="56.25" outlineLevel="1" spans="1:21">
      <c r="A149" s="32">
        <v>132</v>
      </c>
      <c r="B149" s="32" t="s">
        <v>509</v>
      </c>
      <c r="C149" s="32" t="s">
        <v>510</v>
      </c>
      <c r="D149" s="32" t="s">
        <v>511</v>
      </c>
      <c r="E149" s="32">
        <v>0.42</v>
      </c>
      <c r="F149" s="32">
        <v>700</v>
      </c>
      <c r="G149" s="48">
        <f t="shared" si="70"/>
        <v>1545</v>
      </c>
      <c r="H149" s="48">
        <v>1500</v>
      </c>
      <c r="I149" s="49">
        <v>0.03</v>
      </c>
      <c r="J149" s="31">
        <v>160</v>
      </c>
      <c r="K149" s="31">
        <f>(F149+G149+J149)*$K$5</f>
        <v>144.3</v>
      </c>
      <c r="L149" s="31">
        <f>(F149+G149+J149+K149)*$L$5</f>
        <v>76.479</v>
      </c>
      <c r="M149" s="48">
        <f t="shared" si="75"/>
        <v>3938.6685</v>
      </c>
      <c r="N149" s="48"/>
      <c r="O149" s="48">
        <f t="shared" si="71"/>
        <v>1654.24077</v>
      </c>
      <c r="P149" s="32"/>
      <c r="R149" s="46">
        <f t="shared" si="76"/>
        <v>1654.24077</v>
      </c>
      <c r="S149" s="46">
        <f t="shared" si="77"/>
        <v>2625.779</v>
      </c>
      <c r="T149" s="46" t="b">
        <f t="shared" si="78"/>
        <v>0</v>
      </c>
      <c r="U149" s="46" t="b">
        <f t="shared" si="79"/>
        <v>1</v>
      </c>
    </row>
    <row r="150" s="46" customFormat="1" ht="56.25" outlineLevel="1" spans="1:21">
      <c r="A150" s="32">
        <v>133</v>
      </c>
      <c r="B150" s="32" t="s">
        <v>509</v>
      </c>
      <c r="C150" s="32" t="s">
        <v>512</v>
      </c>
      <c r="D150" s="32" t="s">
        <v>511</v>
      </c>
      <c r="E150" s="32">
        <v>2.33</v>
      </c>
      <c r="F150" s="32">
        <f t="shared" ref="F150:J150" si="98">F149</f>
        <v>700</v>
      </c>
      <c r="G150" s="48">
        <f t="shared" si="70"/>
        <v>1545</v>
      </c>
      <c r="H150" s="48">
        <f t="shared" si="98"/>
        <v>1500</v>
      </c>
      <c r="I150" s="49">
        <f t="shared" si="98"/>
        <v>0.03</v>
      </c>
      <c r="J150" s="31">
        <f t="shared" si="98"/>
        <v>160</v>
      </c>
      <c r="K150" s="31">
        <f>(F150+G150+J150)*$K$5</f>
        <v>144.3</v>
      </c>
      <c r="L150" s="31">
        <f>(F150+G150+J150+K150)*$L$5</f>
        <v>76.479</v>
      </c>
      <c r="M150" s="48">
        <f t="shared" si="75"/>
        <v>3938.6685</v>
      </c>
      <c r="N150" s="48"/>
      <c r="O150" s="48">
        <f t="shared" si="71"/>
        <v>9177.097605</v>
      </c>
      <c r="P150" s="32"/>
      <c r="R150" s="46">
        <f t="shared" si="76"/>
        <v>9177.097605</v>
      </c>
      <c r="S150" s="46">
        <f t="shared" si="77"/>
        <v>2625.779</v>
      </c>
      <c r="T150" s="46" t="b">
        <f t="shared" si="78"/>
        <v>0</v>
      </c>
      <c r="U150" s="46" t="b">
        <f t="shared" si="79"/>
        <v>1</v>
      </c>
    </row>
    <row r="151" s="46" customFormat="1" ht="33.75" outlineLevel="1" spans="1:21">
      <c r="A151" s="32">
        <v>134</v>
      </c>
      <c r="B151" s="32" t="s">
        <v>513</v>
      </c>
      <c r="C151" s="32" t="s">
        <v>514</v>
      </c>
      <c r="D151" s="32" t="s">
        <v>386</v>
      </c>
      <c r="E151" s="32">
        <v>1</v>
      </c>
      <c r="F151" s="32">
        <v>1800</v>
      </c>
      <c r="G151" s="48">
        <f t="shared" si="70"/>
        <v>0</v>
      </c>
      <c r="H151" s="48">
        <v>0</v>
      </c>
      <c r="I151" s="49">
        <v>0</v>
      </c>
      <c r="J151" s="31">
        <v>1500</v>
      </c>
      <c r="K151" s="31">
        <f>(F151+G151+J151)*$K$5</f>
        <v>198</v>
      </c>
      <c r="L151" s="31">
        <f>(F151+G151+J151+K151)*$L$5</f>
        <v>104.94</v>
      </c>
      <c r="M151" s="48">
        <f t="shared" si="75"/>
        <v>5404.41</v>
      </c>
      <c r="N151" s="48"/>
      <c r="O151" s="48">
        <f t="shared" si="71"/>
        <v>5404.41</v>
      </c>
      <c r="P151" s="32"/>
      <c r="R151" s="46">
        <f t="shared" si="76"/>
        <v>5404.41</v>
      </c>
      <c r="S151" s="46">
        <f t="shared" si="77"/>
        <v>3602.94</v>
      </c>
      <c r="T151" s="46" t="b">
        <f t="shared" si="78"/>
        <v>0</v>
      </c>
      <c r="U151" s="46" t="b">
        <f t="shared" si="79"/>
        <v>1</v>
      </c>
    </row>
    <row r="152" s="46" customFormat="1" spans="1:21">
      <c r="A152" s="32"/>
      <c r="B152" s="32" t="s">
        <v>30</v>
      </c>
      <c r="C152" s="32"/>
      <c r="D152" s="32"/>
      <c r="E152" s="32"/>
      <c r="F152" s="32"/>
      <c r="G152" s="48"/>
      <c r="H152" s="48"/>
      <c r="I152" s="49"/>
      <c r="J152" s="31"/>
      <c r="K152" s="31"/>
      <c r="L152" s="31"/>
      <c r="M152" s="48"/>
      <c r="N152" s="48"/>
      <c r="O152" s="48"/>
      <c r="P152" s="32"/>
      <c r="R152" s="46">
        <f t="shared" si="76"/>
        <v>0</v>
      </c>
      <c r="S152" s="46">
        <f t="shared" si="77"/>
        <v>0</v>
      </c>
      <c r="T152" s="46" t="b">
        <f t="shared" si="78"/>
        <v>1</v>
      </c>
      <c r="U152" s="46" t="b">
        <f t="shared" si="79"/>
        <v>1</v>
      </c>
    </row>
    <row r="153" s="46" customFormat="1" spans="1:21">
      <c r="A153" s="32"/>
      <c r="B153" s="32" t="s">
        <v>331</v>
      </c>
      <c r="C153" s="32"/>
      <c r="D153" s="32"/>
      <c r="E153" s="32"/>
      <c r="F153" s="32"/>
      <c r="G153" s="48"/>
      <c r="H153" s="48"/>
      <c r="I153" s="49"/>
      <c r="J153" s="31"/>
      <c r="K153" s="31"/>
      <c r="L153" s="31"/>
      <c r="M153" s="48">
        <f>SUM(O154:O228)</f>
        <v>470557.73853093</v>
      </c>
      <c r="N153" s="48"/>
      <c r="O153" s="48"/>
      <c r="P153" s="32"/>
      <c r="R153" s="46">
        <f t="shared" si="76"/>
        <v>0</v>
      </c>
      <c r="S153" s="46">
        <f t="shared" si="77"/>
        <v>0</v>
      </c>
      <c r="T153" s="46" t="b">
        <f t="shared" si="78"/>
        <v>0</v>
      </c>
      <c r="U153" s="46" t="b">
        <f t="shared" si="79"/>
        <v>1</v>
      </c>
    </row>
    <row r="154" s="46" customFormat="1" ht="56.25" outlineLevel="1" spans="1:21">
      <c r="A154" s="32">
        <v>135</v>
      </c>
      <c r="B154" s="32" t="s">
        <v>332</v>
      </c>
      <c r="C154" s="32" t="s">
        <v>515</v>
      </c>
      <c r="D154" s="32" t="s">
        <v>334</v>
      </c>
      <c r="E154" s="32">
        <v>1</v>
      </c>
      <c r="F154" s="32">
        <f>F9</f>
        <v>200</v>
      </c>
      <c r="G154" s="48">
        <f t="shared" ref="G154:G185" si="99">H154*(1+I154)</f>
        <v>2222</v>
      </c>
      <c r="H154" s="48">
        <f t="shared" ref="H154:J154" si="100">H8</f>
        <v>2200</v>
      </c>
      <c r="I154" s="49">
        <f t="shared" si="100"/>
        <v>0.01</v>
      </c>
      <c r="J154" s="31">
        <f t="shared" si="100"/>
        <v>50</v>
      </c>
      <c r="K154" s="31">
        <f>(F154+G154+J154)*$K$5</f>
        <v>148.32</v>
      </c>
      <c r="L154" s="31">
        <f>(F154+G154+J154+K154)*$L$5</f>
        <v>78.6096</v>
      </c>
      <c r="M154" s="48">
        <f>(F154+G154+J154+K154+L154)*1.5</f>
        <v>4048.3944</v>
      </c>
      <c r="N154" s="48"/>
      <c r="O154" s="48">
        <f t="shared" ref="O154:O185" si="101">M154*E154</f>
        <v>4048.3944</v>
      </c>
      <c r="P154" s="32"/>
      <c r="R154" s="46">
        <f t="shared" si="76"/>
        <v>4048.3944</v>
      </c>
      <c r="S154" s="46">
        <f t="shared" si="77"/>
        <v>2698.9296</v>
      </c>
      <c r="T154" s="46" t="b">
        <f t="shared" si="78"/>
        <v>0</v>
      </c>
      <c r="U154" s="46" t="b">
        <f t="shared" si="79"/>
        <v>1</v>
      </c>
    </row>
    <row r="155" s="46" customFormat="1" ht="78.75" outlineLevel="1" spans="1:21">
      <c r="A155" s="32">
        <v>136</v>
      </c>
      <c r="B155" s="32" t="s">
        <v>332</v>
      </c>
      <c r="C155" s="32" t="s">
        <v>516</v>
      </c>
      <c r="D155" s="32" t="s">
        <v>334</v>
      </c>
      <c r="E155" s="32">
        <v>1</v>
      </c>
      <c r="F155" s="32">
        <f>F9</f>
        <v>200</v>
      </c>
      <c r="G155" s="48">
        <f t="shared" si="99"/>
        <v>1313</v>
      </c>
      <c r="H155" s="48">
        <v>1300</v>
      </c>
      <c r="I155" s="49">
        <f>I154</f>
        <v>0.01</v>
      </c>
      <c r="J155" s="31">
        <v>50</v>
      </c>
      <c r="K155" s="31">
        <f>(F155+G155+J155)*$K$5</f>
        <v>93.78</v>
      </c>
      <c r="L155" s="31">
        <f>(F155+G155+J155+K155)*$L$5</f>
        <v>49.7034</v>
      </c>
      <c r="M155" s="48">
        <f t="shared" ref="M155:M186" si="102">(F155+G155+J155+K155+L155)*1.5</f>
        <v>2559.7251</v>
      </c>
      <c r="N155" s="48"/>
      <c r="O155" s="48">
        <f t="shared" si="101"/>
        <v>2559.7251</v>
      </c>
      <c r="P155" s="32"/>
      <c r="R155" s="46">
        <f t="shared" si="76"/>
        <v>2559.7251</v>
      </c>
      <c r="S155" s="46">
        <f t="shared" si="77"/>
        <v>1706.4834</v>
      </c>
      <c r="T155" s="46" t="b">
        <f t="shared" si="78"/>
        <v>0</v>
      </c>
      <c r="U155" s="46" t="b">
        <f t="shared" si="79"/>
        <v>1</v>
      </c>
    </row>
    <row r="156" s="46" customFormat="1" ht="81" customHeight="1" outlineLevel="1" spans="1:21">
      <c r="A156" s="32">
        <v>137</v>
      </c>
      <c r="B156" s="32" t="s">
        <v>332</v>
      </c>
      <c r="C156" s="32" t="s">
        <v>517</v>
      </c>
      <c r="D156" s="32" t="s">
        <v>334</v>
      </c>
      <c r="E156" s="32">
        <v>1</v>
      </c>
      <c r="F156" s="32">
        <v>150</v>
      </c>
      <c r="G156" s="48">
        <f t="shared" si="99"/>
        <v>757.5</v>
      </c>
      <c r="H156" s="48">
        <v>750</v>
      </c>
      <c r="I156" s="49">
        <f>I154</f>
        <v>0.01</v>
      </c>
      <c r="J156" s="31">
        <f>J155</f>
        <v>50</v>
      </c>
      <c r="K156" s="31">
        <f>(F156+G156+J156)*$K$5</f>
        <v>57.45</v>
      </c>
      <c r="L156" s="31">
        <f>(F156+G156+J156+K156)*$L$5</f>
        <v>30.4485</v>
      </c>
      <c r="M156" s="48">
        <f t="shared" si="102"/>
        <v>1568.09775</v>
      </c>
      <c r="N156" s="48"/>
      <c r="O156" s="48">
        <f t="shared" si="101"/>
        <v>1568.09775</v>
      </c>
      <c r="P156" s="32"/>
      <c r="R156" s="46">
        <f t="shared" si="76"/>
        <v>1568.09775</v>
      </c>
      <c r="S156" s="46">
        <f t="shared" si="77"/>
        <v>1045.3985</v>
      </c>
      <c r="T156" s="46" t="b">
        <f t="shared" si="78"/>
        <v>0</v>
      </c>
      <c r="U156" s="46" t="b">
        <f t="shared" si="79"/>
        <v>1</v>
      </c>
    </row>
    <row r="157" s="46" customFormat="1" ht="56.25" outlineLevel="1" spans="1:21">
      <c r="A157" s="32">
        <v>138</v>
      </c>
      <c r="B157" s="32" t="s">
        <v>344</v>
      </c>
      <c r="C157" s="32" t="s">
        <v>345</v>
      </c>
      <c r="D157" s="32" t="s">
        <v>102</v>
      </c>
      <c r="E157" s="32">
        <v>273.32</v>
      </c>
      <c r="F157" s="32">
        <f t="shared" ref="F157:J157" si="103">F15</f>
        <v>10</v>
      </c>
      <c r="G157" s="48">
        <f t="shared" si="99"/>
        <v>5.665</v>
      </c>
      <c r="H157" s="32">
        <f t="shared" si="103"/>
        <v>5.5</v>
      </c>
      <c r="I157" s="49">
        <f t="shared" si="103"/>
        <v>0.03</v>
      </c>
      <c r="J157" s="30">
        <f t="shared" si="103"/>
        <v>2</v>
      </c>
      <c r="K157" s="31">
        <f>(F157+G157+J157)*$K$5</f>
        <v>1.0599</v>
      </c>
      <c r="L157" s="31">
        <f>(F157+G157+J157+K157)*$L$5</f>
        <v>0.561747</v>
      </c>
      <c r="M157" s="48">
        <f t="shared" si="102"/>
        <v>28.9299705</v>
      </c>
      <c r="N157" s="48"/>
      <c r="O157" s="48">
        <f t="shared" si="101"/>
        <v>7907.13953706</v>
      </c>
      <c r="P157" s="32"/>
      <c r="R157" s="46">
        <f t="shared" si="76"/>
        <v>7907.13953706</v>
      </c>
      <c r="S157" s="46">
        <f t="shared" si="77"/>
        <v>19.286647</v>
      </c>
      <c r="T157" s="46" t="b">
        <f t="shared" si="78"/>
        <v>0</v>
      </c>
      <c r="U157" s="46" t="b">
        <f t="shared" si="79"/>
        <v>1</v>
      </c>
    </row>
    <row r="158" s="46" customFormat="1" ht="56.25" outlineLevel="1" spans="1:21">
      <c r="A158" s="32">
        <v>139</v>
      </c>
      <c r="B158" s="32" t="s">
        <v>344</v>
      </c>
      <c r="C158" s="32" t="s">
        <v>347</v>
      </c>
      <c r="D158" s="32" t="s">
        <v>102</v>
      </c>
      <c r="E158" s="32">
        <v>174.61</v>
      </c>
      <c r="F158" s="32">
        <f t="shared" ref="F158:J158" si="104">F16</f>
        <v>10</v>
      </c>
      <c r="G158" s="48">
        <f t="shared" si="99"/>
        <v>5.665</v>
      </c>
      <c r="H158" s="32">
        <f t="shared" si="104"/>
        <v>5.5</v>
      </c>
      <c r="I158" s="49">
        <f t="shared" si="104"/>
        <v>0.03</v>
      </c>
      <c r="J158" s="30">
        <f t="shared" si="104"/>
        <v>2</v>
      </c>
      <c r="K158" s="31">
        <f>(F158+G158+J158)*$K$5</f>
        <v>1.0599</v>
      </c>
      <c r="L158" s="31">
        <f>(F158+G158+J158+K158)*$L$5</f>
        <v>0.561747</v>
      </c>
      <c r="M158" s="48">
        <f t="shared" si="102"/>
        <v>28.9299705</v>
      </c>
      <c r="N158" s="48"/>
      <c r="O158" s="48">
        <f t="shared" si="101"/>
        <v>5051.462149005</v>
      </c>
      <c r="P158" s="32"/>
      <c r="R158" s="46">
        <f t="shared" si="76"/>
        <v>5051.462149005</v>
      </c>
      <c r="S158" s="46">
        <f t="shared" si="77"/>
        <v>19.286647</v>
      </c>
      <c r="T158" s="46" t="b">
        <f t="shared" si="78"/>
        <v>0</v>
      </c>
      <c r="U158" s="46" t="b">
        <f t="shared" si="79"/>
        <v>1</v>
      </c>
    </row>
    <row r="159" s="46" customFormat="1" ht="56.25" outlineLevel="1" spans="1:21">
      <c r="A159" s="32">
        <v>140</v>
      </c>
      <c r="B159" s="32" t="s">
        <v>344</v>
      </c>
      <c r="C159" s="32" t="s">
        <v>348</v>
      </c>
      <c r="D159" s="32" t="s">
        <v>102</v>
      </c>
      <c r="E159" s="32">
        <v>19.22</v>
      </c>
      <c r="F159" s="32">
        <f t="shared" ref="F159:J159" si="105">F17</f>
        <v>10</v>
      </c>
      <c r="G159" s="48">
        <f t="shared" si="99"/>
        <v>8.858</v>
      </c>
      <c r="H159" s="32">
        <f t="shared" si="105"/>
        <v>8.6</v>
      </c>
      <c r="I159" s="49">
        <f t="shared" si="105"/>
        <v>0.03</v>
      </c>
      <c r="J159" s="30">
        <f t="shared" si="105"/>
        <v>2</v>
      </c>
      <c r="K159" s="31">
        <f>(F159+G159+J159)*$K$5</f>
        <v>1.25148</v>
      </c>
      <c r="L159" s="31">
        <f>(F159+G159+J159+K159)*$L$5</f>
        <v>0.6632844</v>
      </c>
      <c r="M159" s="48">
        <f t="shared" si="102"/>
        <v>34.1591466</v>
      </c>
      <c r="N159" s="48"/>
      <c r="O159" s="48">
        <f t="shared" si="101"/>
        <v>656.538797652</v>
      </c>
      <c r="P159" s="32"/>
      <c r="R159" s="46">
        <f t="shared" si="76"/>
        <v>656.538797652</v>
      </c>
      <c r="S159" s="46">
        <f t="shared" si="77"/>
        <v>22.7727644</v>
      </c>
      <c r="T159" s="46" t="b">
        <f t="shared" si="78"/>
        <v>0</v>
      </c>
      <c r="U159" s="46" t="b">
        <f t="shared" si="79"/>
        <v>1</v>
      </c>
    </row>
    <row r="160" s="46" customFormat="1" ht="56.25" outlineLevel="1" spans="1:21">
      <c r="A160" s="32">
        <v>141</v>
      </c>
      <c r="B160" s="32" t="s">
        <v>344</v>
      </c>
      <c r="C160" s="32" t="s">
        <v>349</v>
      </c>
      <c r="D160" s="32" t="s">
        <v>102</v>
      </c>
      <c r="E160" s="32">
        <v>10.6</v>
      </c>
      <c r="F160" s="32">
        <f t="shared" ref="F160:J160" si="106">F18</f>
        <v>10</v>
      </c>
      <c r="G160" s="48">
        <f t="shared" si="99"/>
        <v>8.858</v>
      </c>
      <c r="H160" s="32">
        <f t="shared" si="106"/>
        <v>8.6</v>
      </c>
      <c r="I160" s="49">
        <f t="shared" si="106"/>
        <v>0.03</v>
      </c>
      <c r="J160" s="30">
        <f t="shared" si="106"/>
        <v>2</v>
      </c>
      <c r="K160" s="31">
        <f>(F160+G160+J160)*$K$5</f>
        <v>1.25148</v>
      </c>
      <c r="L160" s="31">
        <f>(F160+G160+J160+K160)*$L$5</f>
        <v>0.6632844</v>
      </c>
      <c r="M160" s="48">
        <f t="shared" si="102"/>
        <v>34.1591466</v>
      </c>
      <c r="N160" s="48"/>
      <c r="O160" s="48">
        <f t="shared" si="101"/>
        <v>362.08695396</v>
      </c>
      <c r="P160" s="32"/>
      <c r="R160" s="46">
        <f t="shared" si="76"/>
        <v>362.08695396</v>
      </c>
      <c r="S160" s="46">
        <f t="shared" si="77"/>
        <v>22.7727644</v>
      </c>
      <c r="T160" s="46" t="b">
        <f t="shared" si="78"/>
        <v>0</v>
      </c>
      <c r="U160" s="46" t="b">
        <f t="shared" si="79"/>
        <v>1</v>
      </c>
    </row>
    <row r="161" s="46" customFormat="1" ht="56.25" outlineLevel="1" spans="1:21">
      <c r="A161" s="32">
        <v>142</v>
      </c>
      <c r="B161" s="32" t="s">
        <v>344</v>
      </c>
      <c r="C161" s="32" t="s">
        <v>518</v>
      </c>
      <c r="D161" s="32" t="s">
        <v>102</v>
      </c>
      <c r="E161" s="32">
        <v>28.99</v>
      </c>
      <c r="F161" s="32">
        <v>20</v>
      </c>
      <c r="G161" s="48">
        <f t="shared" si="99"/>
        <v>39.14</v>
      </c>
      <c r="H161" s="48">
        <v>38</v>
      </c>
      <c r="I161" s="49">
        <v>0.03</v>
      </c>
      <c r="J161" s="31">
        <v>5</v>
      </c>
      <c r="K161" s="31">
        <f>(F161+G161+J161)*$K$5</f>
        <v>3.8484</v>
      </c>
      <c r="L161" s="31">
        <f>(F161+G161+J161+K161)*$L$5</f>
        <v>2.039652</v>
      </c>
      <c r="M161" s="48">
        <f t="shared" si="102"/>
        <v>105.042078</v>
      </c>
      <c r="N161" s="48"/>
      <c r="O161" s="48">
        <f t="shared" si="101"/>
        <v>3045.16984122</v>
      </c>
      <c r="P161" s="32"/>
      <c r="R161" s="46">
        <f t="shared" si="76"/>
        <v>3045.16984122</v>
      </c>
      <c r="S161" s="46">
        <f t="shared" si="77"/>
        <v>70.028052</v>
      </c>
      <c r="T161" s="46" t="b">
        <f t="shared" si="78"/>
        <v>0</v>
      </c>
      <c r="U161" s="46" t="b">
        <f t="shared" si="79"/>
        <v>1</v>
      </c>
    </row>
    <row r="162" s="46" customFormat="1" ht="56.25" outlineLevel="1" spans="1:21">
      <c r="A162" s="32">
        <v>143</v>
      </c>
      <c r="B162" s="32" t="s">
        <v>344</v>
      </c>
      <c r="C162" s="32" t="s">
        <v>519</v>
      </c>
      <c r="D162" s="32" t="s">
        <v>102</v>
      </c>
      <c r="E162" s="32">
        <v>33.02</v>
      </c>
      <c r="F162" s="32">
        <f>F161</f>
        <v>20</v>
      </c>
      <c r="G162" s="48">
        <f t="shared" si="99"/>
        <v>49.44</v>
      </c>
      <c r="H162" s="48">
        <v>48</v>
      </c>
      <c r="I162" s="49">
        <v>0.03</v>
      </c>
      <c r="J162" s="31">
        <v>5</v>
      </c>
      <c r="K162" s="31">
        <f>(F162+G162+J162)*$K$5</f>
        <v>4.4664</v>
      </c>
      <c r="L162" s="31">
        <f>(F162+G162+J162+K162)*$L$5</f>
        <v>2.367192</v>
      </c>
      <c r="M162" s="48">
        <f t="shared" si="102"/>
        <v>121.910388</v>
      </c>
      <c r="N162" s="48"/>
      <c r="O162" s="48">
        <f t="shared" si="101"/>
        <v>4025.48101176</v>
      </c>
      <c r="P162" s="32"/>
      <c r="R162" s="46">
        <f t="shared" si="76"/>
        <v>4025.48101176</v>
      </c>
      <c r="S162" s="46">
        <f t="shared" si="77"/>
        <v>81.273592</v>
      </c>
      <c r="T162" s="46" t="b">
        <f t="shared" si="78"/>
        <v>0</v>
      </c>
      <c r="U162" s="46" t="b">
        <f t="shared" si="79"/>
        <v>1</v>
      </c>
    </row>
    <row r="163" s="46" customFormat="1" ht="56.25" outlineLevel="1" spans="1:21">
      <c r="A163" s="32">
        <v>144</v>
      </c>
      <c r="B163" s="32" t="s">
        <v>344</v>
      </c>
      <c r="C163" s="32" t="s">
        <v>520</v>
      </c>
      <c r="D163" s="32" t="s">
        <v>102</v>
      </c>
      <c r="E163" s="32">
        <v>12.25</v>
      </c>
      <c r="F163" s="32">
        <v>38</v>
      </c>
      <c r="G163" s="48">
        <f t="shared" si="99"/>
        <v>66.95</v>
      </c>
      <c r="H163" s="48">
        <v>65</v>
      </c>
      <c r="I163" s="49">
        <v>0.03</v>
      </c>
      <c r="J163" s="31">
        <v>5</v>
      </c>
      <c r="K163" s="31">
        <f>(F163+G163+J163)*$K$5</f>
        <v>6.597</v>
      </c>
      <c r="L163" s="31">
        <f>(F163+G163+J163+K163)*$L$5</f>
        <v>3.49641</v>
      </c>
      <c r="M163" s="48">
        <f t="shared" si="102"/>
        <v>180.065115</v>
      </c>
      <c r="N163" s="48"/>
      <c r="O163" s="48">
        <f t="shared" si="101"/>
        <v>2205.79765875</v>
      </c>
      <c r="P163" s="32"/>
      <c r="R163" s="46">
        <f t="shared" si="76"/>
        <v>2205.79765875</v>
      </c>
      <c r="S163" s="46">
        <f t="shared" si="77"/>
        <v>120.04341</v>
      </c>
      <c r="T163" s="46" t="b">
        <f t="shared" si="78"/>
        <v>0</v>
      </c>
      <c r="U163" s="46" t="b">
        <f t="shared" si="79"/>
        <v>1</v>
      </c>
    </row>
    <row r="164" s="46" customFormat="1" ht="67.5" outlineLevel="1" spans="1:21">
      <c r="A164" s="32">
        <v>145</v>
      </c>
      <c r="B164" s="32" t="s">
        <v>350</v>
      </c>
      <c r="C164" s="32" t="s">
        <v>521</v>
      </c>
      <c r="D164" s="32" t="s">
        <v>102</v>
      </c>
      <c r="E164" s="32">
        <v>51.97</v>
      </c>
      <c r="F164" s="32">
        <v>15</v>
      </c>
      <c r="G164" s="48">
        <f t="shared" si="99"/>
        <v>38.11</v>
      </c>
      <c r="H164" s="48">
        <v>37</v>
      </c>
      <c r="I164" s="49">
        <v>0.03</v>
      </c>
      <c r="J164" s="31">
        <v>5</v>
      </c>
      <c r="K164" s="31">
        <f>(F164+G164+J164)*$K$5</f>
        <v>3.4866</v>
      </c>
      <c r="L164" s="31">
        <f>(F164+G164+J164+K164)*$L$5</f>
        <v>1.847898</v>
      </c>
      <c r="M164" s="48">
        <f t="shared" si="102"/>
        <v>95.166747</v>
      </c>
      <c r="N164" s="48"/>
      <c r="O164" s="48">
        <f t="shared" si="101"/>
        <v>4945.81584159</v>
      </c>
      <c r="P164" s="32"/>
      <c r="R164" s="46">
        <f t="shared" si="76"/>
        <v>4945.81584159</v>
      </c>
      <c r="S164" s="46">
        <f t="shared" si="77"/>
        <v>63.444498</v>
      </c>
      <c r="T164" s="46" t="b">
        <f t="shared" si="78"/>
        <v>0</v>
      </c>
      <c r="U164" s="46" t="b">
        <f t="shared" si="79"/>
        <v>1</v>
      </c>
    </row>
    <row r="165" s="46" customFormat="1" ht="67.5" outlineLevel="1" spans="1:21">
      <c r="A165" s="32">
        <v>146</v>
      </c>
      <c r="B165" s="32" t="s">
        <v>350</v>
      </c>
      <c r="C165" s="32" t="s">
        <v>522</v>
      </c>
      <c r="D165" s="32" t="s">
        <v>102</v>
      </c>
      <c r="E165" s="32">
        <v>60.61</v>
      </c>
      <c r="F165" s="32">
        <f t="shared" ref="F165:J165" si="107">F164</f>
        <v>15</v>
      </c>
      <c r="G165" s="48">
        <f t="shared" si="99"/>
        <v>60.77</v>
      </c>
      <c r="H165" s="48">
        <v>59</v>
      </c>
      <c r="I165" s="49">
        <f t="shared" si="107"/>
        <v>0.03</v>
      </c>
      <c r="J165" s="31">
        <f t="shared" si="107"/>
        <v>5</v>
      </c>
      <c r="K165" s="31">
        <f>(F165+G165+J165)*$K$5</f>
        <v>4.8462</v>
      </c>
      <c r="L165" s="31">
        <f>(F165+G165+J165+K165)*$L$5</f>
        <v>2.568486</v>
      </c>
      <c r="M165" s="48">
        <f t="shared" si="102"/>
        <v>132.277029</v>
      </c>
      <c r="N165" s="48"/>
      <c r="O165" s="48">
        <f t="shared" si="101"/>
        <v>8017.31072769</v>
      </c>
      <c r="P165" s="32"/>
      <c r="R165" s="46">
        <f t="shared" si="76"/>
        <v>8017.31072769</v>
      </c>
      <c r="S165" s="46">
        <f t="shared" si="77"/>
        <v>88.184686</v>
      </c>
      <c r="T165" s="46" t="b">
        <f t="shared" si="78"/>
        <v>0</v>
      </c>
      <c r="U165" s="46" t="b">
        <f t="shared" si="79"/>
        <v>1</v>
      </c>
    </row>
    <row r="166" s="46" customFormat="1" ht="78.75" outlineLevel="1" spans="1:21">
      <c r="A166" s="32">
        <v>147</v>
      </c>
      <c r="B166" s="32" t="s">
        <v>350</v>
      </c>
      <c r="C166" s="32" t="s">
        <v>523</v>
      </c>
      <c r="D166" s="32" t="s">
        <v>102</v>
      </c>
      <c r="E166" s="32">
        <v>41.93</v>
      </c>
      <c r="F166" s="32">
        <v>18</v>
      </c>
      <c r="G166" s="48">
        <f t="shared" si="99"/>
        <v>287.37</v>
      </c>
      <c r="H166" s="48">
        <v>279</v>
      </c>
      <c r="I166" s="49">
        <f>I165</f>
        <v>0.03</v>
      </c>
      <c r="J166" s="31">
        <f>J164</f>
        <v>5</v>
      </c>
      <c r="K166" s="31">
        <f>(F166+G166+J166)*$K$5</f>
        <v>18.6222</v>
      </c>
      <c r="L166" s="31">
        <f>(F166+G166+J166+K166)*$L$5</f>
        <v>9.869766</v>
      </c>
      <c r="M166" s="48">
        <f t="shared" si="102"/>
        <v>508.292949</v>
      </c>
      <c r="N166" s="48"/>
      <c r="O166" s="48">
        <f t="shared" si="101"/>
        <v>21312.72335157</v>
      </c>
      <c r="P166" s="32"/>
      <c r="R166" s="46">
        <f t="shared" si="76"/>
        <v>21312.72335157</v>
      </c>
      <c r="S166" s="46">
        <f t="shared" si="77"/>
        <v>338.861966</v>
      </c>
      <c r="T166" s="46" t="b">
        <f t="shared" si="78"/>
        <v>0</v>
      </c>
      <c r="U166" s="46" t="b">
        <f t="shared" si="79"/>
        <v>1</v>
      </c>
    </row>
    <row r="167" s="46" customFormat="1" ht="67.5" outlineLevel="1" spans="1:21">
      <c r="A167" s="32">
        <v>148</v>
      </c>
      <c r="B167" s="32" t="s">
        <v>352</v>
      </c>
      <c r="C167" s="32" t="s">
        <v>524</v>
      </c>
      <c r="D167" s="32" t="s">
        <v>96</v>
      </c>
      <c r="E167" s="32">
        <v>2</v>
      </c>
      <c r="F167" s="32">
        <f>F20</f>
        <v>50</v>
      </c>
      <c r="G167" s="48">
        <f t="shared" si="99"/>
        <v>8.08</v>
      </c>
      <c r="H167" s="48">
        <v>8</v>
      </c>
      <c r="I167" s="49">
        <v>0.01</v>
      </c>
      <c r="J167" s="31">
        <f>J20</f>
        <v>1</v>
      </c>
      <c r="K167" s="31">
        <f>(F167+G167+J167)*$K$5</f>
        <v>3.5448</v>
      </c>
      <c r="L167" s="31">
        <f>(F167+G167+J167+K167)*$L$5</f>
        <v>1.878744</v>
      </c>
      <c r="M167" s="48">
        <f t="shared" si="102"/>
        <v>96.755316</v>
      </c>
      <c r="N167" s="48"/>
      <c r="O167" s="48">
        <f t="shared" si="101"/>
        <v>193.510632</v>
      </c>
      <c r="P167" s="32"/>
      <c r="R167" s="46">
        <f t="shared" si="76"/>
        <v>193.510632</v>
      </c>
      <c r="S167" s="46">
        <f t="shared" si="77"/>
        <v>64.503544</v>
      </c>
      <c r="T167" s="46" t="b">
        <f t="shared" si="78"/>
        <v>0</v>
      </c>
      <c r="U167" s="46" t="b">
        <f t="shared" si="79"/>
        <v>1</v>
      </c>
    </row>
    <row r="168" s="46" customFormat="1" ht="67.5" outlineLevel="1" spans="1:21">
      <c r="A168" s="32">
        <v>149</v>
      </c>
      <c r="B168" s="32" t="s">
        <v>352</v>
      </c>
      <c r="C168" s="32" t="s">
        <v>525</v>
      </c>
      <c r="D168" s="32" t="s">
        <v>96</v>
      </c>
      <c r="E168" s="32">
        <v>10</v>
      </c>
      <c r="F168" s="32">
        <f>F20</f>
        <v>50</v>
      </c>
      <c r="G168" s="48">
        <f t="shared" si="99"/>
        <v>12.12</v>
      </c>
      <c r="H168" s="48">
        <v>12</v>
      </c>
      <c r="I168" s="49">
        <f>I167</f>
        <v>0.01</v>
      </c>
      <c r="J168" s="31">
        <f>J20</f>
        <v>1</v>
      </c>
      <c r="K168" s="31">
        <f>(F168+G168+J168)*$K$5</f>
        <v>3.7872</v>
      </c>
      <c r="L168" s="31">
        <f>(F168+G168+J168+K168)*$L$5</f>
        <v>2.007216</v>
      </c>
      <c r="M168" s="48">
        <f t="shared" si="102"/>
        <v>103.371624</v>
      </c>
      <c r="N168" s="48"/>
      <c r="O168" s="48">
        <f t="shared" si="101"/>
        <v>1033.71624</v>
      </c>
      <c r="P168" s="32"/>
      <c r="R168" s="46">
        <f t="shared" si="76"/>
        <v>1033.71624</v>
      </c>
      <c r="S168" s="46">
        <f t="shared" si="77"/>
        <v>68.914416</v>
      </c>
      <c r="T168" s="46" t="b">
        <f t="shared" si="78"/>
        <v>0</v>
      </c>
      <c r="U168" s="46" t="b">
        <f t="shared" si="79"/>
        <v>1</v>
      </c>
    </row>
    <row r="169" s="46" customFormat="1" ht="67.5" outlineLevel="1" spans="1:21">
      <c r="A169" s="32">
        <v>150</v>
      </c>
      <c r="B169" s="32" t="s">
        <v>352</v>
      </c>
      <c r="C169" s="32" t="s">
        <v>526</v>
      </c>
      <c r="D169" s="32" t="s">
        <v>96</v>
      </c>
      <c r="E169" s="32">
        <v>2</v>
      </c>
      <c r="F169" s="32">
        <f>F20</f>
        <v>50</v>
      </c>
      <c r="G169" s="48">
        <f t="shared" si="99"/>
        <v>32.32</v>
      </c>
      <c r="H169" s="48">
        <v>32</v>
      </c>
      <c r="I169" s="49">
        <f>I167</f>
        <v>0.01</v>
      </c>
      <c r="J169" s="31">
        <f>J20</f>
        <v>1</v>
      </c>
      <c r="K169" s="31">
        <f>(F169+G169+J169)*$K$5</f>
        <v>4.9992</v>
      </c>
      <c r="L169" s="31">
        <f>(F169+G169+J169+K169)*$L$5</f>
        <v>2.649576</v>
      </c>
      <c r="M169" s="48">
        <f t="shared" si="102"/>
        <v>136.453164</v>
      </c>
      <c r="N169" s="48"/>
      <c r="O169" s="48">
        <f t="shared" si="101"/>
        <v>272.906328</v>
      </c>
      <c r="P169" s="32"/>
      <c r="R169" s="46">
        <f t="shared" si="76"/>
        <v>272.906328</v>
      </c>
      <c r="S169" s="46">
        <f t="shared" si="77"/>
        <v>90.968776</v>
      </c>
      <c r="T169" s="46" t="b">
        <f t="shared" si="78"/>
        <v>0</v>
      </c>
      <c r="U169" s="46" t="b">
        <f t="shared" si="79"/>
        <v>1</v>
      </c>
    </row>
    <row r="170" s="46" customFormat="1" ht="67.5" outlineLevel="1" spans="1:21">
      <c r="A170" s="32">
        <v>151</v>
      </c>
      <c r="B170" s="32" t="s">
        <v>354</v>
      </c>
      <c r="C170" s="32" t="s">
        <v>355</v>
      </c>
      <c r="D170" s="32" t="s">
        <v>102</v>
      </c>
      <c r="E170" s="32">
        <v>208.74</v>
      </c>
      <c r="F170" s="32">
        <f>F21</f>
        <v>3</v>
      </c>
      <c r="G170" s="48">
        <f t="shared" si="99"/>
        <v>4.06</v>
      </c>
      <c r="H170" s="48">
        <f>H59</f>
        <v>3.5</v>
      </c>
      <c r="I170" s="49">
        <f>I53</f>
        <v>0.16</v>
      </c>
      <c r="J170" s="31">
        <f>J53</f>
        <v>0.5</v>
      </c>
      <c r="K170" s="31">
        <f>(F170+G170+J170)*$K$5</f>
        <v>0.4536</v>
      </c>
      <c r="L170" s="31">
        <f>(F170+G170+J170+K170)*$L$5</f>
        <v>0.240408</v>
      </c>
      <c r="M170" s="48">
        <f t="shared" si="102"/>
        <v>12.381012</v>
      </c>
      <c r="N170" s="48"/>
      <c r="O170" s="48">
        <f t="shared" si="101"/>
        <v>2584.41244488</v>
      </c>
      <c r="P170" s="32"/>
      <c r="R170" s="46">
        <f t="shared" si="76"/>
        <v>2584.41244488</v>
      </c>
      <c r="S170" s="46">
        <f t="shared" si="77"/>
        <v>8.254008</v>
      </c>
      <c r="T170" s="46" t="b">
        <f t="shared" si="78"/>
        <v>0</v>
      </c>
      <c r="U170" s="46" t="b">
        <f t="shared" si="79"/>
        <v>1</v>
      </c>
    </row>
    <row r="171" s="46" customFormat="1" ht="67.5" outlineLevel="1" spans="1:21">
      <c r="A171" s="32">
        <v>152</v>
      </c>
      <c r="B171" s="32" t="s">
        <v>354</v>
      </c>
      <c r="C171" s="32" t="s">
        <v>356</v>
      </c>
      <c r="D171" s="32" t="s">
        <v>102</v>
      </c>
      <c r="E171" s="32">
        <v>1003.72</v>
      </c>
      <c r="F171" s="32">
        <f>F21</f>
        <v>3</v>
      </c>
      <c r="G171" s="48">
        <f t="shared" si="99"/>
        <v>3.016</v>
      </c>
      <c r="H171" s="48">
        <f>H22</f>
        <v>2.6</v>
      </c>
      <c r="I171" s="49">
        <f>I53</f>
        <v>0.16</v>
      </c>
      <c r="J171" s="31">
        <f>J53</f>
        <v>0.5</v>
      </c>
      <c r="K171" s="31">
        <f>(F171+G171+J171)*$K$5</f>
        <v>0.39096</v>
      </c>
      <c r="L171" s="31">
        <f>(F171+G171+J171+K171)*$L$5</f>
        <v>0.2072088</v>
      </c>
      <c r="M171" s="48">
        <f t="shared" si="102"/>
        <v>10.6712532</v>
      </c>
      <c r="N171" s="48"/>
      <c r="O171" s="48">
        <f t="shared" si="101"/>
        <v>10710.950261904</v>
      </c>
      <c r="P171" s="32"/>
      <c r="R171" s="46">
        <f t="shared" si="76"/>
        <v>10710.950261904</v>
      </c>
      <c r="S171" s="46">
        <f t="shared" si="77"/>
        <v>7.1141688</v>
      </c>
      <c r="T171" s="46" t="b">
        <f t="shared" si="78"/>
        <v>0</v>
      </c>
      <c r="U171" s="46" t="b">
        <f t="shared" si="79"/>
        <v>1</v>
      </c>
    </row>
    <row r="172" s="46" customFormat="1" ht="56.25" outlineLevel="1" spans="1:21">
      <c r="A172" s="32">
        <v>153</v>
      </c>
      <c r="B172" s="32" t="s">
        <v>354</v>
      </c>
      <c r="C172" s="32" t="s">
        <v>358</v>
      </c>
      <c r="D172" s="32" t="s">
        <v>102</v>
      </c>
      <c r="E172" s="32">
        <v>373.07</v>
      </c>
      <c r="F172" s="32">
        <f>F21</f>
        <v>3</v>
      </c>
      <c r="G172" s="48">
        <f t="shared" si="99"/>
        <v>3.944</v>
      </c>
      <c r="H172" s="48">
        <f>H24</f>
        <v>3.4</v>
      </c>
      <c r="I172" s="49">
        <f>I54</f>
        <v>0.16</v>
      </c>
      <c r="J172" s="31">
        <f>J53</f>
        <v>0.5</v>
      </c>
      <c r="K172" s="31">
        <f>(F172+G172+J172)*$K$5</f>
        <v>0.44664</v>
      </c>
      <c r="L172" s="31">
        <f>(F172+G172+J172+K172)*$L$5</f>
        <v>0.2367192</v>
      </c>
      <c r="M172" s="48">
        <f t="shared" si="102"/>
        <v>12.1910388</v>
      </c>
      <c r="N172" s="48"/>
      <c r="O172" s="48">
        <f t="shared" si="101"/>
        <v>4548.110845116</v>
      </c>
      <c r="P172" s="32"/>
      <c r="R172" s="46">
        <f t="shared" si="76"/>
        <v>4548.110845116</v>
      </c>
      <c r="S172" s="46">
        <f t="shared" si="77"/>
        <v>8.1273592</v>
      </c>
      <c r="T172" s="46" t="b">
        <f t="shared" si="78"/>
        <v>0</v>
      </c>
      <c r="U172" s="46" t="b">
        <f t="shared" si="79"/>
        <v>1</v>
      </c>
    </row>
    <row r="173" s="46" customFormat="1" ht="56.25" outlineLevel="1" spans="1:21">
      <c r="A173" s="32">
        <v>154</v>
      </c>
      <c r="B173" s="32" t="s">
        <v>360</v>
      </c>
      <c r="C173" s="32" t="s">
        <v>361</v>
      </c>
      <c r="D173" s="32" t="s">
        <v>273</v>
      </c>
      <c r="E173" s="32">
        <v>55</v>
      </c>
      <c r="F173" s="32">
        <f t="shared" ref="F173:J173" si="108">F26</f>
        <v>20</v>
      </c>
      <c r="G173" s="48">
        <f t="shared" si="99"/>
        <v>146.45</v>
      </c>
      <c r="H173" s="48">
        <f t="shared" si="108"/>
        <v>145</v>
      </c>
      <c r="I173" s="49">
        <f t="shared" si="108"/>
        <v>0.01</v>
      </c>
      <c r="J173" s="30">
        <f t="shared" si="108"/>
        <v>5</v>
      </c>
      <c r="K173" s="31">
        <f>(F173+G173+J173)*$K$5</f>
        <v>10.287</v>
      </c>
      <c r="L173" s="31">
        <f>(F173+G173+J173+K173)*$L$5</f>
        <v>5.45211</v>
      </c>
      <c r="M173" s="48">
        <f t="shared" si="102"/>
        <v>280.783665</v>
      </c>
      <c r="N173" s="48"/>
      <c r="O173" s="48">
        <f t="shared" si="101"/>
        <v>15443.101575</v>
      </c>
      <c r="P173" s="32"/>
      <c r="R173" s="46">
        <f t="shared" si="76"/>
        <v>15443.101575</v>
      </c>
      <c r="S173" s="46">
        <f t="shared" si="77"/>
        <v>187.18911</v>
      </c>
      <c r="T173" s="46" t="b">
        <f t="shared" si="78"/>
        <v>0</v>
      </c>
      <c r="U173" s="46" t="b">
        <f t="shared" si="79"/>
        <v>1</v>
      </c>
    </row>
    <row r="174" s="46" customFormat="1" ht="56.25" outlineLevel="1" spans="1:21">
      <c r="A174" s="32">
        <v>155</v>
      </c>
      <c r="B174" s="32" t="s">
        <v>360</v>
      </c>
      <c r="C174" s="32" t="s">
        <v>527</v>
      </c>
      <c r="D174" s="32" t="s">
        <v>273</v>
      </c>
      <c r="E174" s="32">
        <v>17</v>
      </c>
      <c r="F174" s="32">
        <f t="shared" ref="F174:J174" si="109">F26</f>
        <v>20</v>
      </c>
      <c r="G174" s="48">
        <f t="shared" si="99"/>
        <v>267.65</v>
      </c>
      <c r="H174" s="48">
        <v>265</v>
      </c>
      <c r="I174" s="49">
        <f t="shared" si="109"/>
        <v>0.01</v>
      </c>
      <c r="J174" s="30">
        <f t="shared" si="109"/>
        <v>5</v>
      </c>
      <c r="K174" s="31">
        <f>(F174+G174+J174)*$K$5</f>
        <v>17.559</v>
      </c>
      <c r="L174" s="31">
        <f>(F174+G174+J174+K174)*$L$5</f>
        <v>9.30627</v>
      </c>
      <c r="M174" s="48">
        <f t="shared" si="102"/>
        <v>479.272905</v>
      </c>
      <c r="N174" s="48"/>
      <c r="O174" s="48">
        <f t="shared" si="101"/>
        <v>8147.639385</v>
      </c>
      <c r="P174" s="32"/>
      <c r="R174" s="46">
        <f t="shared" si="76"/>
        <v>8147.639385</v>
      </c>
      <c r="S174" s="46">
        <f t="shared" si="77"/>
        <v>319.51527</v>
      </c>
      <c r="T174" s="46" t="b">
        <f t="shared" si="78"/>
        <v>0</v>
      </c>
      <c r="U174" s="46" t="b">
        <f t="shared" si="79"/>
        <v>1</v>
      </c>
    </row>
    <row r="175" s="46" customFormat="1" ht="56.25" outlineLevel="1" spans="1:21">
      <c r="A175" s="32">
        <v>156</v>
      </c>
      <c r="B175" s="32" t="s">
        <v>360</v>
      </c>
      <c r="C175" s="32" t="s">
        <v>364</v>
      </c>
      <c r="D175" s="32" t="s">
        <v>273</v>
      </c>
      <c r="E175" s="32">
        <v>6</v>
      </c>
      <c r="F175" s="32">
        <f t="shared" ref="F175:J175" si="110">F28</f>
        <v>0</v>
      </c>
      <c r="G175" s="48">
        <f t="shared" si="99"/>
        <v>0</v>
      </c>
      <c r="H175" s="32">
        <f t="shared" si="110"/>
        <v>0</v>
      </c>
      <c r="I175" s="49">
        <f t="shared" si="110"/>
        <v>0</v>
      </c>
      <c r="J175" s="30">
        <f t="shared" si="110"/>
        <v>0</v>
      </c>
      <c r="K175" s="31">
        <f>(F175+G175+J175)*$K$5</f>
        <v>0</v>
      </c>
      <c r="L175" s="31">
        <f>(F175+G175+J175+K175)*$L$5</f>
        <v>0</v>
      </c>
      <c r="M175" s="48">
        <f t="shared" si="102"/>
        <v>0</v>
      </c>
      <c r="N175" s="48"/>
      <c r="O175" s="48">
        <f t="shared" si="101"/>
        <v>0</v>
      </c>
      <c r="P175" s="32" t="s">
        <v>365</v>
      </c>
      <c r="R175" s="46">
        <f t="shared" si="76"/>
        <v>0</v>
      </c>
      <c r="S175" s="46">
        <f t="shared" si="77"/>
        <v>0</v>
      </c>
      <c r="T175" s="46" t="b">
        <f t="shared" si="78"/>
        <v>1</v>
      </c>
      <c r="U175" s="46" t="b">
        <f t="shared" si="79"/>
        <v>1</v>
      </c>
    </row>
    <row r="176" s="46" customFormat="1" ht="56.25" outlineLevel="1" spans="1:21">
      <c r="A176" s="32">
        <v>157</v>
      </c>
      <c r="B176" s="32" t="s">
        <v>360</v>
      </c>
      <c r="C176" s="32" t="s">
        <v>528</v>
      </c>
      <c r="D176" s="32" t="s">
        <v>102</v>
      </c>
      <c r="E176" s="32">
        <v>27.68</v>
      </c>
      <c r="F176" s="32">
        <f t="shared" ref="F176:J176" si="111">F26</f>
        <v>20</v>
      </c>
      <c r="G176" s="48">
        <f t="shared" si="99"/>
        <v>25.25</v>
      </c>
      <c r="H176" s="48">
        <f>H29</f>
        <v>25</v>
      </c>
      <c r="I176" s="49">
        <f t="shared" si="111"/>
        <v>0.01</v>
      </c>
      <c r="J176" s="30">
        <f t="shared" si="111"/>
        <v>5</v>
      </c>
      <c r="K176" s="31">
        <f>(F176+G176+J176)*$K$5</f>
        <v>3.015</v>
      </c>
      <c r="L176" s="31">
        <f>(F176+G176+J176+K176)*$L$5</f>
        <v>1.59795</v>
      </c>
      <c r="M176" s="48">
        <f t="shared" si="102"/>
        <v>82.294425</v>
      </c>
      <c r="N176" s="48"/>
      <c r="O176" s="48">
        <f t="shared" si="101"/>
        <v>2277.909684</v>
      </c>
      <c r="P176" s="32"/>
      <c r="R176" s="46">
        <f t="shared" si="76"/>
        <v>2277.909684</v>
      </c>
      <c r="S176" s="46">
        <f t="shared" si="77"/>
        <v>54.86295</v>
      </c>
      <c r="T176" s="46" t="b">
        <f t="shared" si="78"/>
        <v>0</v>
      </c>
      <c r="U176" s="46" t="b">
        <f t="shared" si="79"/>
        <v>1</v>
      </c>
    </row>
    <row r="177" s="46" customFormat="1" ht="33.75" outlineLevel="1" spans="1:21">
      <c r="A177" s="32">
        <v>158</v>
      </c>
      <c r="B177" s="32" t="s">
        <v>369</v>
      </c>
      <c r="C177" s="32" t="s">
        <v>370</v>
      </c>
      <c r="D177" s="32" t="s">
        <v>96</v>
      </c>
      <c r="E177" s="32">
        <v>1</v>
      </c>
      <c r="F177" s="32">
        <f t="shared" ref="F177:J177" si="112">F32</f>
        <v>15</v>
      </c>
      <c r="G177" s="48">
        <f t="shared" si="99"/>
        <v>28.28</v>
      </c>
      <c r="H177" s="48">
        <f t="shared" si="112"/>
        <v>28</v>
      </c>
      <c r="I177" s="49">
        <f t="shared" si="112"/>
        <v>0.01</v>
      </c>
      <c r="J177" s="31">
        <f t="shared" si="112"/>
        <v>5</v>
      </c>
      <c r="K177" s="31">
        <f>(F177+G177+J177)*$K$5</f>
        <v>2.8968</v>
      </c>
      <c r="L177" s="31">
        <f>(F177+G177+J177+K177)*$L$5</f>
        <v>1.535304</v>
      </c>
      <c r="M177" s="48">
        <f t="shared" si="102"/>
        <v>79.068156</v>
      </c>
      <c r="N177" s="48"/>
      <c r="O177" s="48">
        <f t="shared" si="101"/>
        <v>79.068156</v>
      </c>
      <c r="P177" s="32"/>
      <c r="R177" s="46">
        <f t="shared" si="76"/>
        <v>79.068156</v>
      </c>
      <c r="S177" s="46">
        <f t="shared" si="77"/>
        <v>52.712104</v>
      </c>
      <c r="T177" s="46" t="b">
        <f t="shared" si="78"/>
        <v>0</v>
      </c>
      <c r="U177" s="46" t="b">
        <f t="shared" si="79"/>
        <v>1</v>
      </c>
    </row>
    <row r="178" s="46" customFormat="1" ht="33.75" outlineLevel="1" spans="1:21">
      <c r="A178" s="32">
        <v>159</v>
      </c>
      <c r="B178" s="32" t="s">
        <v>369</v>
      </c>
      <c r="C178" s="32" t="s">
        <v>373</v>
      </c>
      <c r="D178" s="32" t="s">
        <v>96</v>
      </c>
      <c r="E178" s="32">
        <v>5</v>
      </c>
      <c r="F178" s="32">
        <f t="shared" ref="F178:J178" si="113">F32</f>
        <v>15</v>
      </c>
      <c r="G178" s="48">
        <f t="shared" si="99"/>
        <v>61.61</v>
      </c>
      <c r="H178" s="48">
        <f>H34</f>
        <v>61</v>
      </c>
      <c r="I178" s="49">
        <f t="shared" si="113"/>
        <v>0.01</v>
      </c>
      <c r="J178" s="31">
        <f t="shared" si="113"/>
        <v>5</v>
      </c>
      <c r="K178" s="31">
        <f>(F178+G178+J178)*$K$5</f>
        <v>4.8966</v>
      </c>
      <c r="L178" s="31">
        <f>(F178+G178+J178+K178)*$L$5</f>
        <v>2.595198</v>
      </c>
      <c r="M178" s="48">
        <f t="shared" si="102"/>
        <v>133.652697</v>
      </c>
      <c r="N178" s="48"/>
      <c r="O178" s="48">
        <f t="shared" si="101"/>
        <v>668.263485</v>
      </c>
      <c r="P178" s="32"/>
      <c r="R178" s="46">
        <f t="shared" si="76"/>
        <v>668.263485</v>
      </c>
      <c r="S178" s="46">
        <f t="shared" si="77"/>
        <v>89.101798</v>
      </c>
      <c r="T178" s="46" t="b">
        <f t="shared" si="78"/>
        <v>0</v>
      </c>
      <c r="U178" s="46" t="b">
        <f t="shared" si="79"/>
        <v>1</v>
      </c>
    </row>
    <row r="179" s="46" customFormat="1" ht="33.75" outlineLevel="1" spans="1:21">
      <c r="A179" s="32">
        <v>160</v>
      </c>
      <c r="B179" s="32" t="s">
        <v>369</v>
      </c>
      <c r="C179" s="32" t="s">
        <v>529</v>
      </c>
      <c r="D179" s="32" t="s">
        <v>96</v>
      </c>
      <c r="E179" s="32">
        <v>1</v>
      </c>
      <c r="F179" s="32">
        <f t="shared" ref="F179:J179" si="114">F32</f>
        <v>15</v>
      </c>
      <c r="G179" s="48">
        <f t="shared" si="99"/>
        <v>55.55</v>
      </c>
      <c r="H179" s="48">
        <v>55</v>
      </c>
      <c r="I179" s="49">
        <f t="shared" si="114"/>
        <v>0.01</v>
      </c>
      <c r="J179" s="31">
        <f t="shared" si="114"/>
        <v>5</v>
      </c>
      <c r="K179" s="31">
        <f>(F179+G179+J179)*$K$5</f>
        <v>4.533</v>
      </c>
      <c r="L179" s="31">
        <f>(F179+G179+J179+K179)*$L$5</f>
        <v>2.40249</v>
      </c>
      <c r="M179" s="48">
        <f t="shared" si="102"/>
        <v>123.728235</v>
      </c>
      <c r="N179" s="48"/>
      <c r="O179" s="48">
        <f t="shared" si="101"/>
        <v>123.728235</v>
      </c>
      <c r="P179" s="32"/>
      <c r="R179" s="46">
        <f t="shared" si="76"/>
        <v>123.728235</v>
      </c>
      <c r="S179" s="46">
        <f t="shared" si="77"/>
        <v>82.48549</v>
      </c>
      <c r="T179" s="46" t="b">
        <f t="shared" si="78"/>
        <v>0</v>
      </c>
      <c r="U179" s="46" t="b">
        <f t="shared" si="79"/>
        <v>1</v>
      </c>
    </row>
    <row r="180" s="46" customFormat="1" ht="33.75" outlineLevel="1" spans="1:21">
      <c r="A180" s="32">
        <v>161</v>
      </c>
      <c r="B180" s="32" t="s">
        <v>369</v>
      </c>
      <c r="C180" s="32" t="s">
        <v>530</v>
      </c>
      <c r="D180" s="32" t="s">
        <v>96</v>
      </c>
      <c r="E180" s="32">
        <v>1</v>
      </c>
      <c r="F180" s="32">
        <f t="shared" ref="F180:J180" si="115">F32</f>
        <v>15</v>
      </c>
      <c r="G180" s="48">
        <f t="shared" si="99"/>
        <v>166.65</v>
      </c>
      <c r="H180" s="48">
        <v>165</v>
      </c>
      <c r="I180" s="49">
        <f t="shared" si="115"/>
        <v>0.01</v>
      </c>
      <c r="J180" s="31">
        <f t="shared" si="115"/>
        <v>5</v>
      </c>
      <c r="K180" s="31">
        <f>(F180+G180+J180)*$K$5</f>
        <v>11.199</v>
      </c>
      <c r="L180" s="31">
        <f>(F180+G180+J180+K180)*$L$5</f>
        <v>5.93547</v>
      </c>
      <c r="M180" s="48">
        <f t="shared" si="102"/>
        <v>305.676705</v>
      </c>
      <c r="N180" s="48"/>
      <c r="O180" s="48">
        <f t="shared" si="101"/>
        <v>305.676705</v>
      </c>
      <c r="P180" s="32"/>
      <c r="R180" s="46">
        <f t="shared" si="76"/>
        <v>305.676705</v>
      </c>
      <c r="S180" s="46">
        <f t="shared" si="77"/>
        <v>203.78447</v>
      </c>
      <c r="T180" s="46" t="b">
        <f t="shared" si="78"/>
        <v>0</v>
      </c>
      <c r="U180" s="46" t="b">
        <f t="shared" si="79"/>
        <v>1</v>
      </c>
    </row>
    <row r="181" s="46" customFormat="1" ht="33.75" outlineLevel="1" spans="1:21">
      <c r="A181" s="32">
        <v>162</v>
      </c>
      <c r="B181" s="32" t="s">
        <v>375</v>
      </c>
      <c r="C181" s="32" t="s">
        <v>376</v>
      </c>
      <c r="D181" s="32" t="s">
        <v>96</v>
      </c>
      <c r="E181" s="32">
        <v>4</v>
      </c>
      <c r="F181" s="32">
        <f t="shared" ref="F181:J181" si="116">F36</f>
        <v>25</v>
      </c>
      <c r="G181" s="48">
        <f t="shared" si="99"/>
        <v>186.85</v>
      </c>
      <c r="H181" s="48">
        <f t="shared" si="116"/>
        <v>185</v>
      </c>
      <c r="I181" s="49">
        <f t="shared" si="116"/>
        <v>0.01</v>
      </c>
      <c r="J181" s="31">
        <f t="shared" si="116"/>
        <v>5</v>
      </c>
      <c r="K181" s="31">
        <f>(F181+G181+J181)*$K$5</f>
        <v>13.011</v>
      </c>
      <c r="L181" s="31">
        <f>(F181+G181+J181+K181)*$L$5</f>
        <v>6.89583</v>
      </c>
      <c r="M181" s="48">
        <f t="shared" si="102"/>
        <v>355.135245</v>
      </c>
      <c r="N181" s="48"/>
      <c r="O181" s="48">
        <f t="shared" si="101"/>
        <v>1420.54098</v>
      </c>
      <c r="P181" s="32"/>
      <c r="R181" s="46">
        <f t="shared" si="76"/>
        <v>1420.54098</v>
      </c>
      <c r="S181" s="46">
        <f t="shared" si="77"/>
        <v>236.75683</v>
      </c>
      <c r="T181" s="46" t="b">
        <f t="shared" si="78"/>
        <v>0</v>
      </c>
      <c r="U181" s="46" t="b">
        <f t="shared" si="79"/>
        <v>1</v>
      </c>
    </row>
    <row r="182" s="46" customFormat="1" ht="45" outlineLevel="1" spans="1:21">
      <c r="A182" s="32">
        <v>163</v>
      </c>
      <c r="B182" s="32" t="s">
        <v>377</v>
      </c>
      <c r="C182" s="32" t="s">
        <v>378</v>
      </c>
      <c r="D182" s="32" t="s">
        <v>96</v>
      </c>
      <c r="E182" s="32">
        <v>13</v>
      </c>
      <c r="F182" s="32">
        <f>F37</f>
        <v>15</v>
      </c>
      <c r="G182" s="48">
        <f t="shared" si="99"/>
        <v>28.28</v>
      </c>
      <c r="H182" s="48">
        <f t="shared" ref="H182:H185" si="117">H37</f>
        <v>28</v>
      </c>
      <c r="I182" s="49">
        <f>I32</f>
        <v>0.01</v>
      </c>
      <c r="J182" s="31">
        <f>J32</f>
        <v>5</v>
      </c>
      <c r="K182" s="31">
        <f>(F182+G182+J182)*$K$5</f>
        <v>2.8968</v>
      </c>
      <c r="L182" s="31">
        <f>(F182+G182+J182+K182)*$L$5</f>
        <v>1.535304</v>
      </c>
      <c r="M182" s="48">
        <f t="shared" si="102"/>
        <v>79.068156</v>
      </c>
      <c r="N182" s="48"/>
      <c r="O182" s="48">
        <f t="shared" si="101"/>
        <v>1027.886028</v>
      </c>
      <c r="P182" s="32"/>
      <c r="R182" s="46">
        <f t="shared" si="76"/>
        <v>1027.886028</v>
      </c>
      <c r="S182" s="46">
        <f t="shared" si="77"/>
        <v>52.712104</v>
      </c>
      <c r="T182" s="46" t="b">
        <f t="shared" si="78"/>
        <v>0</v>
      </c>
      <c r="U182" s="46" t="b">
        <f t="shared" si="79"/>
        <v>1</v>
      </c>
    </row>
    <row r="183" s="46" customFormat="1" ht="45" outlineLevel="1" spans="1:21">
      <c r="A183" s="32">
        <v>164</v>
      </c>
      <c r="B183" s="32" t="s">
        <v>377</v>
      </c>
      <c r="C183" s="32" t="s">
        <v>379</v>
      </c>
      <c r="D183" s="32" t="s">
        <v>96</v>
      </c>
      <c r="E183" s="32">
        <v>3</v>
      </c>
      <c r="F183" s="32">
        <f>F37</f>
        <v>15</v>
      </c>
      <c r="G183" s="48">
        <f t="shared" si="99"/>
        <v>267.65</v>
      </c>
      <c r="H183" s="48">
        <f t="shared" si="117"/>
        <v>265</v>
      </c>
      <c r="I183" s="49">
        <f>I32</f>
        <v>0.01</v>
      </c>
      <c r="J183" s="31">
        <f>J32</f>
        <v>5</v>
      </c>
      <c r="K183" s="31">
        <f>(F183+G183+J183)*$K$5</f>
        <v>17.259</v>
      </c>
      <c r="L183" s="31">
        <f>(F183+G183+J183+K183)*$L$5</f>
        <v>9.14727</v>
      </c>
      <c r="M183" s="48">
        <f t="shared" si="102"/>
        <v>471.084405</v>
      </c>
      <c r="N183" s="48"/>
      <c r="O183" s="48">
        <f t="shared" si="101"/>
        <v>1413.253215</v>
      </c>
      <c r="P183" s="32"/>
      <c r="R183" s="46">
        <f t="shared" si="76"/>
        <v>1413.253215</v>
      </c>
      <c r="S183" s="46">
        <f t="shared" si="77"/>
        <v>314.05627</v>
      </c>
      <c r="T183" s="46" t="b">
        <f t="shared" si="78"/>
        <v>0</v>
      </c>
      <c r="U183" s="46" t="b">
        <f t="shared" si="79"/>
        <v>1</v>
      </c>
    </row>
    <row r="184" s="46" customFormat="1" ht="33.75" outlineLevel="1" spans="1:21">
      <c r="A184" s="32">
        <v>165</v>
      </c>
      <c r="B184" s="32" t="s">
        <v>381</v>
      </c>
      <c r="C184" s="32" t="s">
        <v>382</v>
      </c>
      <c r="D184" s="32" t="s">
        <v>96</v>
      </c>
      <c r="E184" s="32">
        <v>28</v>
      </c>
      <c r="F184" s="32">
        <f t="shared" ref="F184:J184" si="118">F40</f>
        <v>5</v>
      </c>
      <c r="G184" s="48">
        <f t="shared" si="99"/>
        <v>3.3128</v>
      </c>
      <c r="H184" s="48">
        <f t="shared" si="118"/>
        <v>3.28</v>
      </c>
      <c r="I184" s="49">
        <f t="shared" si="118"/>
        <v>0.01</v>
      </c>
      <c r="J184" s="31">
        <f t="shared" si="118"/>
        <v>2</v>
      </c>
      <c r="K184" s="31">
        <f>(F184+G184+J184)*$K$5</f>
        <v>0.618768</v>
      </c>
      <c r="L184" s="31">
        <f>(F184+G184+J184+K184)*$L$5</f>
        <v>0.32794704</v>
      </c>
      <c r="M184" s="48">
        <f t="shared" si="102"/>
        <v>16.88927256</v>
      </c>
      <c r="N184" s="48"/>
      <c r="O184" s="48">
        <f t="shared" si="101"/>
        <v>472.89963168</v>
      </c>
      <c r="P184" s="32"/>
      <c r="R184" s="46">
        <f t="shared" si="76"/>
        <v>472.89963168</v>
      </c>
      <c r="S184" s="46">
        <f t="shared" si="77"/>
        <v>11.25951504</v>
      </c>
      <c r="T184" s="46" t="b">
        <f t="shared" si="78"/>
        <v>0</v>
      </c>
      <c r="U184" s="46" t="b">
        <f t="shared" si="79"/>
        <v>1</v>
      </c>
    </row>
    <row r="185" s="46" customFormat="1" ht="33.75" outlineLevel="1" spans="1:21">
      <c r="A185" s="32">
        <v>166</v>
      </c>
      <c r="B185" s="32" t="s">
        <v>381</v>
      </c>
      <c r="C185" s="32" t="s">
        <v>383</v>
      </c>
      <c r="D185" s="32" t="s">
        <v>96</v>
      </c>
      <c r="E185" s="32">
        <v>102</v>
      </c>
      <c r="F185" s="32">
        <f t="shared" ref="F185:J185" si="119">F40</f>
        <v>5</v>
      </c>
      <c r="G185" s="48">
        <f t="shared" si="99"/>
        <v>3.3128</v>
      </c>
      <c r="H185" s="48">
        <f t="shared" si="117"/>
        <v>3.28</v>
      </c>
      <c r="I185" s="49">
        <f t="shared" si="119"/>
        <v>0.01</v>
      </c>
      <c r="J185" s="31">
        <f t="shared" si="119"/>
        <v>2</v>
      </c>
      <c r="K185" s="31">
        <f>(F185+G185+J185)*$K$5</f>
        <v>0.618768</v>
      </c>
      <c r="L185" s="31">
        <f>(F185+G185+J185+K185)*$L$5</f>
        <v>0.32794704</v>
      </c>
      <c r="M185" s="48">
        <f t="shared" si="102"/>
        <v>16.88927256</v>
      </c>
      <c r="N185" s="48"/>
      <c r="O185" s="48">
        <f t="shared" si="101"/>
        <v>1722.70580112</v>
      </c>
      <c r="P185" s="32"/>
      <c r="R185" s="46">
        <f t="shared" si="76"/>
        <v>1722.70580112</v>
      </c>
      <c r="S185" s="46">
        <f t="shared" si="77"/>
        <v>11.25951504</v>
      </c>
      <c r="T185" s="46" t="b">
        <f t="shared" si="78"/>
        <v>0</v>
      </c>
      <c r="U185" s="46" t="b">
        <f t="shared" si="79"/>
        <v>1</v>
      </c>
    </row>
    <row r="186" s="46" customFormat="1" spans="1:21">
      <c r="A186" s="32"/>
      <c r="B186" s="32" t="s">
        <v>387</v>
      </c>
      <c r="C186" s="32"/>
      <c r="D186" s="32"/>
      <c r="E186" s="32"/>
      <c r="F186" s="32"/>
      <c r="G186" s="48"/>
      <c r="H186" s="48"/>
      <c r="I186" s="49"/>
      <c r="J186" s="31"/>
      <c r="K186" s="31"/>
      <c r="L186" s="31"/>
      <c r="M186" s="48">
        <f t="shared" si="102"/>
        <v>0</v>
      </c>
      <c r="N186" s="48"/>
      <c r="O186" s="48"/>
      <c r="P186" s="32"/>
      <c r="R186" s="46">
        <f t="shared" si="76"/>
        <v>0</v>
      </c>
      <c r="S186" s="46">
        <f t="shared" si="77"/>
        <v>0</v>
      </c>
      <c r="T186" s="46" t="b">
        <f t="shared" si="78"/>
        <v>1</v>
      </c>
      <c r="U186" s="46" t="b">
        <f t="shared" si="79"/>
        <v>1</v>
      </c>
    </row>
    <row r="187" s="46" customFormat="1" ht="56.25" outlineLevel="1" spans="1:21">
      <c r="A187" s="32">
        <v>167</v>
      </c>
      <c r="B187" s="32" t="s">
        <v>344</v>
      </c>
      <c r="C187" s="32" t="s">
        <v>345</v>
      </c>
      <c r="D187" s="32" t="s">
        <v>102</v>
      </c>
      <c r="E187" s="32">
        <v>70.95</v>
      </c>
      <c r="F187" s="32">
        <f t="shared" ref="F187:J187" si="120">F157</f>
        <v>10</v>
      </c>
      <c r="G187" s="48">
        <f t="shared" ref="G187:G199" si="121">H187*(1+I187)</f>
        <v>5.665</v>
      </c>
      <c r="H187" s="32">
        <f t="shared" si="120"/>
        <v>5.5</v>
      </c>
      <c r="I187" s="49">
        <f t="shared" si="120"/>
        <v>0.03</v>
      </c>
      <c r="J187" s="30">
        <f t="shared" si="120"/>
        <v>2</v>
      </c>
      <c r="K187" s="31">
        <f>(F187+G187+J187)*$K$5</f>
        <v>1.0599</v>
      </c>
      <c r="L187" s="31">
        <f>(F187+G187+J187+K187)*$L$5</f>
        <v>0.561747</v>
      </c>
      <c r="M187" s="48">
        <f t="shared" ref="M187:M218" si="122">(F187+G187+J187+K187+L187)*1.5</f>
        <v>28.9299705</v>
      </c>
      <c r="N187" s="48"/>
      <c r="O187" s="48">
        <f t="shared" ref="O187:O199" si="123">M187*E187</f>
        <v>2052.581406975</v>
      </c>
      <c r="P187" s="32"/>
      <c r="R187" s="46">
        <f t="shared" si="76"/>
        <v>2052.581406975</v>
      </c>
      <c r="S187" s="46">
        <f t="shared" si="77"/>
        <v>19.286647</v>
      </c>
      <c r="T187" s="46" t="b">
        <f t="shared" si="78"/>
        <v>0</v>
      </c>
      <c r="U187" s="46" t="b">
        <f t="shared" si="79"/>
        <v>1</v>
      </c>
    </row>
    <row r="188" s="46" customFormat="1" ht="56.25" outlineLevel="1" spans="1:21">
      <c r="A188" s="32">
        <v>168</v>
      </c>
      <c r="B188" s="32" t="s">
        <v>344</v>
      </c>
      <c r="C188" s="32" t="s">
        <v>347</v>
      </c>
      <c r="D188" s="32" t="s">
        <v>102</v>
      </c>
      <c r="E188" s="32">
        <v>2.3</v>
      </c>
      <c r="F188" s="32">
        <f t="shared" ref="F188:J188" si="124">F158</f>
        <v>10</v>
      </c>
      <c r="G188" s="48">
        <f t="shared" si="121"/>
        <v>5.665</v>
      </c>
      <c r="H188" s="32">
        <f t="shared" si="124"/>
        <v>5.5</v>
      </c>
      <c r="I188" s="49">
        <f t="shared" si="124"/>
        <v>0.03</v>
      </c>
      <c r="J188" s="30">
        <f t="shared" si="124"/>
        <v>2</v>
      </c>
      <c r="K188" s="31">
        <f>(F188+G188+J188)*$K$5</f>
        <v>1.0599</v>
      </c>
      <c r="L188" s="31">
        <f>(F188+G188+J188+K188)*$L$5</f>
        <v>0.561747</v>
      </c>
      <c r="M188" s="48">
        <f t="shared" si="122"/>
        <v>28.9299705</v>
      </c>
      <c r="N188" s="48"/>
      <c r="O188" s="48">
        <f t="shared" si="123"/>
        <v>66.53893215</v>
      </c>
      <c r="P188" s="32"/>
      <c r="R188" s="46">
        <f t="shared" si="76"/>
        <v>66.53893215</v>
      </c>
      <c r="S188" s="46">
        <f t="shared" si="77"/>
        <v>19.286647</v>
      </c>
      <c r="T188" s="46" t="b">
        <f t="shared" si="78"/>
        <v>0</v>
      </c>
      <c r="U188" s="46" t="b">
        <f t="shared" si="79"/>
        <v>1</v>
      </c>
    </row>
    <row r="189" s="46" customFormat="1" ht="56.25" outlineLevel="1" spans="1:21">
      <c r="A189" s="32">
        <v>169</v>
      </c>
      <c r="B189" s="32" t="s">
        <v>344</v>
      </c>
      <c r="C189" s="32" t="s">
        <v>348</v>
      </c>
      <c r="D189" s="32" t="s">
        <v>102</v>
      </c>
      <c r="E189" s="32">
        <v>7.06</v>
      </c>
      <c r="F189" s="32">
        <f t="shared" ref="F189:J189" si="125">F159</f>
        <v>10</v>
      </c>
      <c r="G189" s="48">
        <f t="shared" si="121"/>
        <v>8.858</v>
      </c>
      <c r="H189" s="32">
        <f t="shared" si="125"/>
        <v>8.6</v>
      </c>
      <c r="I189" s="49">
        <f t="shared" si="125"/>
        <v>0.03</v>
      </c>
      <c r="J189" s="30">
        <f t="shared" si="125"/>
        <v>2</v>
      </c>
      <c r="K189" s="31">
        <f>(F189+G189+J189)*$K$5</f>
        <v>1.25148</v>
      </c>
      <c r="L189" s="31">
        <f>(F189+G189+J189+K189)*$L$5</f>
        <v>0.6632844</v>
      </c>
      <c r="M189" s="48">
        <f t="shared" si="122"/>
        <v>34.1591466</v>
      </c>
      <c r="N189" s="48"/>
      <c r="O189" s="48">
        <f t="shared" si="123"/>
        <v>241.163574996</v>
      </c>
      <c r="P189" s="32"/>
      <c r="R189" s="46">
        <f t="shared" si="76"/>
        <v>241.163574996</v>
      </c>
      <c r="S189" s="46">
        <f t="shared" si="77"/>
        <v>22.7727644</v>
      </c>
      <c r="T189" s="46" t="b">
        <f t="shared" si="78"/>
        <v>0</v>
      </c>
      <c r="U189" s="46" t="b">
        <f t="shared" si="79"/>
        <v>1</v>
      </c>
    </row>
    <row r="190" s="46" customFormat="1" ht="56.25" outlineLevel="1" spans="1:21">
      <c r="A190" s="32">
        <v>170</v>
      </c>
      <c r="B190" s="32" t="s">
        <v>344</v>
      </c>
      <c r="C190" s="32" t="s">
        <v>349</v>
      </c>
      <c r="D190" s="32" t="s">
        <v>102</v>
      </c>
      <c r="E190" s="32">
        <v>0.3</v>
      </c>
      <c r="F190" s="32">
        <f t="shared" ref="F190:J190" si="126">F160</f>
        <v>10</v>
      </c>
      <c r="G190" s="48">
        <f t="shared" si="121"/>
        <v>8.858</v>
      </c>
      <c r="H190" s="32">
        <f t="shared" si="126"/>
        <v>8.6</v>
      </c>
      <c r="I190" s="49">
        <f t="shared" si="126"/>
        <v>0.03</v>
      </c>
      <c r="J190" s="30">
        <f t="shared" si="126"/>
        <v>2</v>
      </c>
      <c r="K190" s="31">
        <f>(F190+G190+J190)*$K$5</f>
        <v>1.25148</v>
      </c>
      <c r="L190" s="31">
        <f>(F190+G190+J190+K190)*$L$5</f>
        <v>0.6632844</v>
      </c>
      <c r="M190" s="48">
        <f t="shared" si="122"/>
        <v>34.1591466</v>
      </c>
      <c r="N190" s="48"/>
      <c r="O190" s="48">
        <f t="shared" si="123"/>
        <v>10.24774398</v>
      </c>
      <c r="P190" s="32"/>
      <c r="R190" s="46">
        <f t="shared" si="76"/>
        <v>10.24774398</v>
      </c>
      <c r="S190" s="46">
        <f t="shared" si="77"/>
        <v>22.7727644</v>
      </c>
      <c r="T190" s="46" t="b">
        <f t="shared" si="78"/>
        <v>0</v>
      </c>
      <c r="U190" s="46" t="b">
        <f t="shared" si="79"/>
        <v>1</v>
      </c>
    </row>
    <row r="191" s="46" customFormat="1" ht="56.25" outlineLevel="1" spans="1:21">
      <c r="A191" s="32">
        <v>171</v>
      </c>
      <c r="B191" s="32" t="s">
        <v>354</v>
      </c>
      <c r="C191" s="32" t="s">
        <v>390</v>
      </c>
      <c r="D191" s="32" t="s">
        <v>102</v>
      </c>
      <c r="E191" s="32">
        <v>17.02</v>
      </c>
      <c r="F191" s="48">
        <f t="shared" ref="F191:F193" si="127">F53</f>
        <v>3</v>
      </c>
      <c r="G191" s="48">
        <f t="shared" si="121"/>
        <v>3.248</v>
      </c>
      <c r="H191" s="48">
        <v>2.8</v>
      </c>
      <c r="I191" s="49">
        <f t="shared" ref="I191:I194" si="128">I55</f>
        <v>0.16</v>
      </c>
      <c r="J191" s="31">
        <f t="shared" ref="J191:J193" si="129">J53</f>
        <v>0.5</v>
      </c>
      <c r="K191" s="31">
        <f>(F191+G191+J191)*$K$5</f>
        <v>0.40488</v>
      </c>
      <c r="L191" s="31">
        <f>(F191+G191+J191+K191)*$L$5</f>
        <v>0.2145864</v>
      </c>
      <c r="M191" s="48">
        <f t="shared" si="122"/>
        <v>11.0511996</v>
      </c>
      <c r="N191" s="48"/>
      <c r="O191" s="48">
        <f t="shared" si="123"/>
        <v>188.091417192</v>
      </c>
      <c r="P191" s="32"/>
      <c r="R191" s="46">
        <f t="shared" si="76"/>
        <v>188.091417192</v>
      </c>
      <c r="S191" s="46">
        <f t="shared" si="77"/>
        <v>7.3674664</v>
      </c>
      <c r="T191" s="46" t="b">
        <f t="shared" si="78"/>
        <v>0</v>
      </c>
      <c r="U191" s="46" t="b">
        <f t="shared" si="79"/>
        <v>1</v>
      </c>
    </row>
    <row r="192" s="46" customFormat="1" ht="56.25" outlineLevel="1" spans="1:21">
      <c r="A192" s="32">
        <v>172</v>
      </c>
      <c r="B192" s="32" t="s">
        <v>354</v>
      </c>
      <c r="C192" s="32" t="s">
        <v>391</v>
      </c>
      <c r="D192" s="32" t="s">
        <v>102</v>
      </c>
      <c r="E192" s="32">
        <v>25.25</v>
      </c>
      <c r="F192" s="48">
        <f t="shared" si="127"/>
        <v>3</v>
      </c>
      <c r="G192" s="48">
        <f t="shared" si="121"/>
        <v>3.248</v>
      </c>
      <c r="H192" s="48">
        <f>H191</f>
        <v>2.8</v>
      </c>
      <c r="I192" s="49">
        <f t="shared" si="128"/>
        <v>0.16</v>
      </c>
      <c r="J192" s="31">
        <f t="shared" si="129"/>
        <v>0.5</v>
      </c>
      <c r="K192" s="31">
        <f>(F192+G192+J192)*$K$5</f>
        <v>0.40488</v>
      </c>
      <c r="L192" s="31">
        <f>(F192+G192+J192+K192)*$L$5</f>
        <v>0.2145864</v>
      </c>
      <c r="M192" s="48">
        <f t="shared" si="122"/>
        <v>11.0511996</v>
      </c>
      <c r="N192" s="48"/>
      <c r="O192" s="48">
        <f t="shared" si="123"/>
        <v>279.0427899</v>
      </c>
      <c r="P192" s="32"/>
      <c r="R192" s="46">
        <f t="shared" si="76"/>
        <v>279.0427899</v>
      </c>
      <c r="S192" s="46">
        <f t="shared" si="77"/>
        <v>7.3674664</v>
      </c>
      <c r="T192" s="46" t="b">
        <f t="shared" si="78"/>
        <v>0</v>
      </c>
      <c r="U192" s="46" t="b">
        <f t="shared" si="79"/>
        <v>1</v>
      </c>
    </row>
    <row r="193" s="46" customFormat="1" ht="56.25" outlineLevel="1" spans="1:21">
      <c r="A193" s="32">
        <v>173</v>
      </c>
      <c r="B193" s="32" t="s">
        <v>354</v>
      </c>
      <c r="C193" s="32" t="s">
        <v>393</v>
      </c>
      <c r="D193" s="32" t="s">
        <v>102</v>
      </c>
      <c r="E193" s="32">
        <v>24.76</v>
      </c>
      <c r="F193" s="48">
        <f t="shared" si="127"/>
        <v>3</v>
      </c>
      <c r="G193" s="48">
        <f t="shared" si="121"/>
        <v>4.06</v>
      </c>
      <c r="H193" s="48">
        <f>H54</f>
        <v>3.5</v>
      </c>
      <c r="I193" s="49">
        <f t="shared" si="128"/>
        <v>0.16</v>
      </c>
      <c r="J193" s="31">
        <f t="shared" si="129"/>
        <v>0.5</v>
      </c>
      <c r="K193" s="31">
        <f>(F193+G193+J193)*$K$5</f>
        <v>0.4536</v>
      </c>
      <c r="L193" s="31">
        <f>(F193+G193+J193+K193)*$L$5</f>
        <v>0.240408</v>
      </c>
      <c r="M193" s="48">
        <f t="shared" si="122"/>
        <v>12.381012</v>
      </c>
      <c r="N193" s="48"/>
      <c r="O193" s="48">
        <f t="shared" si="123"/>
        <v>306.55385712</v>
      </c>
      <c r="P193" s="32"/>
      <c r="R193" s="46">
        <f t="shared" si="76"/>
        <v>306.55385712</v>
      </c>
      <c r="S193" s="46">
        <f t="shared" si="77"/>
        <v>8.254008</v>
      </c>
      <c r="T193" s="46" t="b">
        <f t="shared" si="78"/>
        <v>0</v>
      </c>
      <c r="U193" s="46" t="b">
        <f t="shared" si="79"/>
        <v>1</v>
      </c>
    </row>
    <row r="194" s="46" customFormat="1" ht="56.25" outlineLevel="1" spans="1:21">
      <c r="A194" s="32">
        <v>174</v>
      </c>
      <c r="B194" s="32" t="s">
        <v>397</v>
      </c>
      <c r="C194" s="32" t="s">
        <v>398</v>
      </c>
      <c r="D194" s="32" t="s">
        <v>102</v>
      </c>
      <c r="E194" s="32">
        <v>142.49</v>
      </c>
      <c r="F194" s="32">
        <f t="shared" ref="F194:J194" si="130">F58</f>
        <v>3</v>
      </c>
      <c r="G194" s="48">
        <f t="shared" si="121"/>
        <v>4.06</v>
      </c>
      <c r="H194" s="32">
        <f t="shared" si="130"/>
        <v>3.5</v>
      </c>
      <c r="I194" s="49">
        <f t="shared" si="128"/>
        <v>0.16</v>
      </c>
      <c r="J194" s="30">
        <f t="shared" si="130"/>
        <v>0.5</v>
      </c>
      <c r="K194" s="31">
        <f>(F194+G194+J194)*$K$5</f>
        <v>0.4536</v>
      </c>
      <c r="L194" s="31">
        <f>(F194+G194+J194+K194)*$L$5</f>
        <v>0.240408</v>
      </c>
      <c r="M194" s="48">
        <f t="shared" si="122"/>
        <v>12.381012</v>
      </c>
      <c r="N194" s="48"/>
      <c r="O194" s="48">
        <f t="shared" si="123"/>
        <v>1764.17039988</v>
      </c>
      <c r="P194" s="32"/>
      <c r="R194" s="46">
        <f>E194*M194</f>
        <v>1764.17039988</v>
      </c>
      <c r="S194" s="46">
        <f>F194+G194+J194+K194+L194</f>
        <v>8.254008</v>
      </c>
      <c r="T194" s="46" t="b">
        <f>M194=S194</f>
        <v>0</v>
      </c>
      <c r="U194" s="46" t="b">
        <f>R194=O194</f>
        <v>1</v>
      </c>
    </row>
    <row r="195" s="46" customFormat="1" ht="56.25" outlineLevel="1" spans="1:21">
      <c r="A195" s="32">
        <v>175</v>
      </c>
      <c r="B195" s="32" t="s">
        <v>404</v>
      </c>
      <c r="C195" s="32" t="s">
        <v>405</v>
      </c>
      <c r="D195" s="32" t="s">
        <v>334</v>
      </c>
      <c r="E195" s="32">
        <v>1</v>
      </c>
      <c r="F195" s="32">
        <f t="shared" ref="F195:J195" si="131">F62</f>
        <v>35</v>
      </c>
      <c r="G195" s="48">
        <f t="shared" si="121"/>
        <v>166.65</v>
      </c>
      <c r="H195" s="32">
        <f t="shared" si="131"/>
        <v>165</v>
      </c>
      <c r="I195" s="49">
        <f t="shared" si="131"/>
        <v>0.01</v>
      </c>
      <c r="J195" s="30">
        <f t="shared" si="131"/>
        <v>5</v>
      </c>
      <c r="K195" s="31">
        <f>(F195+G195+J195)*$K$5</f>
        <v>12.399</v>
      </c>
      <c r="L195" s="31">
        <f>(F195+G195+J195+K195)*$L$5</f>
        <v>6.57147</v>
      </c>
      <c r="M195" s="48">
        <f t="shared" si="122"/>
        <v>338.430705</v>
      </c>
      <c r="N195" s="48"/>
      <c r="O195" s="48">
        <f t="shared" si="123"/>
        <v>338.430705</v>
      </c>
      <c r="P195" s="32"/>
      <c r="R195" s="46">
        <f>E195*M195</f>
        <v>338.430705</v>
      </c>
      <c r="S195" s="46">
        <f>F195+G195+J195+K195+L195</f>
        <v>225.62047</v>
      </c>
      <c r="T195" s="46" t="b">
        <f>M195=S195</f>
        <v>0</v>
      </c>
      <c r="U195" s="46" t="b">
        <f>R195=O195</f>
        <v>1</v>
      </c>
    </row>
    <row r="196" s="46" customFormat="1" ht="56.25" outlineLevel="1" spans="1:21">
      <c r="A196" s="32">
        <v>176</v>
      </c>
      <c r="B196" s="32" t="s">
        <v>407</v>
      </c>
      <c r="C196" s="32" t="s">
        <v>409</v>
      </c>
      <c r="D196" s="32" t="s">
        <v>96</v>
      </c>
      <c r="E196" s="32">
        <v>2</v>
      </c>
      <c r="F196" s="32">
        <f>F65</f>
        <v>15</v>
      </c>
      <c r="G196" s="48">
        <f t="shared" si="121"/>
        <v>161.6</v>
      </c>
      <c r="H196" s="48">
        <f>H65</f>
        <v>160</v>
      </c>
      <c r="I196" s="49">
        <f>I37</f>
        <v>0.01</v>
      </c>
      <c r="J196" s="31">
        <f>J37</f>
        <v>5</v>
      </c>
      <c r="K196" s="31">
        <f>(F196+G196+J196)*$K$5</f>
        <v>10.896</v>
      </c>
      <c r="L196" s="31">
        <f>(F196+G196+J196+K196)*$L$5</f>
        <v>5.77488</v>
      </c>
      <c r="M196" s="48">
        <f t="shared" si="122"/>
        <v>297.40632</v>
      </c>
      <c r="N196" s="48"/>
      <c r="O196" s="48">
        <f t="shared" si="123"/>
        <v>594.81264</v>
      </c>
      <c r="P196" s="32"/>
      <c r="R196" s="46">
        <f>E196*M196</f>
        <v>594.81264</v>
      </c>
      <c r="S196" s="46">
        <f>F196+G196+J196+K196+L196</f>
        <v>198.27088</v>
      </c>
      <c r="T196" s="46" t="b">
        <f>M196=S196</f>
        <v>0</v>
      </c>
      <c r="U196" s="46" t="b">
        <f>R196=O196</f>
        <v>1</v>
      </c>
    </row>
    <row r="197" s="46" customFormat="1" ht="45" outlineLevel="1" spans="1:21">
      <c r="A197" s="32">
        <v>177</v>
      </c>
      <c r="B197" s="32" t="s">
        <v>412</v>
      </c>
      <c r="C197" s="32" t="s">
        <v>413</v>
      </c>
      <c r="D197" s="32" t="s">
        <v>334</v>
      </c>
      <c r="E197" s="32">
        <v>4</v>
      </c>
      <c r="F197" s="32">
        <f t="shared" ref="F197:J197" si="132">F67</f>
        <v>65</v>
      </c>
      <c r="G197" s="48">
        <f t="shared" si="121"/>
        <v>484.8</v>
      </c>
      <c r="H197" s="32">
        <f t="shared" si="132"/>
        <v>480</v>
      </c>
      <c r="I197" s="49">
        <f t="shared" si="132"/>
        <v>0.01</v>
      </c>
      <c r="J197" s="30">
        <f t="shared" si="132"/>
        <v>15</v>
      </c>
      <c r="K197" s="31">
        <f>(F197+G197+J197)*$K$5</f>
        <v>33.888</v>
      </c>
      <c r="L197" s="31">
        <f>(F197+G197+J197+K197)*$L$5</f>
        <v>17.96064</v>
      </c>
      <c r="M197" s="48">
        <f t="shared" si="122"/>
        <v>924.97296</v>
      </c>
      <c r="N197" s="48"/>
      <c r="O197" s="48">
        <f t="shared" si="123"/>
        <v>3699.89184</v>
      </c>
      <c r="P197" s="32"/>
      <c r="R197" s="46">
        <f>E197*M197</f>
        <v>3699.89184</v>
      </c>
      <c r="S197" s="46">
        <f>F197+G197+J197+K197+L197</f>
        <v>616.64864</v>
      </c>
      <c r="T197" s="46" t="b">
        <f>M197=S197</f>
        <v>0</v>
      </c>
      <c r="U197" s="46" t="b">
        <f>R197=O197</f>
        <v>1</v>
      </c>
    </row>
    <row r="198" s="46" customFormat="1" ht="45" outlineLevel="1" spans="1:21">
      <c r="A198" s="32">
        <v>178</v>
      </c>
      <c r="B198" s="32" t="s">
        <v>414</v>
      </c>
      <c r="C198" s="32" t="s">
        <v>415</v>
      </c>
      <c r="D198" s="32" t="s">
        <v>334</v>
      </c>
      <c r="E198" s="32">
        <v>1</v>
      </c>
      <c r="F198" s="32">
        <f t="shared" ref="F198:J198" si="133">F68</f>
        <v>30</v>
      </c>
      <c r="G198" s="48">
        <f t="shared" si="121"/>
        <v>186.85</v>
      </c>
      <c r="H198" s="32">
        <f t="shared" si="133"/>
        <v>185</v>
      </c>
      <c r="I198" s="49">
        <f t="shared" si="133"/>
        <v>0.01</v>
      </c>
      <c r="J198" s="30">
        <f t="shared" si="133"/>
        <v>5</v>
      </c>
      <c r="K198" s="31">
        <f>(F198+G198+J198)*$K$5</f>
        <v>13.311</v>
      </c>
      <c r="L198" s="31">
        <f>(F198+G198+J198+K198)*$L$5</f>
        <v>7.05483</v>
      </c>
      <c r="M198" s="48">
        <f t="shared" si="122"/>
        <v>363.323745</v>
      </c>
      <c r="N198" s="48"/>
      <c r="O198" s="48">
        <f t="shared" si="123"/>
        <v>363.323745</v>
      </c>
      <c r="P198" s="32"/>
      <c r="R198" s="46">
        <f>E198*M198</f>
        <v>363.323745</v>
      </c>
      <c r="S198" s="46">
        <f>F198+G198+J198+K198+L198</f>
        <v>242.21583</v>
      </c>
      <c r="T198" s="46" t="b">
        <f>M198=S198</f>
        <v>0</v>
      </c>
      <c r="U198" s="46" t="b">
        <f>R198=O198</f>
        <v>1</v>
      </c>
    </row>
    <row r="199" s="46" customFormat="1" ht="33.75" outlineLevel="1" spans="1:21">
      <c r="A199" s="32">
        <v>179</v>
      </c>
      <c r="B199" s="32" t="s">
        <v>381</v>
      </c>
      <c r="C199" s="32" t="s">
        <v>383</v>
      </c>
      <c r="D199" s="32" t="s">
        <v>96</v>
      </c>
      <c r="E199" s="32">
        <v>8</v>
      </c>
      <c r="F199" s="32">
        <f t="shared" ref="F199:J199" si="134">F40</f>
        <v>5</v>
      </c>
      <c r="G199" s="48">
        <f t="shared" si="121"/>
        <v>3.3128</v>
      </c>
      <c r="H199" s="48">
        <f t="shared" si="134"/>
        <v>3.28</v>
      </c>
      <c r="I199" s="49">
        <f t="shared" si="134"/>
        <v>0.01</v>
      </c>
      <c r="J199" s="31">
        <f t="shared" si="134"/>
        <v>2</v>
      </c>
      <c r="K199" s="31">
        <f>(F199+G199+J199)*$K$5</f>
        <v>0.618768</v>
      </c>
      <c r="L199" s="31">
        <f>(F199+G199+J199+K199)*$L$5</f>
        <v>0.32794704</v>
      </c>
      <c r="M199" s="48">
        <f t="shared" si="122"/>
        <v>16.88927256</v>
      </c>
      <c r="N199" s="48"/>
      <c r="O199" s="48">
        <f t="shared" si="123"/>
        <v>135.11418048</v>
      </c>
      <c r="P199" s="32"/>
      <c r="R199" s="46">
        <f>E199*M199</f>
        <v>135.11418048</v>
      </c>
      <c r="S199" s="46">
        <f>F199+G199+J199+K199+L199</f>
        <v>11.25951504</v>
      </c>
      <c r="T199" s="46" t="b">
        <f>M199=S199</f>
        <v>0</v>
      </c>
      <c r="U199" s="46" t="b">
        <f>R199=O199</f>
        <v>1</v>
      </c>
    </row>
    <row r="200" s="46" customFormat="1" spans="1:21">
      <c r="A200" s="32"/>
      <c r="B200" s="32" t="s">
        <v>448</v>
      </c>
      <c r="C200" s="32"/>
      <c r="D200" s="32"/>
      <c r="E200" s="32"/>
      <c r="F200" s="32"/>
      <c r="G200" s="48"/>
      <c r="H200" s="48"/>
      <c r="I200" s="49"/>
      <c r="J200" s="31"/>
      <c r="K200" s="31"/>
      <c r="L200" s="31"/>
      <c r="M200" s="48">
        <f t="shared" si="122"/>
        <v>0</v>
      </c>
      <c r="N200" s="48"/>
      <c r="O200" s="48"/>
      <c r="P200" s="32"/>
      <c r="R200" s="46">
        <f>E200*M200</f>
        <v>0</v>
      </c>
      <c r="S200" s="46">
        <f>F200+G200+J200+K200+L200</f>
        <v>0</v>
      </c>
      <c r="T200" s="46" t="b">
        <f>M200=S200</f>
        <v>1</v>
      </c>
      <c r="U200" s="46" t="b">
        <f>R200=O200</f>
        <v>1</v>
      </c>
    </row>
    <row r="201" s="46" customFormat="1" ht="104" customHeight="1" outlineLevel="1" spans="1:21">
      <c r="A201" s="32">
        <v>180</v>
      </c>
      <c r="B201" s="32" t="s">
        <v>453</v>
      </c>
      <c r="C201" s="32" t="s">
        <v>531</v>
      </c>
      <c r="D201" s="32" t="s">
        <v>334</v>
      </c>
      <c r="E201" s="32">
        <v>1</v>
      </c>
      <c r="F201" s="32">
        <v>3000</v>
      </c>
      <c r="G201" s="48">
        <f t="shared" ref="G201:G205" si="135">H201*(1+I201)</f>
        <v>82820</v>
      </c>
      <c r="H201" s="48">
        <v>82000</v>
      </c>
      <c r="I201" s="49">
        <v>0.01</v>
      </c>
      <c r="J201" s="31">
        <v>550</v>
      </c>
      <c r="K201" s="31">
        <f>(F201+G201+J201)*$K$5</f>
        <v>5182.2</v>
      </c>
      <c r="L201" s="31">
        <f>(F201+G201+J201+K201)*$L$5</f>
        <v>2746.566</v>
      </c>
      <c r="M201" s="48">
        <f t="shared" si="122"/>
        <v>141448.149</v>
      </c>
      <c r="N201" s="48"/>
      <c r="O201" s="48">
        <f t="shared" ref="O201:O205" si="136">M201*E201</f>
        <v>141448.149</v>
      </c>
      <c r="P201" s="58" t="s">
        <v>455</v>
      </c>
      <c r="R201" s="46">
        <f>E201*M201</f>
        <v>141448.149</v>
      </c>
      <c r="S201" s="46">
        <f>F201+G201+J201+K201+L201</f>
        <v>94298.766</v>
      </c>
      <c r="T201" s="46" t="b">
        <f>M201=S201</f>
        <v>0</v>
      </c>
      <c r="U201" s="46" t="b">
        <f>R201=O201</f>
        <v>1</v>
      </c>
    </row>
    <row r="202" s="46" customFormat="1" ht="104" customHeight="1" outlineLevel="1" spans="1:21">
      <c r="A202" s="32">
        <v>181</v>
      </c>
      <c r="B202" s="32" t="s">
        <v>453</v>
      </c>
      <c r="C202" s="32" t="s">
        <v>532</v>
      </c>
      <c r="D202" s="32" t="s">
        <v>334</v>
      </c>
      <c r="E202" s="32">
        <v>1</v>
      </c>
      <c r="F202" s="32">
        <v>3000</v>
      </c>
      <c r="G202" s="48">
        <f t="shared" si="135"/>
        <v>42420</v>
      </c>
      <c r="H202" s="48">
        <v>42000</v>
      </c>
      <c r="I202" s="49">
        <f>I201</f>
        <v>0.01</v>
      </c>
      <c r="J202" s="31">
        <f>J201</f>
        <v>550</v>
      </c>
      <c r="K202" s="31">
        <f>(F202+G202+J202)*$K$5</f>
        <v>2758.2</v>
      </c>
      <c r="L202" s="31">
        <f>(F202+G202+J202+K202)*$L$5</f>
        <v>1461.846</v>
      </c>
      <c r="M202" s="48">
        <f t="shared" si="122"/>
        <v>75285.069</v>
      </c>
      <c r="N202" s="48"/>
      <c r="O202" s="48">
        <f t="shared" si="136"/>
        <v>75285.069</v>
      </c>
      <c r="P202" s="58" t="s">
        <v>455</v>
      </c>
      <c r="R202" s="46">
        <f>E202*M202</f>
        <v>75285.069</v>
      </c>
      <c r="S202" s="46">
        <f>F202+G202+J202+K202+L202</f>
        <v>50190.046</v>
      </c>
      <c r="T202" s="46" t="b">
        <f>M202=S202</f>
        <v>0</v>
      </c>
      <c r="U202" s="46" t="b">
        <f>R202=O202</f>
        <v>1</v>
      </c>
    </row>
    <row r="203" s="46" customFormat="1" ht="104" customHeight="1" outlineLevel="1" spans="1:21">
      <c r="A203" s="32">
        <v>182</v>
      </c>
      <c r="B203" s="32" t="s">
        <v>453</v>
      </c>
      <c r="C203" s="32" t="s">
        <v>533</v>
      </c>
      <c r="D203" s="32" t="s">
        <v>334</v>
      </c>
      <c r="E203" s="32">
        <v>1</v>
      </c>
      <c r="F203" s="32">
        <f>F202</f>
        <v>3000</v>
      </c>
      <c r="G203" s="48">
        <f t="shared" si="135"/>
        <v>37875</v>
      </c>
      <c r="H203" s="48">
        <v>37500</v>
      </c>
      <c r="I203" s="49">
        <f>I201</f>
        <v>0.01</v>
      </c>
      <c r="J203" s="31">
        <f>J201</f>
        <v>550</v>
      </c>
      <c r="K203" s="31">
        <f>(F203+G203+J203)*$K$5</f>
        <v>2485.5</v>
      </c>
      <c r="L203" s="31">
        <f>(F203+G203+J203+K203)*$L$5</f>
        <v>1317.315</v>
      </c>
      <c r="M203" s="48">
        <f t="shared" si="122"/>
        <v>67841.7225</v>
      </c>
      <c r="N203" s="48"/>
      <c r="O203" s="48">
        <f t="shared" si="136"/>
        <v>67841.7225</v>
      </c>
      <c r="P203" s="58" t="s">
        <v>455</v>
      </c>
      <c r="R203" s="46">
        <f>E203*M203</f>
        <v>67841.7225</v>
      </c>
      <c r="S203" s="46">
        <f>F203+G203+J203+K203+L203</f>
        <v>45227.815</v>
      </c>
      <c r="T203" s="46" t="b">
        <f>M203=S203</f>
        <v>0</v>
      </c>
      <c r="U203" s="46" t="b">
        <f>R203=O203</f>
        <v>1</v>
      </c>
    </row>
    <row r="204" s="46" customFormat="1" ht="104" customHeight="1" outlineLevel="1" spans="1:21">
      <c r="A204" s="32">
        <v>183</v>
      </c>
      <c r="B204" s="32" t="s">
        <v>453</v>
      </c>
      <c r="C204" s="32" t="s">
        <v>465</v>
      </c>
      <c r="D204" s="32" t="s">
        <v>334</v>
      </c>
      <c r="E204" s="32">
        <v>4</v>
      </c>
      <c r="F204" s="32">
        <f t="shared" ref="F204:J204" si="137">F103</f>
        <v>550</v>
      </c>
      <c r="G204" s="48">
        <f t="shared" si="135"/>
        <v>4545</v>
      </c>
      <c r="H204" s="32">
        <f t="shared" si="137"/>
        <v>4500</v>
      </c>
      <c r="I204" s="49">
        <f t="shared" si="137"/>
        <v>0.01</v>
      </c>
      <c r="J204" s="30">
        <f t="shared" si="137"/>
        <v>150</v>
      </c>
      <c r="K204" s="31">
        <f>(F204+G204+J204)*$K$5</f>
        <v>314.7</v>
      </c>
      <c r="L204" s="31">
        <f>(F204+G204+J204+K204)*$L$5</f>
        <v>166.791</v>
      </c>
      <c r="M204" s="48">
        <f t="shared" si="122"/>
        <v>8589.7365</v>
      </c>
      <c r="N204" s="48"/>
      <c r="O204" s="48">
        <f t="shared" si="136"/>
        <v>34358.946</v>
      </c>
      <c r="P204" s="58" t="s">
        <v>455</v>
      </c>
      <c r="R204" s="46">
        <f>E204*M204</f>
        <v>34358.946</v>
      </c>
      <c r="S204" s="46">
        <f>F204+G204+J204+K204+L204</f>
        <v>5726.491</v>
      </c>
      <c r="T204" s="46" t="b">
        <f>M204=S204</f>
        <v>0</v>
      </c>
      <c r="U204" s="46" t="b">
        <f>R204=O204</f>
        <v>1</v>
      </c>
    </row>
    <row r="205" s="46" customFormat="1" ht="101.25" outlineLevel="1" spans="1:21">
      <c r="A205" s="32">
        <v>184</v>
      </c>
      <c r="B205" s="32" t="s">
        <v>466</v>
      </c>
      <c r="C205" s="32" t="s">
        <v>467</v>
      </c>
      <c r="D205" s="32" t="s">
        <v>67</v>
      </c>
      <c r="E205" s="32">
        <v>23.62</v>
      </c>
      <c r="F205" s="32">
        <f t="shared" ref="F205:J205" si="138">F104</f>
        <v>35</v>
      </c>
      <c r="G205" s="32">
        <f t="shared" si="135"/>
        <v>68.25</v>
      </c>
      <c r="H205" s="32">
        <f t="shared" si="138"/>
        <v>65</v>
      </c>
      <c r="I205" s="49">
        <f t="shared" si="138"/>
        <v>0.05</v>
      </c>
      <c r="J205" s="30">
        <f t="shared" si="138"/>
        <v>15</v>
      </c>
      <c r="K205" s="30">
        <f>(F205+G205+J205)*$K$5</f>
        <v>7.095</v>
      </c>
      <c r="L205" s="30">
        <f>(F205+G205+J205+K205)*$L$5</f>
        <v>3.76035</v>
      </c>
      <c r="M205" s="48">
        <f t="shared" si="122"/>
        <v>193.658025</v>
      </c>
      <c r="N205" s="48"/>
      <c r="O205" s="32">
        <f t="shared" si="136"/>
        <v>4574.2025505</v>
      </c>
      <c r="P205" s="32"/>
      <c r="R205" s="46">
        <f>E205*M205</f>
        <v>4574.2025505</v>
      </c>
      <c r="S205" s="46">
        <f>F205+G205+J205+K205+L205</f>
        <v>129.10535</v>
      </c>
      <c r="T205" s="46" t="b">
        <f>M205=S205</f>
        <v>0</v>
      </c>
      <c r="U205" s="46" t="b">
        <f>R205=O205</f>
        <v>1</v>
      </c>
    </row>
    <row r="206" s="46" customFormat="1" ht="11" customHeight="1" outlineLevel="1" spans="1:21">
      <c r="A206" s="51">
        <v>185</v>
      </c>
      <c r="B206" s="51" t="s">
        <v>466</v>
      </c>
      <c r="C206" s="51" t="s">
        <v>468</v>
      </c>
      <c r="D206" s="51" t="s">
        <v>67</v>
      </c>
      <c r="E206" s="51">
        <v>13.37</v>
      </c>
      <c r="F206" s="51">
        <f t="shared" ref="F206:J206" si="139">F104</f>
        <v>35</v>
      </c>
      <c r="G206" s="51">
        <f>H206*(1+I206)</f>
        <v>68.25</v>
      </c>
      <c r="H206" s="51">
        <f t="shared" si="139"/>
        <v>65</v>
      </c>
      <c r="I206" s="54">
        <f t="shared" si="139"/>
        <v>0.05</v>
      </c>
      <c r="J206" s="55">
        <f t="shared" si="139"/>
        <v>15</v>
      </c>
      <c r="K206" s="55">
        <f>(F206+G206+J206)*$K$5</f>
        <v>7.095</v>
      </c>
      <c r="L206" s="55">
        <f>(F206+G206+J206+K206)*$L$5</f>
        <v>3.76035</v>
      </c>
      <c r="M206" s="48">
        <f>(F206+G206+J206+K206+L206)*1.5</f>
        <v>193.658025</v>
      </c>
      <c r="N206" s="48"/>
      <c r="O206" s="51">
        <f>M206*E206</f>
        <v>2589.20779425</v>
      </c>
      <c r="P206" s="51"/>
      <c r="R206" s="46">
        <f>E206*M206</f>
        <v>2589.20779425</v>
      </c>
      <c r="S206" s="46">
        <f>F206+G206+J206+K206+L206</f>
        <v>129.10535</v>
      </c>
      <c r="T206" s="46" t="b">
        <f>M206=S206</f>
        <v>0</v>
      </c>
      <c r="U206" s="46" t="b">
        <f>R206=O206</f>
        <v>1</v>
      </c>
    </row>
    <row r="207" s="46" customFormat="1" ht="33.75" outlineLevel="1" spans="1:21">
      <c r="A207" s="32">
        <v>186</v>
      </c>
      <c r="B207" s="32" t="s">
        <v>470</v>
      </c>
      <c r="C207" s="32" t="s">
        <v>471</v>
      </c>
      <c r="D207" s="32" t="s">
        <v>67</v>
      </c>
      <c r="E207" s="32">
        <v>5.04</v>
      </c>
      <c r="F207" s="32">
        <f t="shared" ref="F207:J207" si="140">F110</f>
        <v>185</v>
      </c>
      <c r="G207" s="48">
        <f t="shared" ref="G207:G216" si="141">H207*(1+I207)</f>
        <v>231</v>
      </c>
      <c r="H207" s="32">
        <f t="shared" si="140"/>
        <v>220</v>
      </c>
      <c r="I207" s="49">
        <f t="shared" si="140"/>
        <v>0.05</v>
      </c>
      <c r="J207" s="30">
        <f t="shared" si="140"/>
        <v>15</v>
      </c>
      <c r="K207" s="31">
        <f>(F207+G207+J207)*$K$5</f>
        <v>25.86</v>
      </c>
      <c r="L207" s="31">
        <f>(F207+G207+J207+K207)*$L$5</f>
        <v>13.7058</v>
      </c>
      <c r="M207" s="48">
        <f>(F207+G207+J207+K207+L207)*1.5</f>
        <v>705.8487</v>
      </c>
      <c r="N207" s="48"/>
      <c r="O207" s="48">
        <f t="shared" ref="O207:O216" si="142">M207*E207</f>
        <v>3557.477448</v>
      </c>
      <c r="P207" s="32"/>
      <c r="R207" s="46">
        <f t="shared" ref="R207:R228" si="143">E207*M207</f>
        <v>3557.477448</v>
      </c>
      <c r="S207" s="46">
        <f t="shared" ref="S207:S228" si="144">F207+G207+J207+K207+L207</f>
        <v>470.5658</v>
      </c>
      <c r="T207" s="46" t="b">
        <f t="shared" ref="T207:T228" si="145">M207=S207</f>
        <v>0</v>
      </c>
      <c r="U207" s="46" t="b">
        <f t="shared" ref="U207:U228" si="146">R207=O207</f>
        <v>1</v>
      </c>
    </row>
    <row r="208" s="46" customFormat="1" ht="78.75" outlineLevel="1" spans="1:21">
      <c r="A208" s="32">
        <v>187</v>
      </c>
      <c r="B208" s="32" t="s">
        <v>472</v>
      </c>
      <c r="C208" s="32" t="s">
        <v>473</v>
      </c>
      <c r="D208" s="32" t="s">
        <v>102</v>
      </c>
      <c r="E208" s="32">
        <v>2.59</v>
      </c>
      <c r="F208" s="32">
        <f t="shared" ref="F208:J208" si="147">F111</f>
        <v>15</v>
      </c>
      <c r="G208" s="48">
        <f t="shared" si="141"/>
        <v>78.75</v>
      </c>
      <c r="H208" s="32">
        <f t="shared" si="147"/>
        <v>75</v>
      </c>
      <c r="I208" s="49">
        <f t="shared" si="147"/>
        <v>0.05</v>
      </c>
      <c r="J208" s="31">
        <f t="shared" si="147"/>
        <v>1</v>
      </c>
      <c r="K208" s="31">
        <f>(F208+G208+J208)*$K$5</f>
        <v>5.685</v>
      </c>
      <c r="L208" s="31">
        <f>(F208+G208+J208+K208)*$L$5</f>
        <v>3.01305</v>
      </c>
      <c r="M208" s="48">
        <f>(F208+G208+J208+K208+L208)*1.5</f>
        <v>155.172075</v>
      </c>
      <c r="N208" s="48"/>
      <c r="O208" s="48">
        <f t="shared" si="142"/>
        <v>401.89567425</v>
      </c>
      <c r="P208" s="32"/>
      <c r="R208" s="46">
        <f t="shared" si="143"/>
        <v>401.89567425</v>
      </c>
      <c r="S208" s="46">
        <f t="shared" si="144"/>
        <v>103.44805</v>
      </c>
      <c r="T208" s="46" t="b">
        <f t="shared" si="145"/>
        <v>0</v>
      </c>
      <c r="U208" s="46" t="b">
        <f t="shared" si="146"/>
        <v>1</v>
      </c>
    </row>
    <row r="209" s="46" customFormat="1" ht="90" outlineLevel="1" spans="1:21">
      <c r="A209" s="32">
        <v>188</v>
      </c>
      <c r="B209" s="32" t="s">
        <v>472</v>
      </c>
      <c r="C209" s="32" t="s">
        <v>476</v>
      </c>
      <c r="D209" s="32" t="s">
        <v>102</v>
      </c>
      <c r="E209" s="32">
        <v>4.42</v>
      </c>
      <c r="F209" s="32">
        <f>F113</f>
        <v>15</v>
      </c>
      <c r="G209" s="48">
        <f t="shared" si="141"/>
        <v>65.1</v>
      </c>
      <c r="H209" s="32">
        <f>H113</f>
        <v>62</v>
      </c>
      <c r="I209" s="49">
        <f>I111</f>
        <v>0.05</v>
      </c>
      <c r="J209" s="31">
        <f>J111</f>
        <v>1</v>
      </c>
      <c r="K209" s="31">
        <f>(F209+G209+J209)*$K$5</f>
        <v>4.866</v>
      </c>
      <c r="L209" s="31">
        <f>(F209+G209+J209+K209)*$L$5</f>
        <v>2.57898</v>
      </c>
      <c r="M209" s="48">
        <f>(F209+G209+J209+K209+L209)*1.5</f>
        <v>132.81747</v>
      </c>
      <c r="N209" s="48"/>
      <c r="O209" s="48">
        <f t="shared" si="142"/>
        <v>587.0532174</v>
      </c>
      <c r="P209" s="32"/>
      <c r="R209" s="46">
        <f t="shared" si="143"/>
        <v>587.0532174</v>
      </c>
      <c r="S209" s="46">
        <f t="shared" si="144"/>
        <v>88.54498</v>
      </c>
      <c r="T209" s="46" t="b">
        <f t="shared" si="145"/>
        <v>0</v>
      </c>
      <c r="U209" s="46" t="b">
        <f t="shared" si="146"/>
        <v>1</v>
      </c>
    </row>
    <row r="210" s="46" customFormat="1" ht="78.75" outlineLevel="1" spans="1:21">
      <c r="A210" s="32">
        <v>189</v>
      </c>
      <c r="B210" s="32" t="s">
        <v>472</v>
      </c>
      <c r="C210" s="32" t="s">
        <v>477</v>
      </c>
      <c r="D210" s="32" t="s">
        <v>102</v>
      </c>
      <c r="E210" s="32">
        <v>20.47</v>
      </c>
      <c r="F210" s="32">
        <f>F114</f>
        <v>15</v>
      </c>
      <c r="G210" s="48">
        <f t="shared" si="141"/>
        <v>57.75</v>
      </c>
      <c r="H210" s="32">
        <f>H114</f>
        <v>55</v>
      </c>
      <c r="I210" s="49">
        <f>I111</f>
        <v>0.05</v>
      </c>
      <c r="J210" s="31">
        <f>J111</f>
        <v>1</v>
      </c>
      <c r="K210" s="31">
        <f>(F210+G210+J210)*$K$5</f>
        <v>4.425</v>
      </c>
      <c r="L210" s="31">
        <f>(F210+G210+J210+K210)*$L$5</f>
        <v>2.34525</v>
      </c>
      <c r="M210" s="48">
        <f>(F210+G210+J210+K210+L210)*1.5</f>
        <v>120.780375</v>
      </c>
      <c r="N210" s="48"/>
      <c r="O210" s="48">
        <f t="shared" si="142"/>
        <v>2472.37427625</v>
      </c>
      <c r="P210" s="32"/>
      <c r="R210" s="46">
        <f t="shared" si="143"/>
        <v>2472.37427625</v>
      </c>
      <c r="S210" s="46">
        <f t="shared" si="144"/>
        <v>80.52025</v>
      </c>
      <c r="T210" s="46" t="b">
        <f t="shared" si="145"/>
        <v>0</v>
      </c>
      <c r="U210" s="46" t="b">
        <f t="shared" si="146"/>
        <v>1</v>
      </c>
    </row>
    <row r="211" s="46" customFormat="1" ht="78.75" outlineLevel="1" spans="1:21">
      <c r="A211" s="32">
        <v>190</v>
      </c>
      <c r="B211" s="32" t="s">
        <v>472</v>
      </c>
      <c r="C211" s="32" t="s">
        <v>479</v>
      </c>
      <c r="D211" s="32" t="s">
        <v>102</v>
      </c>
      <c r="E211" s="32">
        <v>5.01</v>
      </c>
      <c r="F211" s="32">
        <f t="shared" ref="F211:F216" si="148">F116</f>
        <v>10</v>
      </c>
      <c r="G211" s="48">
        <f t="shared" si="141"/>
        <v>44.1</v>
      </c>
      <c r="H211" s="32">
        <f t="shared" ref="H211:H215" si="149">H116</f>
        <v>42</v>
      </c>
      <c r="I211" s="49">
        <f>I111</f>
        <v>0.05</v>
      </c>
      <c r="J211" s="31">
        <f>J111</f>
        <v>1</v>
      </c>
      <c r="K211" s="31">
        <f>(F211+G211+J211)*$K$5</f>
        <v>3.306</v>
      </c>
      <c r="L211" s="31">
        <f>(F211+G211+J211+K211)*$L$5</f>
        <v>1.75218</v>
      </c>
      <c r="M211" s="48">
        <f>(F211+G211+J211+K211+L211)*1.5</f>
        <v>90.23727</v>
      </c>
      <c r="N211" s="48"/>
      <c r="O211" s="48">
        <f t="shared" si="142"/>
        <v>452.0887227</v>
      </c>
      <c r="P211" s="32"/>
      <c r="R211" s="46">
        <f t="shared" si="143"/>
        <v>452.0887227</v>
      </c>
      <c r="S211" s="46">
        <f t="shared" si="144"/>
        <v>60.15818</v>
      </c>
      <c r="T211" s="46" t="b">
        <f t="shared" si="145"/>
        <v>0</v>
      </c>
      <c r="U211" s="46" t="b">
        <f t="shared" si="146"/>
        <v>1</v>
      </c>
    </row>
    <row r="212" s="46" customFormat="1" ht="90" outlineLevel="1" spans="1:21">
      <c r="A212" s="32">
        <v>191</v>
      </c>
      <c r="B212" s="32" t="s">
        <v>472</v>
      </c>
      <c r="C212" s="32" t="s">
        <v>480</v>
      </c>
      <c r="D212" s="32" t="s">
        <v>102</v>
      </c>
      <c r="E212" s="32">
        <v>4.42</v>
      </c>
      <c r="F212" s="32">
        <f t="shared" si="148"/>
        <v>10</v>
      </c>
      <c r="G212" s="48">
        <f t="shared" si="141"/>
        <v>36.75</v>
      </c>
      <c r="H212" s="32">
        <f t="shared" si="149"/>
        <v>35</v>
      </c>
      <c r="I212" s="49">
        <f>I111</f>
        <v>0.05</v>
      </c>
      <c r="J212" s="31">
        <f>J111</f>
        <v>1</v>
      </c>
      <c r="K212" s="31">
        <f>(F212+G212+J212)*$K$5</f>
        <v>2.865</v>
      </c>
      <c r="L212" s="31">
        <f>(F212+G212+J212+K212)*$L$5</f>
        <v>1.51845</v>
      </c>
      <c r="M212" s="48">
        <f>(F212+G212+J212+K212+L212)*1.5</f>
        <v>78.200175</v>
      </c>
      <c r="N212" s="48"/>
      <c r="O212" s="48">
        <f t="shared" si="142"/>
        <v>345.6447735</v>
      </c>
      <c r="P212" s="32"/>
      <c r="R212" s="46">
        <f t="shared" si="143"/>
        <v>345.6447735</v>
      </c>
      <c r="S212" s="46">
        <f t="shared" si="144"/>
        <v>52.13345</v>
      </c>
      <c r="T212" s="46" t="b">
        <f t="shared" si="145"/>
        <v>0</v>
      </c>
      <c r="U212" s="46" t="b">
        <f t="shared" si="146"/>
        <v>1</v>
      </c>
    </row>
    <row r="213" s="46" customFormat="1" ht="90" outlineLevel="1" spans="1:21">
      <c r="A213" s="32">
        <v>192</v>
      </c>
      <c r="B213" s="32" t="s">
        <v>472</v>
      </c>
      <c r="C213" s="32" t="s">
        <v>481</v>
      </c>
      <c r="D213" s="32" t="s">
        <v>102</v>
      </c>
      <c r="E213" s="32">
        <v>32.39</v>
      </c>
      <c r="F213" s="32">
        <f t="shared" si="148"/>
        <v>10</v>
      </c>
      <c r="G213" s="48">
        <f t="shared" si="141"/>
        <v>33.6</v>
      </c>
      <c r="H213" s="32">
        <f t="shared" si="149"/>
        <v>32</v>
      </c>
      <c r="I213" s="49">
        <f>I111</f>
        <v>0.05</v>
      </c>
      <c r="J213" s="31">
        <f>J111</f>
        <v>1</v>
      </c>
      <c r="K213" s="31">
        <f>(F213+G213+J213)*$K$5</f>
        <v>2.676</v>
      </c>
      <c r="L213" s="31">
        <f>(F213+G213+J213+K213)*$L$5</f>
        <v>1.41828</v>
      </c>
      <c r="M213" s="48">
        <f>(F213+G213+J213+K213+L213)*1.5</f>
        <v>73.04142</v>
      </c>
      <c r="N213" s="48"/>
      <c r="O213" s="48">
        <f t="shared" si="142"/>
        <v>2365.8115938</v>
      </c>
      <c r="P213" s="32"/>
      <c r="R213" s="46">
        <f t="shared" si="143"/>
        <v>2365.8115938</v>
      </c>
      <c r="S213" s="46">
        <f t="shared" si="144"/>
        <v>48.69428</v>
      </c>
      <c r="T213" s="46" t="b">
        <f t="shared" si="145"/>
        <v>0</v>
      </c>
      <c r="U213" s="46" t="b">
        <f t="shared" si="146"/>
        <v>1</v>
      </c>
    </row>
    <row r="214" s="46" customFormat="1" ht="78.75" outlineLevel="1" spans="1:21">
      <c r="A214" s="32">
        <v>193</v>
      </c>
      <c r="B214" s="32" t="s">
        <v>472</v>
      </c>
      <c r="C214" s="32" t="s">
        <v>482</v>
      </c>
      <c r="D214" s="32" t="s">
        <v>102</v>
      </c>
      <c r="E214" s="32">
        <v>2.47</v>
      </c>
      <c r="F214" s="32">
        <f t="shared" si="148"/>
        <v>10</v>
      </c>
      <c r="G214" s="48">
        <f t="shared" si="141"/>
        <v>26.25</v>
      </c>
      <c r="H214" s="32">
        <f t="shared" si="149"/>
        <v>25</v>
      </c>
      <c r="I214" s="49">
        <f>I111</f>
        <v>0.05</v>
      </c>
      <c r="J214" s="31">
        <f>J111</f>
        <v>1</v>
      </c>
      <c r="K214" s="31">
        <f>(F214+G214+J214)*$K$5</f>
        <v>2.235</v>
      </c>
      <c r="L214" s="31">
        <f>(F214+G214+J214+K214)*$L$5</f>
        <v>1.18455</v>
      </c>
      <c r="M214" s="48">
        <f>(F214+G214+J214+K214+L214)*1.5</f>
        <v>61.004325</v>
      </c>
      <c r="N214" s="48"/>
      <c r="O214" s="48">
        <f t="shared" si="142"/>
        <v>150.68068275</v>
      </c>
      <c r="P214" s="32"/>
      <c r="R214" s="46">
        <f t="shared" si="143"/>
        <v>150.68068275</v>
      </c>
      <c r="S214" s="46">
        <f t="shared" si="144"/>
        <v>40.66955</v>
      </c>
      <c r="T214" s="46" t="b">
        <f t="shared" si="145"/>
        <v>0</v>
      </c>
      <c r="U214" s="46" t="b">
        <f t="shared" si="146"/>
        <v>1</v>
      </c>
    </row>
    <row r="215" s="46" customFormat="1" ht="78.75" outlineLevel="1" spans="1:21">
      <c r="A215" s="32">
        <v>194</v>
      </c>
      <c r="B215" s="32" t="s">
        <v>472</v>
      </c>
      <c r="C215" s="32" t="s">
        <v>483</v>
      </c>
      <c r="D215" s="32" t="s">
        <v>102</v>
      </c>
      <c r="E215" s="32">
        <v>16.82</v>
      </c>
      <c r="F215" s="32">
        <f t="shared" si="148"/>
        <v>10</v>
      </c>
      <c r="G215" s="48">
        <f t="shared" si="141"/>
        <v>21</v>
      </c>
      <c r="H215" s="32">
        <f t="shared" si="149"/>
        <v>20</v>
      </c>
      <c r="I215" s="49">
        <f>I111</f>
        <v>0.05</v>
      </c>
      <c r="J215" s="31">
        <f>J111</f>
        <v>1</v>
      </c>
      <c r="K215" s="31">
        <f>(F215+G215+J215)*$K$5</f>
        <v>1.92</v>
      </c>
      <c r="L215" s="31">
        <f>(F215+G215+J215+K215)*$L$5</f>
        <v>1.0176</v>
      </c>
      <c r="M215" s="48">
        <f>(F215+G215+J215+K215+L215)*1.5</f>
        <v>52.4064</v>
      </c>
      <c r="N215" s="48"/>
      <c r="O215" s="48">
        <f t="shared" si="142"/>
        <v>881.475648</v>
      </c>
      <c r="P215" s="32"/>
      <c r="R215" s="46">
        <f t="shared" si="143"/>
        <v>881.475648</v>
      </c>
      <c r="S215" s="46">
        <f t="shared" si="144"/>
        <v>34.9376</v>
      </c>
      <c r="T215" s="46" t="b">
        <f t="shared" si="145"/>
        <v>0</v>
      </c>
      <c r="U215" s="46" t="b">
        <f t="shared" si="146"/>
        <v>1</v>
      </c>
    </row>
    <row r="216" s="46" customFormat="1" outlineLevel="1" spans="1:21">
      <c r="A216" s="51">
        <v>195</v>
      </c>
      <c r="B216" s="51" t="s">
        <v>437</v>
      </c>
      <c r="C216" s="51" t="s">
        <v>534</v>
      </c>
      <c r="D216" s="51" t="s">
        <v>102</v>
      </c>
      <c r="E216" s="51">
        <v>16.12</v>
      </c>
      <c r="F216" s="51">
        <f t="shared" si="148"/>
        <v>15</v>
      </c>
      <c r="G216" s="51">
        <f t="shared" si="141"/>
        <v>23.1</v>
      </c>
      <c r="H216" s="51">
        <v>22</v>
      </c>
      <c r="I216" s="54">
        <f>I121</f>
        <v>0.05</v>
      </c>
      <c r="J216" s="55">
        <v>11</v>
      </c>
      <c r="K216" s="55">
        <f>(F216+G216+J216)*$K$5</f>
        <v>2.946</v>
      </c>
      <c r="L216" s="55">
        <f>(F216+G216+J216+K216)*$L$5</f>
        <v>1.56138</v>
      </c>
      <c r="M216" s="48">
        <f>(F216+G216+J216+K216+L216)*1.5</f>
        <v>80.41107</v>
      </c>
      <c r="N216" s="48"/>
      <c r="O216" s="51">
        <f t="shared" si="142"/>
        <v>1296.2264484</v>
      </c>
      <c r="P216" s="55"/>
      <c r="R216" s="46">
        <f t="shared" si="143"/>
        <v>1296.2264484</v>
      </c>
      <c r="S216" s="46">
        <f t="shared" si="144"/>
        <v>53.60738</v>
      </c>
      <c r="T216" s="46" t="b">
        <f t="shared" si="145"/>
        <v>0</v>
      </c>
      <c r="U216" s="46" t="b">
        <f t="shared" si="146"/>
        <v>1</v>
      </c>
    </row>
    <row r="217" s="46" customFormat="1" outlineLevel="1" spans="1:21">
      <c r="A217" s="53"/>
      <c r="B217" s="53"/>
      <c r="C217" s="53"/>
      <c r="D217" s="53"/>
      <c r="E217" s="53"/>
      <c r="F217" s="53"/>
      <c r="G217" s="53"/>
      <c r="H217" s="53"/>
      <c r="I217" s="59"/>
      <c r="J217" s="60"/>
      <c r="K217" s="60"/>
      <c r="L217" s="60"/>
      <c r="M217" s="48">
        <f>(F217+G217+J217+K217+L217)*1.5</f>
        <v>0</v>
      </c>
      <c r="N217" s="48"/>
      <c r="O217" s="53"/>
      <c r="P217" s="60"/>
      <c r="R217" s="46">
        <f t="shared" si="143"/>
        <v>0</v>
      </c>
      <c r="S217" s="46">
        <f t="shared" si="144"/>
        <v>0</v>
      </c>
      <c r="T217" s="46" t="b">
        <f t="shared" si="145"/>
        <v>1</v>
      </c>
      <c r="U217" s="46" t="b">
        <f t="shared" si="146"/>
        <v>1</v>
      </c>
    </row>
    <row r="218" s="46" customFormat="1" outlineLevel="1" spans="1:21">
      <c r="A218" s="52"/>
      <c r="B218" s="52"/>
      <c r="C218" s="52"/>
      <c r="D218" s="52"/>
      <c r="E218" s="52"/>
      <c r="F218" s="52"/>
      <c r="G218" s="52"/>
      <c r="H218" s="52"/>
      <c r="I218" s="56"/>
      <c r="J218" s="57"/>
      <c r="K218" s="57"/>
      <c r="L218" s="57"/>
      <c r="M218" s="48">
        <f>(F218+G218+J218+K218+L218)*1.5</f>
        <v>0</v>
      </c>
      <c r="N218" s="48"/>
      <c r="O218" s="52"/>
      <c r="P218" s="57"/>
      <c r="R218" s="46">
        <f t="shared" si="143"/>
        <v>0</v>
      </c>
      <c r="S218" s="46">
        <f t="shared" si="144"/>
        <v>0</v>
      </c>
      <c r="T218" s="46" t="b">
        <f t="shared" si="145"/>
        <v>1</v>
      </c>
      <c r="U218" s="46" t="b">
        <f t="shared" si="146"/>
        <v>1</v>
      </c>
    </row>
    <row r="219" s="46" customFormat="1" outlineLevel="1" spans="1:21">
      <c r="A219" s="51">
        <v>196</v>
      </c>
      <c r="B219" s="51" t="s">
        <v>437</v>
      </c>
      <c r="C219" s="51" t="s">
        <v>485</v>
      </c>
      <c r="D219" s="51" t="s">
        <v>102</v>
      </c>
      <c r="E219" s="51">
        <v>10.35</v>
      </c>
      <c r="F219" s="51">
        <f t="shared" ref="F219:J219" si="150">F124</f>
        <v>15</v>
      </c>
      <c r="G219" s="51">
        <f t="shared" ref="G219:G228" si="151">H219*(1+I219)</f>
        <v>18.9</v>
      </c>
      <c r="H219" s="51">
        <f t="shared" si="150"/>
        <v>18</v>
      </c>
      <c r="I219" s="54">
        <f t="shared" si="150"/>
        <v>0.05</v>
      </c>
      <c r="J219" s="55">
        <f t="shared" si="150"/>
        <v>8</v>
      </c>
      <c r="K219" s="55">
        <f>(F219+G219+J219)*$K$5</f>
        <v>2.514</v>
      </c>
      <c r="L219" s="55">
        <f>(F219+G219+J219+K219)*$L$5</f>
        <v>1.33242</v>
      </c>
      <c r="M219" s="48">
        <f>(F219+G219+J219+K219+L219)*1.5</f>
        <v>68.61963</v>
      </c>
      <c r="N219" s="48"/>
      <c r="O219" s="51">
        <f t="shared" ref="O219:O228" si="152">M219*E219</f>
        <v>710.2131705</v>
      </c>
      <c r="P219" s="55"/>
      <c r="R219" s="46">
        <f t="shared" si="143"/>
        <v>710.2131705</v>
      </c>
      <c r="S219" s="46">
        <f t="shared" si="144"/>
        <v>45.74642</v>
      </c>
      <c r="T219" s="46" t="b">
        <f t="shared" si="145"/>
        <v>0</v>
      </c>
      <c r="U219" s="46" t="b">
        <f t="shared" si="146"/>
        <v>1</v>
      </c>
    </row>
    <row r="220" s="46" customFormat="1" outlineLevel="1" spans="1:21">
      <c r="A220" s="53"/>
      <c r="B220" s="53"/>
      <c r="C220" s="53"/>
      <c r="D220" s="53"/>
      <c r="E220" s="53"/>
      <c r="F220" s="53"/>
      <c r="G220" s="53"/>
      <c r="H220" s="53"/>
      <c r="I220" s="59"/>
      <c r="J220" s="60"/>
      <c r="K220" s="60"/>
      <c r="L220" s="60"/>
      <c r="M220" s="48">
        <f>(F220+G220+J220+K220+L220)*1.5</f>
        <v>0</v>
      </c>
      <c r="N220" s="48"/>
      <c r="O220" s="53"/>
      <c r="P220" s="60"/>
      <c r="R220" s="46">
        <f t="shared" si="143"/>
        <v>0</v>
      </c>
      <c r="S220" s="46">
        <f t="shared" si="144"/>
        <v>0</v>
      </c>
      <c r="T220" s="46" t="b">
        <f t="shared" si="145"/>
        <v>1</v>
      </c>
      <c r="U220" s="46" t="b">
        <f t="shared" si="146"/>
        <v>1</v>
      </c>
    </row>
    <row r="221" s="46" customFormat="1" outlineLevel="1" spans="1:21">
      <c r="A221" s="52"/>
      <c r="B221" s="52"/>
      <c r="C221" s="52"/>
      <c r="D221" s="52"/>
      <c r="E221" s="52"/>
      <c r="F221" s="52"/>
      <c r="G221" s="52"/>
      <c r="H221" s="52"/>
      <c r="I221" s="56"/>
      <c r="J221" s="57"/>
      <c r="K221" s="57"/>
      <c r="L221" s="57"/>
      <c r="M221" s="48">
        <f>(F221+G221+J221+K221+L221)*1.5</f>
        <v>0</v>
      </c>
      <c r="N221" s="48"/>
      <c r="O221" s="52"/>
      <c r="P221" s="57"/>
      <c r="R221" s="46">
        <f t="shared" si="143"/>
        <v>0</v>
      </c>
      <c r="S221" s="46">
        <f t="shared" si="144"/>
        <v>0</v>
      </c>
      <c r="T221" s="46" t="b">
        <f t="shared" si="145"/>
        <v>1</v>
      </c>
      <c r="U221" s="46" t="b">
        <f t="shared" si="146"/>
        <v>1</v>
      </c>
    </row>
    <row r="222" s="46" customFormat="1" ht="56.25" outlineLevel="1" spans="1:21">
      <c r="A222" s="32">
        <v>197</v>
      </c>
      <c r="B222" s="32" t="s">
        <v>486</v>
      </c>
      <c r="C222" s="32" t="s">
        <v>493</v>
      </c>
      <c r="D222" s="32" t="s">
        <v>96</v>
      </c>
      <c r="E222" s="32">
        <v>1</v>
      </c>
      <c r="F222" s="32">
        <f t="shared" ref="F222:J222" si="153">F133</f>
        <v>35</v>
      </c>
      <c r="G222" s="48">
        <f t="shared" si="151"/>
        <v>151.5</v>
      </c>
      <c r="H222" s="32">
        <f t="shared" si="153"/>
        <v>150</v>
      </c>
      <c r="I222" s="49">
        <f t="shared" si="153"/>
        <v>0.01</v>
      </c>
      <c r="J222" s="30">
        <f t="shared" si="153"/>
        <v>10</v>
      </c>
      <c r="K222" s="31">
        <f>(F222+G222+J222)*$K$5</f>
        <v>11.79</v>
      </c>
      <c r="L222" s="31">
        <f>(F222+G222+J222+K222)*$L$5</f>
        <v>6.2487</v>
      </c>
      <c r="M222" s="48">
        <f>(F222+G222+J222+K222+L222)*1.5</f>
        <v>321.80805</v>
      </c>
      <c r="N222" s="48"/>
      <c r="O222" s="48">
        <f t="shared" si="152"/>
        <v>321.80805</v>
      </c>
      <c r="P222" s="32"/>
      <c r="R222" s="46">
        <f t="shared" si="143"/>
        <v>321.80805</v>
      </c>
      <c r="S222" s="46">
        <f t="shared" si="144"/>
        <v>214.5387</v>
      </c>
      <c r="T222" s="46" t="b">
        <f t="shared" si="145"/>
        <v>0</v>
      </c>
      <c r="U222" s="46" t="b">
        <f t="shared" si="146"/>
        <v>1</v>
      </c>
    </row>
    <row r="223" s="46" customFormat="1" ht="56.25" outlineLevel="1" spans="1:21">
      <c r="A223" s="32">
        <v>198</v>
      </c>
      <c r="B223" s="32" t="s">
        <v>486</v>
      </c>
      <c r="C223" s="32" t="s">
        <v>498</v>
      </c>
      <c r="D223" s="32" t="s">
        <v>96</v>
      </c>
      <c r="E223" s="32">
        <v>1</v>
      </c>
      <c r="F223" s="32">
        <f t="shared" ref="F223:J223" si="154">F222</f>
        <v>35</v>
      </c>
      <c r="G223" s="48">
        <f t="shared" si="151"/>
        <v>85.85</v>
      </c>
      <c r="H223" s="48">
        <f>H144</f>
        <v>85</v>
      </c>
      <c r="I223" s="49">
        <f t="shared" si="154"/>
        <v>0.01</v>
      </c>
      <c r="J223" s="30">
        <f t="shared" si="154"/>
        <v>10</v>
      </c>
      <c r="K223" s="31">
        <f>(F223+G223+J223)*$K$5</f>
        <v>7.851</v>
      </c>
      <c r="L223" s="31">
        <f>(F223+G223+J223+K223)*$L$5</f>
        <v>4.16103</v>
      </c>
      <c r="M223" s="48">
        <f>(F223+G223+J223+K223+L223)*1.5</f>
        <v>214.293045</v>
      </c>
      <c r="N223" s="48"/>
      <c r="O223" s="48">
        <f t="shared" si="152"/>
        <v>214.293045</v>
      </c>
      <c r="P223" s="32"/>
      <c r="R223" s="46">
        <f t="shared" si="143"/>
        <v>214.293045</v>
      </c>
      <c r="S223" s="46">
        <f t="shared" si="144"/>
        <v>142.86203</v>
      </c>
      <c r="T223" s="46" t="b">
        <f t="shared" si="145"/>
        <v>0</v>
      </c>
      <c r="U223" s="46" t="b">
        <f t="shared" si="146"/>
        <v>1</v>
      </c>
    </row>
    <row r="224" s="46" customFormat="1" ht="67.5" outlineLevel="1" spans="1:21">
      <c r="A224" s="32">
        <v>199</v>
      </c>
      <c r="B224" s="32" t="s">
        <v>486</v>
      </c>
      <c r="C224" s="32" t="s">
        <v>535</v>
      </c>
      <c r="D224" s="32" t="s">
        <v>96</v>
      </c>
      <c r="E224" s="32">
        <v>1</v>
      </c>
      <c r="F224" s="32">
        <f t="shared" ref="F224:J224" si="155">F222</f>
        <v>35</v>
      </c>
      <c r="G224" s="48">
        <f t="shared" si="151"/>
        <v>85.85</v>
      </c>
      <c r="H224" s="48">
        <f>H223</f>
        <v>85</v>
      </c>
      <c r="I224" s="49">
        <f t="shared" si="155"/>
        <v>0.01</v>
      </c>
      <c r="J224" s="30">
        <f t="shared" si="155"/>
        <v>10</v>
      </c>
      <c r="K224" s="31">
        <f>(F224+G224+J224)*$K$5</f>
        <v>7.851</v>
      </c>
      <c r="L224" s="31">
        <f>(F224+G224+J224+K224)*$L$5</f>
        <v>4.16103</v>
      </c>
      <c r="M224" s="48">
        <f>(F224+G224+J224+K224+L224)*1.5</f>
        <v>214.293045</v>
      </c>
      <c r="N224" s="48"/>
      <c r="O224" s="48">
        <f t="shared" si="152"/>
        <v>214.293045</v>
      </c>
      <c r="P224" s="32"/>
      <c r="R224" s="46">
        <f t="shared" si="143"/>
        <v>214.293045</v>
      </c>
      <c r="S224" s="46">
        <f t="shared" si="144"/>
        <v>142.86203</v>
      </c>
      <c r="T224" s="46" t="b">
        <f t="shared" si="145"/>
        <v>0</v>
      </c>
      <c r="U224" s="46" t="b">
        <f t="shared" si="146"/>
        <v>1</v>
      </c>
    </row>
    <row r="225" s="46" customFormat="1" ht="56.25" outlineLevel="1" spans="1:21">
      <c r="A225" s="32">
        <v>200</v>
      </c>
      <c r="B225" s="32" t="s">
        <v>486</v>
      </c>
      <c r="C225" s="32" t="s">
        <v>507</v>
      </c>
      <c r="D225" s="32" t="s">
        <v>96</v>
      </c>
      <c r="E225" s="32">
        <v>1</v>
      </c>
      <c r="F225" s="32">
        <f t="shared" ref="F225:J225" si="156">F224</f>
        <v>35</v>
      </c>
      <c r="G225" s="48">
        <f t="shared" si="151"/>
        <v>85.85</v>
      </c>
      <c r="H225" s="32">
        <f t="shared" si="156"/>
        <v>85</v>
      </c>
      <c r="I225" s="49">
        <f t="shared" si="156"/>
        <v>0.01</v>
      </c>
      <c r="J225" s="30">
        <f t="shared" si="156"/>
        <v>10</v>
      </c>
      <c r="K225" s="31">
        <f>(F225+G225+J225)*$K$5</f>
        <v>7.851</v>
      </c>
      <c r="L225" s="31">
        <f>(F225+G225+J225+K225)*$L$5</f>
        <v>4.16103</v>
      </c>
      <c r="M225" s="48">
        <f>(F225+G225+J225+K225+L225)*1.5</f>
        <v>214.293045</v>
      </c>
      <c r="N225" s="48"/>
      <c r="O225" s="48">
        <f t="shared" si="152"/>
        <v>214.293045</v>
      </c>
      <c r="P225" s="32"/>
      <c r="R225" s="46">
        <f t="shared" si="143"/>
        <v>214.293045</v>
      </c>
      <c r="S225" s="46">
        <f t="shared" si="144"/>
        <v>142.86203</v>
      </c>
      <c r="T225" s="46" t="b">
        <f t="shared" si="145"/>
        <v>0</v>
      </c>
      <c r="U225" s="46" t="b">
        <f t="shared" si="146"/>
        <v>1</v>
      </c>
    </row>
    <row r="226" s="46" customFormat="1" ht="56.25" outlineLevel="1" spans="1:21">
      <c r="A226" s="32">
        <v>201</v>
      </c>
      <c r="B226" s="32" t="s">
        <v>486</v>
      </c>
      <c r="C226" s="32" t="s">
        <v>536</v>
      </c>
      <c r="D226" s="32" t="s">
        <v>96</v>
      </c>
      <c r="E226" s="32">
        <v>2</v>
      </c>
      <c r="F226" s="32">
        <f t="shared" ref="F226:J226" si="157">F224</f>
        <v>35</v>
      </c>
      <c r="G226" s="48">
        <f t="shared" si="151"/>
        <v>85.85</v>
      </c>
      <c r="H226" s="48">
        <f t="shared" si="157"/>
        <v>85</v>
      </c>
      <c r="I226" s="49">
        <f t="shared" si="157"/>
        <v>0.01</v>
      </c>
      <c r="J226" s="30">
        <f t="shared" si="157"/>
        <v>10</v>
      </c>
      <c r="K226" s="31">
        <f>(F226+G226+J226)*$K$5</f>
        <v>7.851</v>
      </c>
      <c r="L226" s="31">
        <f>(F226+G226+J226+K226)*$L$5</f>
        <v>4.16103</v>
      </c>
      <c r="M226" s="48">
        <f>(F226+G226+J226+K226+L226)*1.5</f>
        <v>214.293045</v>
      </c>
      <c r="N226" s="48"/>
      <c r="O226" s="48">
        <f t="shared" si="152"/>
        <v>428.58609</v>
      </c>
      <c r="P226" s="32"/>
      <c r="R226" s="46">
        <f t="shared" si="143"/>
        <v>428.58609</v>
      </c>
      <c r="S226" s="46">
        <f t="shared" si="144"/>
        <v>142.86203</v>
      </c>
      <c r="T226" s="46" t="b">
        <f t="shared" si="145"/>
        <v>0</v>
      </c>
      <c r="U226" s="46" t="b">
        <f t="shared" si="146"/>
        <v>1</v>
      </c>
    </row>
    <row r="227" s="46" customFormat="1" ht="56.25" outlineLevel="1" spans="1:21">
      <c r="A227" s="32">
        <v>202</v>
      </c>
      <c r="B227" s="32" t="s">
        <v>509</v>
      </c>
      <c r="C227" s="32" t="s">
        <v>510</v>
      </c>
      <c r="D227" s="32" t="s">
        <v>511</v>
      </c>
      <c r="E227" s="32">
        <v>0.05</v>
      </c>
      <c r="F227" s="32">
        <f t="shared" ref="F227:J227" si="158">F149</f>
        <v>700</v>
      </c>
      <c r="G227" s="48">
        <f t="shared" si="151"/>
        <v>1545</v>
      </c>
      <c r="H227" s="48">
        <f t="shared" si="158"/>
        <v>1500</v>
      </c>
      <c r="I227" s="49">
        <f t="shared" si="158"/>
        <v>0.03</v>
      </c>
      <c r="J227" s="31">
        <f t="shared" si="158"/>
        <v>160</v>
      </c>
      <c r="K227" s="31">
        <f>(F227+G227+J227)*$K$5</f>
        <v>144.3</v>
      </c>
      <c r="L227" s="31">
        <f>(F227+G227+J227+K227)*$L$5</f>
        <v>76.479</v>
      </c>
      <c r="M227" s="48">
        <f>(F227+G227+J227+K227+L227)*1.5</f>
        <v>3938.6685</v>
      </c>
      <c r="N227" s="48"/>
      <c r="O227" s="48">
        <f t="shared" si="152"/>
        <v>196.933425</v>
      </c>
      <c r="P227" s="32"/>
      <c r="R227" s="46">
        <f t="shared" si="143"/>
        <v>196.933425</v>
      </c>
      <c r="S227" s="46">
        <f t="shared" si="144"/>
        <v>2625.779</v>
      </c>
      <c r="T227" s="46" t="b">
        <f t="shared" si="145"/>
        <v>0</v>
      </c>
      <c r="U227" s="46" t="b">
        <f t="shared" si="146"/>
        <v>1</v>
      </c>
    </row>
    <row r="228" s="46" customFormat="1" ht="56.25" outlineLevel="1" spans="1:21">
      <c r="A228" s="32">
        <v>203</v>
      </c>
      <c r="B228" s="32" t="s">
        <v>509</v>
      </c>
      <c r="C228" s="32" t="s">
        <v>512</v>
      </c>
      <c r="D228" s="32" t="s">
        <v>511</v>
      </c>
      <c r="E228" s="32">
        <v>0.37</v>
      </c>
      <c r="F228" s="32">
        <f t="shared" ref="F228:J228" si="159">F149</f>
        <v>700</v>
      </c>
      <c r="G228" s="48">
        <f t="shared" si="151"/>
        <v>1545</v>
      </c>
      <c r="H228" s="48">
        <f t="shared" si="159"/>
        <v>1500</v>
      </c>
      <c r="I228" s="49">
        <f t="shared" si="159"/>
        <v>0.03</v>
      </c>
      <c r="J228" s="31">
        <f t="shared" si="159"/>
        <v>160</v>
      </c>
      <c r="K228" s="31">
        <f>(F228+G228+J228)*$K$5</f>
        <v>144.3</v>
      </c>
      <c r="L228" s="31">
        <f>(F228+G228+J228+K228)*$L$5</f>
        <v>76.479</v>
      </c>
      <c r="M228" s="48">
        <f>(F228+G228+J228+K228+L228)*1.5</f>
        <v>3938.6685</v>
      </c>
      <c r="N228" s="48"/>
      <c r="O228" s="48">
        <f t="shared" si="152"/>
        <v>1457.307345</v>
      </c>
      <c r="P228" s="32"/>
      <c r="R228" s="46">
        <f t="shared" si="143"/>
        <v>1457.307345</v>
      </c>
      <c r="S228" s="46">
        <f t="shared" si="144"/>
        <v>2625.779</v>
      </c>
      <c r="T228" s="46" t="b">
        <f t="shared" si="145"/>
        <v>0</v>
      </c>
      <c r="U228" s="46" t="b">
        <f t="shared" si="146"/>
        <v>1</v>
      </c>
    </row>
    <row r="229" s="46" customFormat="1" outlineLevel="1" spans="1:18">
      <c r="A229" s="32"/>
      <c r="B229" s="32"/>
      <c r="C229" s="32"/>
      <c r="D229" s="32"/>
      <c r="E229" s="32"/>
      <c r="F229" s="32"/>
      <c r="G229" s="48"/>
      <c r="H229" s="48"/>
      <c r="I229" s="49"/>
      <c r="J229" s="31"/>
      <c r="K229" s="31"/>
      <c r="L229" s="31"/>
      <c r="M229" s="48"/>
      <c r="N229" s="61">
        <f>SUM(O8:O228)</f>
        <v>1233758.90990285</v>
      </c>
      <c r="O229" s="62"/>
      <c r="P229" s="32"/>
      <c r="R229" s="46">
        <f>SUM(R8:R228)</f>
        <v>1233758.90990285</v>
      </c>
    </row>
    <row r="230" ht="59" customHeight="1" spans="1:16">
      <c r="A230" s="35" t="s">
        <v>328</v>
      </c>
      <c r="B230" s="36" t="s">
        <v>329</v>
      </c>
      <c r="C230" s="36"/>
      <c r="D230" s="36"/>
      <c r="E230" s="36"/>
      <c r="F230" s="36"/>
      <c r="G230" s="36"/>
      <c r="H230" s="36"/>
      <c r="I230" s="36"/>
      <c r="J230" s="35"/>
      <c r="K230" s="35"/>
      <c r="L230" s="35"/>
      <c r="M230" s="36"/>
      <c r="N230" s="36"/>
      <c r="O230" s="36"/>
      <c r="P230" s="36"/>
    </row>
  </sheetData>
  <autoFilter ref="A5:P230">
    <extLst/>
  </autoFilter>
  <mergeCells count="338">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M130:N130"/>
    <mergeCell ref="M131:N131"/>
    <mergeCell ref="M132:N132"/>
    <mergeCell ref="M133:N133"/>
    <mergeCell ref="M134:N134"/>
    <mergeCell ref="M135:N135"/>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1:N191"/>
    <mergeCell ref="M192:N192"/>
    <mergeCell ref="M193:N193"/>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2:N212"/>
    <mergeCell ref="M213:N213"/>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26:N226"/>
    <mergeCell ref="M227:N227"/>
    <mergeCell ref="M228:N228"/>
    <mergeCell ref="N229:O229"/>
    <mergeCell ref="B230:P230"/>
    <mergeCell ref="A3:A5"/>
    <mergeCell ref="A104:A105"/>
    <mergeCell ref="A106:A107"/>
    <mergeCell ref="A108:A109"/>
    <mergeCell ref="A121:A123"/>
    <mergeCell ref="A124:A126"/>
    <mergeCell ref="A216:A218"/>
    <mergeCell ref="A219:A221"/>
    <mergeCell ref="B3:B5"/>
    <mergeCell ref="B104:B105"/>
    <mergeCell ref="B106:B107"/>
    <mergeCell ref="B108:B109"/>
    <mergeCell ref="B121:B123"/>
    <mergeCell ref="B124:B126"/>
    <mergeCell ref="B216:B218"/>
    <mergeCell ref="B219:B221"/>
    <mergeCell ref="C3:C5"/>
    <mergeCell ref="C104:C105"/>
    <mergeCell ref="C106:C107"/>
    <mergeCell ref="C108:C109"/>
    <mergeCell ref="C121:C123"/>
    <mergeCell ref="C124:C126"/>
    <mergeCell ref="C216:C218"/>
    <mergeCell ref="C219:C221"/>
    <mergeCell ref="D3:D5"/>
    <mergeCell ref="D104:D105"/>
    <mergeCell ref="D106:D107"/>
    <mergeCell ref="D108:D109"/>
    <mergeCell ref="D121:D123"/>
    <mergeCell ref="D124:D126"/>
    <mergeCell ref="D216:D218"/>
    <mergeCell ref="D219:D221"/>
    <mergeCell ref="E3:E5"/>
    <mergeCell ref="E104:E105"/>
    <mergeCell ref="E106:E107"/>
    <mergeCell ref="E108:E109"/>
    <mergeCell ref="E121:E123"/>
    <mergeCell ref="E124:E126"/>
    <mergeCell ref="E216:E218"/>
    <mergeCell ref="E219:E221"/>
    <mergeCell ref="F4:F5"/>
    <mergeCell ref="F104:F105"/>
    <mergeCell ref="F106:F107"/>
    <mergeCell ref="F108:F109"/>
    <mergeCell ref="F121:F123"/>
    <mergeCell ref="F124:F126"/>
    <mergeCell ref="F216:F218"/>
    <mergeCell ref="F219:F221"/>
    <mergeCell ref="G104:G105"/>
    <mergeCell ref="G106:G107"/>
    <mergeCell ref="G108:G109"/>
    <mergeCell ref="G121:G123"/>
    <mergeCell ref="G124:G126"/>
    <mergeCell ref="G216:G218"/>
    <mergeCell ref="G219:G221"/>
    <mergeCell ref="H104:H105"/>
    <mergeCell ref="H106:H107"/>
    <mergeCell ref="H108:H109"/>
    <mergeCell ref="H121:H123"/>
    <mergeCell ref="H124:H126"/>
    <mergeCell ref="H216:H218"/>
    <mergeCell ref="H219:H221"/>
    <mergeCell ref="I104:I105"/>
    <mergeCell ref="I106:I107"/>
    <mergeCell ref="I108:I109"/>
    <mergeCell ref="I121:I123"/>
    <mergeCell ref="I124:I126"/>
    <mergeCell ref="I216:I218"/>
    <mergeCell ref="I219:I221"/>
    <mergeCell ref="J4:J5"/>
    <mergeCell ref="J104:J105"/>
    <mergeCell ref="J106:J107"/>
    <mergeCell ref="J108:J109"/>
    <mergeCell ref="J121:J123"/>
    <mergeCell ref="J124:J126"/>
    <mergeCell ref="J216:J218"/>
    <mergeCell ref="J219:J221"/>
    <mergeCell ref="K104:K105"/>
    <mergeCell ref="K106:K107"/>
    <mergeCell ref="K108:K109"/>
    <mergeCell ref="K121:K123"/>
    <mergeCell ref="K124:K126"/>
    <mergeCell ref="K216:K218"/>
    <mergeCell ref="K219:K221"/>
    <mergeCell ref="L104:L105"/>
    <mergeCell ref="L106:L107"/>
    <mergeCell ref="L108:L109"/>
    <mergeCell ref="L121:L123"/>
    <mergeCell ref="L124:L126"/>
    <mergeCell ref="L216:L218"/>
    <mergeCell ref="L219:L221"/>
    <mergeCell ref="O3:O5"/>
    <mergeCell ref="O104:O105"/>
    <mergeCell ref="O106:O107"/>
    <mergeCell ref="O108:O109"/>
    <mergeCell ref="O121:O123"/>
    <mergeCell ref="O124:O126"/>
    <mergeCell ref="O216:O218"/>
    <mergeCell ref="O219:O221"/>
    <mergeCell ref="P3:P5"/>
    <mergeCell ref="P104:P105"/>
    <mergeCell ref="P106:P107"/>
    <mergeCell ref="P108:P109"/>
    <mergeCell ref="P121:P123"/>
    <mergeCell ref="P124:P126"/>
    <mergeCell ref="P216:P218"/>
    <mergeCell ref="P219:P221"/>
    <mergeCell ref="M3:N5"/>
  </mergeCells>
  <pageMargins left="0.751388888888889" right="0.751388888888889" top="1" bottom="1" header="0.5" footer="0.5"/>
  <pageSetup paperSize="9" scale="96"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zoomScale="115" zoomScaleNormal="115" workbookViewId="0">
      <pane ySplit="5" topLeftCell="A24" activePane="bottomLeft" state="frozen"/>
      <selection/>
      <selection pane="bottomLeft" activeCell="M31" sqref="M31"/>
    </sheetView>
  </sheetViews>
  <sheetFormatPr defaultColWidth="7.71428571428571" defaultRowHeight="11.25"/>
  <cols>
    <col min="1" max="1" width="5.92380952380952" style="22" customWidth="1"/>
    <col min="2" max="2" width="15.2857142857143" style="19" customWidth="1"/>
    <col min="3" max="3" width="32.1428571428571" style="19" customWidth="1"/>
    <col min="4" max="4" width="5.04761904761905" style="19" customWidth="1"/>
    <col min="5" max="5" width="12.2857142857143" style="23" customWidth="1"/>
    <col min="6" max="6" width="7.71428571428571" style="23" customWidth="1"/>
    <col min="7" max="7" width="7.42857142857143" style="23" customWidth="1"/>
    <col min="8" max="8" width="9.78095238095238" style="23" customWidth="1"/>
    <col min="9" max="9" width="6.71428571428571" style="24" customWidth="1"/>
    <col min="10" max="10" width="8.42857142857143" style="23" customWidth="1"/>
    <col min="11" max="11" width="10.2857142857143" style="23" customWidth="1"/>
    <col min="12" max="12" width="11.7142857142857" style="23" customWidth="1"/>
    <col min="13" max="13" width="7" style="23" customWidth="1"/>
    <col min="14" max="14" width="3.73333333333333" style="23" customWidth="1"/>
    <col min="15" max="15" width="11.8571428571429" style="23" customWidth="1"/>
    <col min="16" max="16" width="7.24761904761905" style="20" customWidth="1"/>
    <col min="17" max="29" width="7.71428571428571" style="19"/>
    <col min="30" max="16382" width="40.1428571428571" style="19"/>
    <col min="16383" max="16384" width="7.71428571428571" style="19"/>
  </cols>
  <sheetData>
    <row r="1" s="19" customFormat="1" ht="25.5" spans="1:16">
      <c r="A1" s="25" t="s">
        <v>537</v>
      </c>
      <c r="B1" s="25"/>
      <c r="C1" s="25"/>
      <c r="D1" s="25"/>
      <c r="E1" s="26"/>
      <c r="F1" s="26"/>
      <c r="G1" s="26"/>
      <c r="H1" s="26"/>
      <c r="I1" s="37"/>
      <c r="J1" s="26"/>
      <c r="K1" s="26"/>
      <c r="L1" s="26"/>
      <c r="M1" s="26"/>
      <c r="N1" s="26"/>
      <c r="O1" s="26"/>
      <c r="P1" s="25"/>
    </row>
    <row r="2" s="19" customFormat="1" ht="20" customHeight="1" spans="1:16">
      <c r="A2" s="27" t="s">
        <v>538</v>
      </c>
      <c r="B2" s="27"/>
      <c r="C2" s="27"/>
      <c r="D2" s="27"/>
      <c r="E2" s="28"/>
      <c r="F2" s="28"/>
      <c r="G2" s="29"/>
      <c r="H2" s="29"/>
      <c r="I2" s="38"/>
      <c r="J2" s="29"/>
      <c r="K2" s="29"/>
      <c r="L2" s="29"/>
      <c r="M2" s="29"/>
      <c r="N2" s="29"/>
      <c r="O2" s="29"/>
      <c r="P2" s="39"/>
    </row>
    <row r="3" s="19" customFormat="1" spans="1:16">
      <c r="A3" s="30" t="s">
        <v>46</v>
      </c>
      <c r="B3" s="30" t="s">
        <v>47</v>
      </c>
      <c r="C3" s="30" t="s">
        <v>48</v>
      </c>
      <c r="D3" s="30" t="s">
        <v>25</v>
      </c>
      <c r="E3" s="31" t="s">
        <v>49</v>
      </c>
      <c r="F3" s="31" t="s">
        <v>50</v>
      </c>
      <c r="G3" s="31"/>
      <c r="H3" s="31"/>
      <c r="I3" s="40"/>
      <c r="J3" s="31"/>
      <c r="K3" s="31"/>
      <c r="L3" s="31"/>
      <c r="M3" s="31" t="s">
        <v>51</v>
      </c>
      <c r="N3" s="31"/>
      <c r="O3" s="31" t="s">
        <v>52</v>
      </c>
      <c r="P3" s="30" t="s">
        <v>53</v>
      </c>
    </row>
    <row r="4" s="19" customFormat="1" ht="45" spans="1:16">
      <c r="A4" s="30"/>
      <c r="B4" s="30"/>
      <c r="C4" s="30"/>
      <c r="D4" s="30"/>
      <c r="E4" s="31"/>
      <c r="F4" s="31" t="s">
        <v>54</v>
      </c>
      <c r="G4" s="31" t="s">
        <v>55</v>
      </c>
      <c r="H4" s="31" t="s">
        <v>56</v>
      </c>
      <c r="I4" s="40" t="s">
        <v>57</v>
      </c>
      <c r="J4" s="31" t="s">
        <v>58</v>
      </c>
      <c r="K4" s="31" t="s">
        <v>59</v>
      </c>
      <c r="L4" s="31" t="s">
        <v>60</v>
      </c>
      <c r="M4" s="31"/>
      <c r="N4" s="31"/>
      <c r="O4" s="31"/>
      <c r="P4" s="30"/>
    </row>
    <row r="5" s="19" customFormat="1" ht="22.5" spans="1:16">
      <c r="A5" s="30"/>
      <c r="B5" s="30"/>
      <c r="C5" s="30"/>
      <c r="D5" s="30"/>
      <c r="E5" s="31"/>
      <c r="F5" s="31"/>
      <c r="G5" s="31" t="s">
        <v>61</v>
      </c>
      <c r="H5" s="31" t="s">
        <v>62</v>
      </c>
      <c r="I5" s="40" t="s">
        <v>63</v>
      </c>
      <c r="J5" s="31"/>
      <c r="K5" s="41">
        <f>'02、装饰工程'!K5</f>
        <v>0.06</v>
      </c>
      <c r="L5" s="41">
        <f>'02、装饰工程'!L5</f>
        <v>0.03</v>
      </c>
      <c r="M5" s="31"/>
      <c r="N5" s="31"/>
      <c r="O5" s="31"/>
      <c r="P5" s="30"/>
    </row>
    <row r="6" s="19" customFormat="1" ht="45" spans="1:16">
      <c r="A6" s="30">
        <v>1</v>
      </c>
      <c r="B6" s="32" t="s">
        <v>412</v>
      </c>
      <c r="C6" s="32" t="s">
        <v>539</v>
      </c>
      <c r="D6" s="32" t="s">
        <v>334</v>
      </c>
      <c r="E6" s="31">
        <v>14</v>
      </c>
      <c r="F6" s="31">
        <v>95</v>
      </c>
      <c r="G6" s="31">
        <f>H6+H6*I6</f>
        <v>336</v>
      </c>
      <c r="H6" s="31">
        <v>320</v>
      </c>
      <c r="I6" s="40">
        <v>0.05</v>
      </c>
      <c r="J6" s="31">
        <v>235</v>
      </c>
      <c r="K6" s="31">
        <f>(F6+G6+J6)*$K$5</f>
        <v>39.96</v>
      </c>
      <c r="L6" s="31">
        <f>(F6+G6+J6+K6)*$L$5</f>
        <v>21.1788</v>
      </c>
      <c r="M6" s="31">
        <f>(L6+K6+J6+G6+F6)*1.5</f>
        <v>1090.7082</v>
      </c>
      <c r="N6" s="31"/>
      <c r="O6" s="31">
        <f>M6*E6</f>
        <v>15269.9148</v>
      </c>
      <c r="P6" s="30" t="s">
        <v>540</v>
      </c>
    </row>
    <row r="7" s="19" customFormat="1" ht="45" spans="1:16">
      <c r="A7" s="30">
        <v>2</v>
      </c>
      <c r="B7" s="32" t="s">
        <v>412</v>
      </c>
      <c r="C7" s="32" t="s">
        <v>541</v>
      </c>
      <c r="D7" s="32" t="s">
        <v>334</v>
      </c>
      <c r="E7" s="31">
        <v>1</v>
      </c>
      <c r="F7" s="31">
        <f t="shared" ref="F7:J7" si="0">F6</f>
        <v>95</v>
      </c>
      <c r="G7" s="31">
        <f t="shared" ref="G7:G24" si="1">H7*I7+H7</f>
        <v>267.75</v>
      </c>
      <c r="H7" s="31">
        <v>255</v>
      </c>
      <c r="I7" s="40">
        <f t="shared" si="0"/>
        <v>0.05</v>
      </c>
      <c r="J7" s="31">
        <f t="shared" si="0"/>
        <v>235</v>
      </c>
      <c r="K7" s="31">
        <f t="shared" ref="K7:K24" si="2">(F7+G7+J7)*$K$5</f>
        <v>35.865</v>
      </c>
      <c r="L7" s="31">
        <f t="shared" ref="L7:L24" si="3">(F7+G7+J7+K7)*$L$5</f>
        <v>19.00845</v>
      </c>
      <c r="M7" s="31">
        <f t="shared" ref="M7:M24" si="4">(L7+K7+J7+G7+F7)*1.5</f>
        <v>978.935175</v>
      </c>
      <c r="N7" s="31"/>
      <c r="O7" s="31">
        <f t="shared" ref="O6:O24" si="5">M7*E7</f>
        <v>978.935175</v>
      </c>
      <c r="P7" s="30" t="s">
        <v>540</v>
      </c>
    </row>
    <row r="8" s="19" customFormat="1" ht="45" spans="1:16">
      <c r="A8" s="30">
        <v>3</v>
      </c>
      <c r="B8" s="32" t="s">
        <v>412</v>
      </c>
      <c r="C8" s="32" t="s">
        <v>542</v>
      </c>
      <c r="D8" s="32" t="s">
        <v>334</v>
      </c>
      <c r="E8" s="31">
        <v>1</v>
      </c>
      <c r="F8" s="31">
        <f>F7</f>
        <v>95</v>
      </c>
      <c r="G8" s="31">
        <f t="shared" si="1"/>
        <v>299.25</v>
      </c>
      <c r="H8" s="31">
        <v>285</v>
      </c>
      <c r="I8" s="40">
        <f t="shared" ref="I8:I24" si="6">I7</f>
        <v>0.05</v>
      </c>
      <c r="J8" s="31">
        <v>35</v>
      </c>
      <c r="K8" s="31">
        <f t="shared" si="2"/>
        <v>25.755</v>
      </c>
      <c r="L8" s="31">
        <f t="shared" si="3"/>
        <v>13.65015</v>
      </c>
      <c r="M8" s="31">
        <f t="shared" si="4"/>
        <v>702.982725</v>
      </c>
      <c r="N8" s="31"/>
      <c r="O8" s="31">
        <f t="shared" si="5"/>
        <v>702.982725</v>
      </c>
      <c r="P8" s="30" t="s">
        <v>540</v>
      </c>
    </row>
    <row r="9" s="19" customFormat="1" ht="45" spans="1:16">
      <c r="A9" s="30">
        <v>4</v>
      </c>
      <c r="B9" s="32" t="s">
        <v>543</v>
      </c>
      <c r="C9" s="32" t="s">
        <v>544</v>
      </c>
      <c r="D9" s="32" t="s">
        <v>273</v>
      </c>
      <c r="E9" s="31">
        <v>8</v>
      </c>
      <c r="F9" s="31">
        <v>50</v>
      </c>
      <c r="G9" s="31">
        <f t="shared" si="1"/>
        <v>577.5</v>
      </c>
      <c r="H9" s="31">
        <v>550</v>
      </c>
      <c r="I9" s="40">
        <f t="shared" si="6"/>
        <v>0.05</v>
      </c>
      <c r="J9" s="31">
        <v>5</v>
      </c>
      <c r="K9" s="31">
        <f t="shared" si="2"/>
        <v>37.95</v>
      </c>
      <c r="L9" s="31">
        <f t="shared" si="3"/>
        <v>20.1135</v>
      </c>
      <c r="M9" s="31">
        <f t="shared" si="4"/>
        <v>1035.84525</v>
      </c>
      <c r="N9" s="31"/>
      <c r="O9" s="31">
        <f t="shared" si="5"/>
        <v>8286.762</v>
      </c>
      <c r="P9" s="30" t="s">
        <v>545</v>
      </c>
    </row>
    <row r="10" s="19" customFormat="1" ht="78.75" spans="1:16">
      <c r="A10" s="30">
        <v>5</v>
      </c>
      <c r="B10" s="32" t="s">
        <v>400</v>
      </c>
      <c r="C10" s="32" t="s">
        <v>546</v>
      </c>
      <c r="D10" s="32" t="s">
        <v>334</v>
      </c>
      <c r="E10" s="31">
        <v>2</v>
      </c>
      <c r="F10" s="31">
        <v>260</v>
      </c>
      <c r="G10" s="31">
        <f t="shared" si="1"/>
        <v>1417.5</v>
      </c>
      <c r="H10" s="31">
        <v>1350</v>
      </c>
      <c r="I10" s="40">
        <f t="shared" si="6"/>
        <v>0.05</v>
      </c>
      <c r="J10" s="31">
        <v>50</v>
      </c>
      <c r="K10" s="31">
        <f t="shared" si="2"/>
        <v>103.65</v>
      </c>
      <c r="L10" s="31">
        <f t="shared" si="3"/>
        <v>54.9345</v>
      </c>
      <c r="M10" s="31">
        <f t="shared" si="4"/>
        <v>2829.12675</v>
      </c>
      <c r="N10" s="31"/>
      <c r="O10" s="31">
        <f t="shared" si="5"/>
        <v>5658.2535</v>
      </c>
      <c r="P10" s="30" t="s">
        <v>547</v>
      </c>
    </row>
    <row r="11" s="19" customFormat="1" ht="67.5" spans="1:16">
      <c r="A11" s="30">
        <v>6</v>
      </c>
      <c r="B11" s="32" t="s">
        <v>404</v>
      </c>
      <c r="C11" s="32" t="s">
        <v>548</v>
      </c>
      <c r="D11" s="32" t="s">
        <v>334</v>
      </c>
      <c r="E11" s="31">
        <v>7</v>
      </c>
      <c r="F11" s="31">
        <v>50</v>
      </c>
      <c r="G11" s="31">
        <f t="shared" si="1"/>
        <v>194.25</v>
      </c>
      <c r="H11" s="31">
        <v>185</v>
      </c>
      <c r="I11" s="40">
        <f t="shared" si="6"/>
        <v>0.05</v>
      </c>
      <c r="J11" s="31">
        <v>20</v>
      </c>
      <c r="K11" s="31">
        <f t="shared" si="2"/>
        <v>15.855</v>
      </c>
      <c r="L11" s="31">
        <f t="shared" si="3"/>
        <v>8.40315</v>
      </c>
      <c r="M11" s="31">
        <f t="shared" si="4"/>
        <v>432.762225</v>
      </c>
      <c r="N11" s="31"/>
      <c r="O11" s="31">
        <f t="shared" si="5"/>
        <v>3029.335575</v>
      </c>
      <c r="P11" s="30" t="s">
        <v>549</v>
      </c>
    </row>
    <row r="12" s="19" customFormat="1" ht="45" spans="1:16">
      <c r="A12" s="30">
        <v>7</v>
      </c>
      <c r="B12" s="32" t="s">
        <v>550</v>
      </c>
      <c r="C12" s="32" t="s">
        <v>551</v>
      </c>
      <c r="D12" s="32" t="s">
        <v>96</v>
      </c>
      <c r="E12" s="31">
        <v>5</v>
      </c>
      <c r="F12" s="31">
        <v>300</v>
      </c>
      <c r="G12" s="31">
        <f t="shared" si="1"/>
        <v>210</v>
      </c>
      <c r="H12" s="31">
        <v>200</v>
      </c>
      <c r="I12" s="40">
        <f t="shared" si="6"/>
        <v>0.05</v>
      </c>
      <c r="J12" s="31">
        <v>49.9</v>
      </c>
      <c r="K12" s="31">
        <f t="shared" si="2"/>
        <v>33.594</v>
      </c>
      <c r="L12" s="31">
        <f t="shared" si="3"/>
        <v>17.80482</v>
      </c>
      <c r="M12" s="31">
        <f t="shared" si="4"/>
        <v>916.94823</v>
      </c>
      <c r="N12" s="31"/>
      <c r="O12" s="31">
        <f t="shared" si="5"/>
        <v>4584.74115</v>
      </c>
      <c r="P12" s="30" t="s">
        <v>545</v>
      </c>
    </row>
    <row r="13" s="19" customFormat="1" ht="45" spans="1:16">
      <c r="A13" s="30">
        <v>8</v>
      </c>
      <c r="B13" s="32" t="s">
        <v>550</v>
      </c>
      <c r="C13" s="32" t="s">
        <v>552</v>
      </c>
      <c r="D13" s="32" t="s">
        <v>96</v>
      </c>
      <c r="E13" s="31">
        <v>1</v>
      </c>
      <c r="F13" s="31">
        <v>650</v>
      </c>
      <c r="G13" s="31">
        <f t="shared" si="1"/>
        <v>787.5</v>
      </c>
      <c r="H13" s="31">
        <v>750</v>
      </c>
      <c r="I13" s="40">
        <f t="shared" si="6"/>
        <v>0.05</v>
      </c>
      <c r="J13" s="31">
        <v>120</v>
      </c>
      <c r="K13" s="31">
        <f t="shared" si="2"/>
        <v>93.45</v>
      </c>
      <c r="L13" s="31">
        <f t="shared" si="3"/>
        <v>49.5285</v>
      </c>
      <c r="M13" s="31">
        <f t="shared" si="4"/>
        <v>2550.71775</v>
      </c>
      <c r="N13" s="31"/>
      <c r="O13" s="31">
        <f t="shared" si="5"/>
        <v>2550.71775</v>
      </c>
      <c r="P13" s="30" t="str">
        <f>P12</f>
        <v>定制</v>
      </c>
    </row>
    <row r="14" s="19" customFormat="1" ht="56.25" spans="1:16">
      <c r="A14" s="30">
        <v>9</v>
      </c>
      <c r="B14" s="32" t="s">
        <v>416</v>
      </c>
      <c r="C14" s="32" t="s">
        <v>553</v>
      </c>
      <c r="D14" s="32" t="s">
        <v>334</v>
      </c>
      <c r="E14" s="31">
        <v>1</v>
      </c>
      <c r="F14" s="31">
        <v>260</v>
      </c>
      <c r="G14" s="31">
        <f t="shared" si="1"/>
        <v>1575</v>
      </c>
      <c r="H14" s="31">
        <v>1500</v>
      </c>
      <c r="I14" s="40">
        <f t="shared" si="6"/>
        <v>0.05</v>
      </c>
      <c r="J14" s="31">
        <v>120</v>
      </c>
      <c r="K14" s="31">
        <f t="shared" si="2"/>
        <v>117.3</v>
      </c>
      <c r="L14" s="31">
        <f t="shared" si="3"/>
        <v>62.169</v>
      </c>
      <c r="M14" s="31">
        <f t="shared" si="4"/>
        <v>3201.7035</v>
      </c>
      <c r="N14" s="31"/>
      <c r="O14" s="31">
        <f t="shared" si="5"/>
        <v>3201.7035</v>
      </c>
      <c r="P14" s="30" t="s">
        <v>554</v>
      </c>
    </row>
    <row r="15" s="19" customFormat="1" ht="45" spans="1:16">
      <c r="A15" s="30">
        <v>10</v>
      </c>
      <c r="B15" s="32" t="s">
        <v>344</v>
      </c>
      <c r="C15" s="32" t="s">
        <v>555</v>
      </c>
      <c r="D15" s="32" t="s">
        <v>102</v>
      </c>
      <c r="E15" s="31">
        <v>344.23</v>
      </c>
      <c r="F15" s="31">
        <v>5</v>
      </c>
      <c r="G15" s="31">
        <f t="shared" si="1"/>
        <v>4.725</v>
      </c>
      <c r="H15" s="31">
        <v>4.5</v>
      </c>
      <c r="I15" s="40">
        <f t="shared" si="6"/>
        <v>0.05</v>
      </c>
      <c r="J15" s="31">
        <v>1</v>
      </c>
      <c r="K15" s="31">
        <f t="shared" si="2"/>
        <v>0.6435</v>
      </c>
      <c r="L15" s="31">
        <f t="shared" si="3"/>
        <v>0.341055</v>
      </c>
      <c r="M15" s="31">
        <f t="shared" si="4"/>
        <v>17.5643325</v>
      </c>
      <c r="N15" s="31"/>
      <c r="O15" s="31">
        <f t="shared" si="5"/>
        <v>6046.170176475</v>
      </c>
      <c r="P15" s="30" t="s">
        <v>556</v>
      </c>
    </row>
    <row r="16" s="19" customFormat="1" ht="45" spans="1:16">
      <c r="A16" s="30">
        <v>11</v>
      </c>
      <c r="B16" s="32" t="s">
        <v>344</v>
      </c>
      <c r="C16" s="32" t="s">
        <v>557</v>
      </c>
      <c r="D16" s="32" t="s">
        <v>102</v>
      </c>
      <c r="E16" s="31">
        <v>12.97</v>
      </c>
      <c r="F16" s="31">
        <f t="shared" ref="F16:F22" si="7">F15</f>
        <v>5</v>
      </c>
      <c r="G16" s="31">
        <f t="shared" si="1"/>
        <v>6.825</v>
      </c>
      <c r="H16" s="31">
        <v>6.5</v>
      </c>
      <c r="I16" s="40">
        <f t="shared" si="6"/>
        <v>0.05</v>
      </c>
      <c r="J16" s="31">
        <v>1</v>
      </c>
      <c r="K16" s="31">
        <f t="shared" si="2"/>
        <v>0.7695</v>
      </c>
      <c r="L16" s="31">
        <f t="shared" si="3"/>
        <v>0.407835</v>
      </c>
      <c r="M16" s="31">
        <f t="shared" si="4"/>
        <v>21.0035025</v>
      </c>
      <c r="N16" s="31"/>
      <c r="O16" s="31">
        <f t="shared" si="5"/>
        <v>272.415427425</v>
      </c>
      <c r="P16" s="30" t="str">
        <f>P15</f>
        <v>联塑</v>
      </c>
    </row>
    <row r="17" s="19" customFormat="1" ht="45" spans="1:16">
      <c r="A17" s="30">
        <v>12</v>
      </c>
      <c r="B17" s="32" t="s">
        <v>344</v>
      </c>
      <c r="C17" s="32" t="s">
        <v>558</v>
      </c>
      <c r="D17" s="32" t="s">
        <v>102</v>
      </c>
      <c r="E17" s="31">
        <v>370.35</v>
      </c>
      <c r="F17" s="31">
        <v>15</v>
      </c>
      <c r="G17" s="31">
        <f t="shared" si="1"/>
        <v>23.1</v>
      </c>
      <c r="H17" s="31">
        <v>22</v>
      </c>
      <c r="I17" s="40">
        <f t="shared" si="6"/>
        <v>0.05</v>
      </c>
      <c r="J17" s="31">
        <v>3</v>
      </c>
      <c r="K17" s="31">
        <f t="shared" si="2"/>
        <v>2.466</v>
      </c>
      <c r="L17" s="31">
        <f t="shared" si="3"/>
        <v>1.30698</v>
      </c>
      <c r="M17" s="31">
        <f t="shared" si="4"/>
        <v>67.30947</v>
      </c>
      <c r="N17" s="31"/>
      <c r="O17" s="31">
        <f t="shared" si="5"/>
        <v>24928.0622145</v>
      </c>
      <c r="P17" s="30"/>
    </row>
    <row r="18" s="19" customFormat="1" ht="45" spans="1:16">
      <c r="A18" s="30">
        <v>13</v>
      </c>
      <c r="B18" s="32" t="s">
        <v>354</v>
      </c>
      <c r="C18" s="32" t="s">
        <v>559</v>
      </c>
      <c r="D18" s="32" t="s">
        <v>102</v>
      </c>
      <c r="E18" s="31">
        <v>567.37</v>
      </c>
      <c r="F18" s="31">
        <f>F16</f>
        <v>5</v>
      </c>
      <c r="G18" s="31">
        <f t="shared" si="1"/>
        <v>3.36</v>
      </c>
      <c r="H18" s="31">
        <v>3.2</v>
      </c>
      <c r="I18" s="40">
        <f t="shared" si="6"/>
        <v>0.05</v>
      </c>
      <c r="J18" s="31">
        <v>0.2</v>
      </c>
      <c r="K18" s="31">
        <f t="shared" si="2"/>
        <v>0.5136</v>
      </c>
      <c r="L18" s="31">
        <f t="shared" si="3"/>
        <v>0.272208</v>
      </c>
      <c r="M18" s="31">
        <f t="shared" si="4"/>
        <v>14.018712</v>
      </c>
      <c r="N18" s="31"/>
      <c r="O18" s="31">
        <f t="shared" si="5"/>
        <v>7953.79662744</v>
      </c>
      <c r="P18" s="30" t="s">
        <v>346</v>
      </c>
    </row>
    <row r="19" s="19" customFormat="1" ht="45" spans="1:16">
      <c r="A19" s="30">
        <v>14</v>
      </c>
      <c r="B19" s="32" t="s">
        <v>354</v>
      </c>
      <c r="C19" s="32" t="s">
        <v>560</v>
      </c>
      <c r="D19" s="32" t="s">
        <v>102</v>
      </c>
      <c r="E19" s="31">
        <v>176.04</v>
      </c>
      <c r="F19" s="31">
        <f t="shared" si="7"/>
        <v>5</v>
      </c>
      <c r="G19" s="31">
        <f t="shared" si="1"/>
        <v>3.99</v>
      </c>
      <c r="H19" s="31">
        <v>3.8</v>
      </c>
      <c r="I19" s="40">
        <f t="shared" si="6"/>
        <v>0.05</v>
      </c>
      <c r="J19" s="31">
        <f t="shared" ref="J19:J22" si="8">J18</f>
        <v>0.2</v>
      </c>
      <c r="K19" s="31">
        <f t="shared" si="2"/>
        <v>0.5514</v>
      </c>
      <c r="L19" s="31">
        <f t="shared" si="3"/>
        <v>0.292242</v>
      </c>
      <c r="M19" s="31">
        <f t="shared" si="4"/>
        <v>15.050463</v>
      </c>
      <c r="N19" s="31"/>
      <c r="O19" s="31">
        <f t="shared" si="5"/>
        <v>2649.48350652</v>
      </c>
      <c r="P19" s="30" t="s">
        <v>346</v>
      </c>
    </row>
    <row r="20" s="19" customFormat="1" ht="45" spans="1:16">
      <c r="A20" s="30">
        <v>15</v>
      </c>
      <c r="B20" s="32" t="s">
        <v>354</v>
      </c>
      <c r="C20" s="32" t="s">
        <v>561</v>
      </c>
      <c r="D20" s="32" t="s">
        <v>102</v>
      </c>
      <c r="E20" s="31">
        <v>50</v>
      </c>
      <c r="F20" s="31">
        <f t="shared" si="7"/>
        <v>5</v>
      </c>
      <c r="G20" s="31">
        <f t="shared" si="1"/>
        <v>5.775</v>
      </c>
      <c r="H20" s="31">
        <v>5.5</v>
      </c>
      <c r="I20" s="40">
        <f t="shared" si="6"/>
        <v>0.05</v>
      </c>
      <c r="J20" s="31">
        <f t="shared" si="8"/>
        <v>0.2</v>
      </c>
      <c r="K20" s="31">
        <f t="shared" si="2"/>
        <v>0.6585</v>
      </c>
      <c r="L20" s="31">
        <f t="shared" si="3"/>
        <v>0.349005</v>
      </c>
      <c r="M20" s="31">
        <f t="shared" si="4"/>
        <v>17.9737575</v>
      </c>
      <c r="N20" s="31"/>
      <c r="O20" s="31">
        <f t="shared" si="5"/>
        <v>898.687875</v>
      </c>
      <c r="P20" s="30" t="s">
        <v>346</v>
      </c>
    </row>
    <row r="21" s="19" customFormat="1" ht="45" spans="1:16">
      <c r="A21" s="30">
        <v>16</v>
      </c>
      <c r="B21" s="32" t="s">
        <v>397</v>
      </c>
      <c r="C21" s="32" t="s">
        <v>398</v>
      </c>
      <c r="D21" s="32" t="s">
        <v>102</v>
      </c>
      <c r="E21" s="31">
        <v>567.37</v>
      </c>
      <c r="F21" s="31">
        <f t="shared" si="7"/>
        <v>5</v>
      </c>
      <c r="G21" s="31">
        <f t="shared" si="1"/>
        <v>5.04</v>
      </c>
      <c r="H21" s="31">
        <v>4.8</v>
      </c>
      <c r="I21" s="40">
        <f t="shared" si="6"/>
        <v>0.05</v>
      </c>
      <c r="J21" s="31">
        <f t="shared" si="8"/>
        <v>0.2</v>
      </c>
      <c r="K21" s="31">
        <f t="shared" si="2"/>
        <v>0.6144</v>
      </c>
      <c r="L21" s="31">
        <f t="shared" si="3"/>
        <v>0.325632</v>
      </c>
      <c r="M21" s="31">
        <f t="shared" si="4"/>
        <v>16.770048</v>
      </c>
      <c r="N21" s="31"/>
      <c r="O21" s="31">
        <f t="shared" si="5"/>
        <v>9514.82213376</v>
      </c>
      <c r="P21" s="30" t="s">
        <v>346</v>
      </c>
    </row>
    <row r="22" s="19" customFormat="1" ht="45" spans="1:16">
      <c r="A22" s="30">
        <v>17</v>
      </c>
      <c r="B22" s="32" t="s">
        <v>562</v>
      </c>
      <c r="C22" s="32" t="s">
        <v>563</v>
      </c>
      <c r="D22" s="32" t="s">
        <v>102</v>
      </c>
      <c r="E22" s="31">
        <v>191.53</v>
      </c>
      <c r="F22" s="31">
        <f t="shared" si="7"/>
        <v>5</v>
      </c>
      <c r="G22" s="31">
        <f t="shared" si="1"/>
        <v>3.99</v>
      </c>
      <c r="H22" s="31">
        <v>3.8</v>
      </c>
      <c r="I22" s="40">
        <f t="shared" si="6"/>
        <v>0.05</v>
      </c>
      <c r="J22" s="31">
        <f t="shared" si="8"/>
        <v>0.2</v>
      </c>
      <c r="K22" s="31">
        <f t="shared" si="2"/>
        <v>0.5514</v>
      </c>
      <c r="L22" s="31">
        <f t="shared" si="3"/>
        <v>0.292242</v>
      </c>
      <c r="M22" s="31">
        <f t="shared" si="4"/>
        <v>15.050463</v>
      </c>
      <c r="N22" s="31"/>
      <c r="O22" s="31">
        <f t="shared" si="5"/>
        <v>2882.61517839</v>
      </c>
      <c r="P22" s="30" t="s">
        <v>346</v>
      </c>
    </row>
    <row r="23" s="19" customFormat="1" ht="45" spans="1:16">
      <c r="A23" s="30">
        <v>18</v>
      </c>
      <c r="B23" s="32" t="s">
        <v>564</v>
      </c>
      <c r="C23" s="32" t="s">
        <v>565</v>
      </c>
      <c r="D23" s="32" t="s">
        <v>511</v>
      </c>
      <c r="E23" s="31">
        <v>218.82</v>
      </c>
      <c r="F23" s="31">
        <v>40</v>
      </c>
      <c r="G23" s="31">
        <f t="shared" si="1"/>
        <v>0</v>
      </c>
      <c r="H23" s="31">
        <v>0</v>
      </c>
      <c r="I23" s="40">
        <f t="shared" si="6"/>
        <v>0.05</v>
      </c>
      <c r="J23" s="31">
        <v>1</v>
      </c>
      <c r="K23" s="31">
        <f t="shared" si="2"/>
        <v>2.46</v>
      </c>
      <c r="L23" s="31">
        <f t="shared" si="3"/>
        <v>1.3038</v>
      </c>
      <c r="M23" s="31">
        <f t="shared" si="4"/>
        <v>67.1457</v>
      </c>
      <c r="N23" s="31"/>
      <c r="O23" s="31">
        <f t="shared" si="5"/>
        <v>14692.822074</v>
      </c>
      <c r="P23" s="30"/>
    </row>
    <row r="24" s="19" customFormat="1" ht="45" spans="1:16">
      <c r="A24" s="30">
        <v>19</v>
      </c>
      <c r="B24" s="32" t="s">
        <v>566</v>
      </c>
      <c r="C24" s="32" t="s">
        <v>567</v>
      </c>
      <c r="D24" s="32" t="s">
        <v>511</v>
      </c>
      <c r="E24" s="31">
        <v>218.82</v>
      </c>
      <c r="F24" s="31">
        <v>35</v>
      </c>
      <c r="G24" s="31">
        <f t="shared" si="1"/>
        <v>0</v>
      </c>
      <c r="H24" s="31">
        <v>0</v>
      </c>
      <c r="I24" s="40">
        <f t="shared" si="6"/>
        <v>0.05</v>
      </c>
      <c r="J24" s="31">
        <v>1</v>
      </c>
      <c r="K24" s="31">
        <f t="shared" si="2"/>
        <v>2.16</v>
      </c>
      <c r="L24" s="31">
        <f t="shared" si="3"/>
        <v>1.1448</v>
      </c>
      <c r="M24" s="31">
        <f t="shared" si="4"/>
        <v>58.9572</v>
      </c>
      <c r="N24" s="31"/>
      <c r="O24" s="31">
        <f t="shared" si="5"/>
        <v>12901.014504</v>
      </c>
      <c r="P24" s="30"/>
    </row>
    <row r="25" s="20" customFormat="1" ht="26" customHeight="1" spans="1:16">
      <c r="A25" s="33">
        <v>20</v>
      </c>
      <c r="B25" s="33" t="s">
        <v>327</v>
      </c>
      <c r="C25" s="33"/>
      <c r="D25" s="33"/>
      <c r="E25" s="34"/>
      <c r="F25" s="34"/>
      <c r="G25" s="34"/>
      <c r="H25" s="34"/>
      <c r="I25" s="42"/>
      <c r="J25" s="34"/>
      <c r="K25" s="34"/>
      <c r="L25" s="34"/>
      <c r="M25" s="43"/>
      <c r="N25" s="44"/>
      <c r="O25" s="34">
        <f>O24+O23+O22+O21+O20+O19+O18+O17+O16+O15+O14+O13+O12+O11+O10+O9+O8+O7+O6</f>
        <v>127003.23589251</v>
      </c>
      <c r="P25" s="30"/>
    </row>
    <row r="26" s="21" customFormat="1" ht="40" customHeight="1" spans="1:17">
      <c r="A26" s="35" t="s">
        <v>328</v>
      </c>
      <c r="B26" s="36" t="s">
        <v>329</v>
      </c>
      <c r="C26" s="36"/>
      <c r="D26" s="36"/>
      <c r="E26" s="36"/>
      <c r="F26" s="36"/>
      <c r="G26" s="36"/>
      <c r="H26" s="36"/>
      <c r="I26" s="36"/>
      <c r="J26" s="36"/>
      <c r="K26" s="36"/>
      <c r="L26" s="36"/>
      <c r="M26" s="36"/>
      <c r="N26" s="36"/>
      <c r="O26" s="36"/>
      <c r="P26" s="36"/>
      <c r="Q26" s="45"/>
    </row>
  </sheetData>
  <mergeCells count="36">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B26:P26"/>
    <mergeCell ref="A3:A5"/>
    <mergeCell ref="B3:B5"/>
    <mergeCell ref="C3:C5"/>
    <mergeCell ref="D3:D5"/>
    <mergeCell ref="E3:E5"/>
    <mergeCell ref="F4:F5"/>
    <mergeCell ref="J4:J5"/>
    <mergeCell ref="O3:O5"/>
    <mergeCell ref="P3:P5"/>
    <mergeCell ref="M3:N5"/>
  </mergeCells>
  <pageMargins left="0.751388888888889" right="0.751388888888889" top="1" bottom="1" header="0.5" footer="0.5"/>
  <pageSetup paperSize="9" scale="8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568</v>
      </c>
      <c r="B1" s="6"/>
      <c r="C1" s="5"/>
      <c r="D1" s="5"/>
      <c r="E1" s="5"/>
      <c r="F1" s="5"/>
      <c r="G1" s="5"/>
      <c r="I1" s="18" t="s">
        <v>569</v>
      </c>
      <c r="J1" s="6"/>
      <c r="K1" s="5"/>
      <c r="L1" s="5"/>
      <c r="M1" s="5"/>
      <c r="N1" s="5"/>
      <c r="O1" s="5"/>
      <c r="Q1" s="18" t="s">
        <v>570</v>
      </c>
      <c r="R1" s="6"/>
      <c r="S1" s="5"/>
      <c r="T1" s="5"/>
      <c r="U1" s="5"/>
      <c r="V1" s="5"/>
      <c r="W1" s="5"/>
      <c r="Y1" s="18" t="s">
        <v>571</v>
      </c>
      <c r="Z1" s="6"/>
      <c r="AA1" s="5"/>
      <c r="AB1" s="5"/>
      <c r="AC1" s="5"/>
      <c r="AD1" s="5"/>
      <c r="AE1" s="5"/>
    </row>
    <row r="2" s="1" customFormat="1" ht="38.1" customHeight="1" spans="1:31">
      <c r="A2" s="7" t="s">
        <v>46</v>
      </c>
      <c r="B2" s="8" t="s">
        <v>24</v>
      </c>
      <c r="C2" s="7" t="s">
        <v>25</v>
      </c>
      <c r="D2" s="7" t="s">
        <v>572</v>
      </c>
      <c r="E2" s="7" t="s">
        <v>573</v>
      </c>
      <c r="F2" s="7" t="s">
        <v>327</v>
      </c>
      <c r="G2" s="7" t="s">
        <v>28</v>
      </c>
      <c r="I2" s="7" t="s">
        <v>46</v>
      </c>
      <c r="J2" s="8" t="s">
        <v>24</v>
      </c>
      <c r="K2" s="7" t="s">
        <v>25</v>
      </c>
      <c r="L2" s="7" t="s">
        <v>572</v>
      </c>
      <c r="M2" s="7" t="s">
        <v>573</v>
      </c>
      <c r="N2" s="7" t="s">
        <v>327</v>
      </c>
      <c r="O2" s="7" t="s">
        <v>28</v>
      </c>
      <c r="Q2" s="7" t="s">
        <v>46</v>
      </c>
      <c r="R2" s="8" t="s">
        <v>24</v>
      </c>
      <c r="S2" s="7" t="s">
        <v>25</v>
      </c>
      <c r="T2" s="7" t="s">
        <v>572</v>
      </c>
      <c r="U2" s="7" t="s">
        <v>573</v>
      </c>
      <c r="V2" s="7" t="s">
        <v>327</v>
      </c>
      <c r="W2" s="7" t="s">
        <v>28</v>
      </c>
      <c r="Y2" s="7" t="s">
        <v>46</v>
      </c>
      <c r="Z2" s="8" t="s">
        <v>24</v>
      </c>
      <c r="AA2" s="7" t="s">
        <v>25</v>
      </c>
      <c r="AB2" s="7" t="s">
        <v>572</v>
      </c>
      <c r="AC2" s="7" t="s">
        <v>573</v>
      </c>
      <c r="AD2" s="7" t="s">
        <v>327</v>
      </c>
      <c r="AE2" s="7" t="s">
        <v>28</v>
      </c>
    </row>
    <row r="3" s="2" customFormat="1" ht="38.1" customHeight="1" spans="1:31">
      <c r="A3" s="7"/>
      <c r="B3" s="9" t="s">
        <v>574</v>
      </c>
      <c r="C3" s="10"/>
      <c r="D3" s="10"/>
      <c r="E3" s="10"/>
      <c r="F3" s="10"/>
      <c r="G3" s="10"/>
      <c r="I3" s="7"/>
      <c r="J3" s="9" t="s">
        <v>574</v>
      </c>
      <c r="K3" s="10"/>
      <c r="L3" s="10"/>
      <c r="M3" s="10"/>
      <c r="N3" s="10"/>
      <c r="O3" s="10"/>
      <c r="Q3" s="7"/>
      <c r="R3" s="9" t="s">
        <v>574</v>
      </c>
      <c r="S3" s="10"/>
      <c r="T3" s="10"/>
      <c r="U3" s="10"/>
      <c r="V3" s="10"/>
      <c r="W3" s="10"/>
      <c r="Y3" s="7"/>
      <c r="Z3" s="9" t="s">
        <v>574</v>
      </c>
      <c r="AA3" s="10"/>
      <c r="AB3" s="10"/>
      <c r="AC3" s="10"/>
      <c r="AD3" s="10"/>
      <c r="AE3" s="10"/>
    </row>
    <row r="4" ht="48.95" customHeight="1" spans="1:31">
      <c r="A4" s="11">
        <v>1</v>
      </c>
      <c r="B4" s="12" t="s">
        <v>575</v>
      </c>
      <c r="C4" s="13" t="s">
        <v>576</v>
      </c>
      <c r="D4" s="14">
        <v>2</v>
      </c>
      <c r="E4" s="14"/>
      <c r="F4" s="14"/>
      <c r="G4" s="14"/>
      <c r="I4" s="11">
        <v>1</v>
      </c>
      <c r="J4" s="12" t="s">
        <v>575</v>
      </c>
      <c r="K4" s="13" t="s">
        <v>576</v>
      </c>
      <c r="L4" s="14">
        <v>2</v>
      </c>
      <c r="M4" s="14"/>
      <c r="N4" s="14"/>
      <c r="O4" s="14"/>
      <c r="Q4" s="11">
        <v>1</v>
      </c>
      <c r="R4" s="12" t="s">
        <v>575</v>
      </c>
      <c r="S4" s="13" t="s">
        <v>576</v>
      </c>
      <c r="T4" s="14">
        <v>2</v>
      </c>
      <c r="U4" s="14"/>
      <c r="V4" s="14"/>
      <c r="W4" s="14"/>
      <c r="Y4" s="11">
        <v>1</v>
      </c>
      <c r="Z4" s="12" t="s">
        <v>575</v>
      </c>
      <c r="AA4" s="13" t="s">
        <v>576</v>
      </c>
      <c r="AB4" s="14">
        <v>2</v>
      </c>
      <c r="AC4" s="14"/>
      <c r="AD4" s="14"/>
      <c r="AE4" s="14"/>
    </row>
    <row r="5" ht="48.95" customHeight="1" spans="1:31">
      <c r="A5" s="11">
        <v>3</v>
      </c>
      <c r="B5" s="15" t="s">
        <v>577</v>
      </c>
      <c r="C5" s="14" t="s">
        <v>102</v>
      </c>
      <c r="D5" s="14">
        <f>5.17*2</f>
        <v>10.34</v>
      </c>
      <c r="E5" s="14">
        <v>30.62</v>
      </c>
      <c r="F5" s="14">
        <f>E5*D5</f>
        <v>316.6108</v>
      </c>
      <c r="G5" s="14"/>
      <c r="I5" s="11">
        <v>3</v>
      </c>
      <c r="J5" s="15" t="s">
        <v>577</v>
      </c>
      <c r="K5" s="14" t="s">
        <v>102</v>
      </c>
      <c r="L5" s="14">
        <f>5.17*2</f>
        <v>10.34</v>
      </c>
      <c r="M5" s="14">
        <v>30.62</v>
      </c>
      <c r="N5" s="14">
        <f>M5*L5</f>
        <v>316.6108</v>
      </c>
      <c r="O5" s="14"/>
      <c r="Q5" s="11">
        <v>3</v>
      </c>
      <c r="R5" s="15" t="s">
        <v>577</v>
      </c>
      <c r="S5" s="14" t="s">
        <v>102</v>
      </c>
      <c r="T5" s="14">
        <f>5.17*2</f>
        <v>10.34</v>
      </c>
      <c r="U5" s="14">
        <v>30.62</v>
      </c>
      <c r="V5" s="14">
        <f>U5*T5</f>
        <v>316.6108</v>
      </c>
      <c r="W5" s="14"/>
      <c r="Y5" s="11">
        <v>3</v>
      </c>
      <c r="Z5" s="15" t="s">
        <v>577</v>
      </c>
      <c r="AA5" s="14" t="s">
        <v>102</v>
      </c>
      <c r="AB5" s="14">
        <f>5.17*2</f>
        <v>10.34</v>
      </c>
      <c r="AC5" s="14">
        <v>30.62</v>
      </c>
      <c r="AD5" s="14">
        <f>AC5*AB5</f>
        <v>316.6108</v>
      </c>
      <c r="AE5" s="14"/>
    </row>
    <row r="6" ht="48.95" customHeight="1" spans="1:31">
      <c r="A6" s="11">
        <v>4</v>
      </c>
      <c r="B6" s="15" t="s">
        <v>578</v>
      </c>
      <c r="C6" s="14" t="s">
        <v>102</v>
      </c>
      <c r="D6" s="14">
        <f>5.17*8</f>
        <v>41.36</v>
      </c>
      <c r="E6" s="14">
        <v>8</v>
      </c>
      <c r="F6" s="14">
        <f>E6*D6</f>
        <v>330.88</v>
      </c>
      <c r="G6" s="14"/>
      <c r="I6" s="11">
        <v>4</v>
      </c>
      <c r="J6" s="15" t="s">
        <v>578</v>
      </c>
      <c r="K6" s="14" t="s">
        <v>102</v>
      </c>
      <c r="L6" s="14">
        <f>5.17*8</f>
        <v>41.36</v>
      </c>
      <c r="M6" s="14">
        <v>8</v>
      </c>
      <c r="N6" s="14">
        <f>M6*L6</f>
        <v>330.88</v>
      </c>
      <c r="O6" s="14"/>
      <c r="Q6" s="11">
        <v>4</v>
      </c>
      <c r="R6" s="15" t="s">
        <v>578</v>
      </c>
      <c r="S6" s="14" t="s">
        <v>102</v>
      </c>
      <c r="T6" s="14">
        <f>5.17*8</f>
        <v>41.36</v>
      </c>
      <c r="U6" s="14">
        <v>8</v>
      </c>
      <c r="V6" s="14">
        <f>U6*T6</f>
        <v>330.88</v>
      </c>
      <c r="W6" s="14"/>
      <c r="Y6" s="11">
        <v>4</v>
      </c>
      <c r="Z6" s="15" t="s">
        <v>578</v>
      </c>
      <c r="AA6" s="14" t="s">
        <v>102</v>
      </c>
      <c r="AB6" s="14">
        <f>5.17*8</f>
        <v>41.36</v>
      </c>
      <c r="AC6" s="14">
        <v>8</v>
      </c>
      <c r="AD6" s="14">
        <f>AC6*AB6</f>
        <v>330.88</v>
      </c>
      <c r="AE6" s="14"/>
    </row>
    <row r="7" ht="48.95" customHeight="1" spans="1:31">
      <c r="A7" s="11">
        <v>5</v>
      </c>
      <c r="B7" s="15" t="s">
        <v>579</v>
      </c>
      <c r="C7" s="14" t="s">
        <v>102</v>
      </c>
      <c r="D7" s="14">
        <f>(0.575+0.495+0.858+0.11+0.19+0.787+0.148+0.148+0.475+0.675+0.495+0.855)*6</f>
        <v>34.866</v>
      </c>
      <c r="E7" s="14">
        <v>3.06</v>
      </c>
      <c r="F7" s="14">
        <f t="shared" ref="F7:F21" si="0">E7*D7</f>
        <v>106.68996</v>
      </c>
      <c r="G7" s="14"/>
      <c r="I7" s="11">
        <v>5</v>
      </c>
      <c r="J7" s="15" t="s">
        <v>579</v>
      </c>
      <c r="K7" s="14" t="s">
        <v>102</v>
      </c>
      <c r="L7" s="14">
        <f>(0.575+0.495+0.858+0.11+0.19+0.787+0.148+0.148+0.475+0.675+0.495+0.855)*6</f>
        <v>34.866</v>
      </c>
      <c r="M7" s="14">
        <v>3.06</v>
      </c>
      <c r="N7" s="14">
        <f t="shared" ref="N7:N16" si="1">M7*L7</f>
        <v>106.68996</v>
      </c>
      <c r="O7" s="14"/>
      <c r="Q7" s="11">
        <v>5</v>
      </c>
      <c r="R7" s="15" t="s">
        <v>579</v>
      </c>
      <c r="S7" s="14" t="s">
        <v>102</v>
      </c>
      <c r="T7" s="14">
        <f>(0.575+0.495+0.858+0.11+0.19+0.787+0.148+0.148+0.475+0.675+0.495+0.855)*6</f>
        <v>34.866</v>
      </c>
      <c r="U7" s="14">
        <v>3.06</v>
      </c>
      <c r="V7" s="14">
        <f t="shared" ref="V7:V16" si="2">U7*T7</f>
        <v>106.68996</v>
      </c>
      <c r="W7" s="14"/>
      <c r="Y7" s="11">
        <v>5</v>
      </c>
      <c r="Z7" s="15" t="s">
        <v>579</v>
      </c>
      <c r="AA7" s="14" t="s">
        <v>102</v>
      </c>
      <c r="AB7" s="14">
        <f>(0.575+0.495+0.858+0.11+0.19+0.787+0.148+0.148+0.475+0.675+0.495+0.855)*6</f>
        <v>34.866</v>
      </c>
      <c r="AC7" s="14">
        <v>3.06</v>
      </c>
      <c r="AD7" s="14">
        <f t="shared" ref="AD7:AD16" si="3">AC7*AB7</f>
        <v>106.68996</v>
      </c>
      <c r="AE7" s="14"/>
    </row>
    <row r="8" ht="48.95" customHeight="1" spans="1:31">
      <c r="A8" s="11">
        <v>6</v>
      </c>
      <c r="B8" s="15" t="s">
        <v>580</v>
      </c>
      <c r="C8" s="14" t="s">
        <v>102</v>
      </c>
      <c r="D8" s="14">
        <f>(0.185*2+0.085*2+0.11*2+0.135+0.11*2+0.185*2+0.085*2+0.135)*6</f>
        <v>10.74</v>
      </c>
      <c r="E8" s="14">
        <v>10</v>
      </c>
      <c r="F8" s="14">
        <f t="shared" si="0"/>
        <v>107.4</v>
      </c>
      <c r="G8" s="14"/>
      <c r="I8" s="11">
        <v>6</v>
      </c>
      <c r="J8" s="15" t="s">
        <v>580</v>
      </c>
      <c r="K8" s="14" t="s">
        <v>102</v>
      </c>
      <c r="L8" s="14">
        <f>(0.185*2+0.085*2+0.11*2+0.135+0.11*2+0.185*2+0.085*2+0.135)*6</f>
        <v>10.74</v>
      </c>
      <c r="M8" s="14">
        <v>10</v>
      </c>
      <c r="N8" s="14">
        <f t="shared" si="1"/>
        <v>107.4</v>
      </c>
      <c r="O8" s="14"/>
      <c r="Q8" s="11">
        <v>6</v>
      </c>
      <c r="R8" s="15" t="s">
        <v>580</v>
      </c>
      <c r="S8" s="14" t="s">
        <v>102</v>
      </c>
      <c r="T8" s="14">
        <f>(0.185*2+0.085*2+0.11*2+0.135+0.11*2+0.185*2+0.085*2+0.135)*6</f>
        <v>10.74</v>
      </c>
      <c r="U8" s="14">
        <v>10</v>
      </c>
      <c r="V8" s="14">
        <f t="shared" si="2"/>
        <v>107.4</v>
      </c>
      <c r="W8" s="14"/>
      <c r="Y8" s="11">
        <v>6</v>
      </c>
      <c r="Z8" s="15" t="s">
        <v>580</v>
      </c>
      <c r="AA8" s="14" t="s">
        <v>102</v>
      </c>
      <c r="AB8" s="14">
        <f>(0.185*2+0.085*2+0.11*2+0.135+0.11*2+0.185*2+0.085*2+0.135)*6</f>
        <v>10.74</v>
      </c>
      <c r="AC8" s="14">
        <v>10</v>
      </c>
      <c r="AD8" s="14">
        <f t="shared" si="3"/>
        <v>107.4</v>
      </c>
      <c r="AE8" s="14"/>
    </row>
    <row r="9" ht="78" customHeight="1" spans="1:31">
      <c r="A9" s="11">
        <v>7</v>
      </c>
      <c r="B9" s="12" t="s">
        <v>581</v>
      </c>
      <c r="C9" s="13" t="s">
        <v>576</v>
      </c>
      <c r="D9" s="14">
        <f>6*6</f>
        <v>36</v>
      </c>
      <c r="E9" s="14"/>
      <c r="F9" s="14">
        <f t="shared" si="0"/>
        <v>0</v>
      </c>
      <c r="G9" s="14"/>
      <c r="I9" s="11">
        <v>7</v>
      </c>
      <c r="J9" s="12" t="s">
        <v>581</v>
      </c>
      <c r="K9" s="13" t="s">
        <v>576</v>
      </c>
      <c r="L9" s="14">
        <f>6*6</f>
        <v>36</v>
      </c>
      <c r="M9" s="14"/>
      <c r="N9" s="14">
        <f t="shared" si="1"/>
        <v>0</v>
      </c>
      <c r="O9" s="14"/>
      <c r="Q9" s="11">
        <v>7</v>
      </c>
      <c r="R9" s="12" t="s">
        <v>581</v>
      </c>
      <c r="S9" s="13" t="s">
        <v>576</v>
      </c>
      <c r="T9" s="14">
        <f>6*6</f>
        <v>36</v>
      </c>
      <c r="U9" s="14"/>
      <c r="V9" s="14">
        <f t="shared" si="2"/>
        <v>0</v>
      </c>
      <c r="W9" s="14"/>
      <c r="Y9" s="11">
        <v>7</v>
      </c>
      <c r="Z9" s="12" t="s">
        <v>581</v>
      </c>
      <c r="AA9" s="13" t="s">
        <v>576</v>
      </c>
      <c r="AB9" s="14">
        <f>6*6</f>
        <v>36</v>
      </c>
      <c r="AC9" s="14"/>
      <c r="AD9" s="14">
        <f t="shared" si="3"/>
        <v>0</v>
      </c>
      <c r="AE9" s="14"/>
    </row>
    <row r="10" ht="78" customHeight="1" spans="1:31">
      <c r="A10" s="11"/>
      <c r="B10" s="12" t="s">
        <v>582</v>
      </c>
      <c r="C10" s="13"/>
      <c r="D10" s="14">
        <f>0.21*7</f>
        <v>1.47</v>
      </c>
      <c r="E10" s="14">
        <v>3.06</v>
      </c>
      <c r="F10" s="14">
        <f t="shared" si="0"/>
        <v>4.4982</v>
      </c>
      <c r="G10" s="14"/>
      <c r="I10" s="11"/>
      <c r="J10" s="12" t="s">
        <v>582</v>
      </c>
      <c r="K10" s="13"/>
      <c r="L10" s="14">
        <f>0.21*7</f>
        <v>1.47</v>
      </c>
      <c r="M10" s="14">
        <v>3.06</v>
      </c>
      <c r="N10" s="14">
        <f t="shared" si="1"/>
        <v>4.4982</v>
      </c>
      <c r="O10" s="14"/>
      <c r="Q10" s="11"/>
      <c r="R10" s="12" t="s">
        <v>582</v>
      </c>
      <c r="S10" s="13"/>
      <c r="T10" s="14">
        <f>0.21*7</f>
        <v>1.47</v>
      </c>
      <c r="U10" s="14">
        <v>3.06</v>
      </c>
      <c r="V10" s="14">
        <f t="shared" si="2"/>
        <v>4.4982</v>
      </c>
      <c r="W10" s="14"/>
      <c r="Y10" s="11"/>
      <c r="Z10" s="12" t="s">
        <v>582</v>
      </c>
      <c r="AA10" s="13"/>
      <c r="AB10" s="14">
        <f>0.21*7</f>
        <v>1.47</v>
      </c>
      <c r="AC10" s="14">
        <v>3.06</v>
      </c>
      <c r="AD10" s="14">
        <f t="shared" si="3"/>
        <v>4.4982</v>
      </c>
      <c r="AE10" s="14"/>
    </row>
    <row r="11" ht="42" customHeight="1" spans="1:31">
      <c r="A11" s="11"/>
      <c r="B11" s="16" t="s">
        <v>583</v>
      </c>
      <c r="C11" s="13"/>
      <c r="D11" s="14"/>
      <c r="E11" s="14"/>
      <c r="F11" s="14">
        <f t="shared" si="0"/>
        <v>0</v>
      </c>
      <c r="G11" s="14"/>
      <c r="I11" s="11"/>
      <c r="J11" s="16" t="s">
        <v>583</v>
      </c>
      <c r="K11" s="13"/>
      <c r="L11" s="14"/>
      <c r="M11" s="14"/>
      <c r="N11" s="14">
        <f t="shared" si="1"/>
        <v>0</v>
      </c>
      <c r="O11" s="14"/>
      <c r="Q11" s="11"/>
      <c r="R11" s="16" t="s">
        <v>583</v>
      </c>
      <c r="S11" s="13"/>
      <c r="T11" s="14"/>
      <c r="U11" s="14"/>
      <c r="V11" s="14">
        <f t="shared" si="2"/>
        <v>0</v>
      </c>
      <c r="W11" s="14"/>
      <c r="Y11" s="11"/>
      <c r="Z11" s="16" t="s">
        <v>583</v>
      </c>
      <c r="AA11" s="13"/>
      <c r="AB11" s="14"/>
      <c r="AC11" s="14"/>
      <c r="AD11" s="14">
        <f t="shared" si="3"/>
        <v>0</v>
      </c>
      <c r="AE11" s="14"/>
    </row>
    <row r="12" ht="48.95" customHeight="1" spans="1:31">
      <c r="A12" s="11">
        <v>1</v>
      </c>
      <c r="B12" s="15" t="s">
        <v>579</v>
      </c>
      <c r="C12" s="14" t="s">
        <v>102</v>
      </c>
      <c r="D12" s="14">
        <f>(0.547+0.156+0.686+1.112+1.137)*2+1.13*4+(0.547+0.156+0.686)*3*2+(1.55+1.7+1.055)*3</f>
        <v>33.045</v>
      </c>
      <c r="E12" s="14"/>
      <c r="F12" s="14">
        <f t="shared" si="0"/>
        <v>0</v>
      </c>
      <c r="G12" s="14"/>
      <c r="I12" s="11">
        <v>1</v>
      </c>
      <c r="J12" s="15" t="s">
        <v>579</v>
      </c>
      <c r="K12" s="14" t="s">
        <v>102</v>
      </c>
      <c r="L12" s="14">
        <f>(0.547+0.156+0.686+1.112+1.137)*2+1.13*4+(0.547+0.156+0.686)*3*2+(1.55+1.7+1.055)*3</f>
        <v>33.045</v>
      </c>
      <c r="M12" s="14">
        <f>M10</f>
        <v>3.06</v>
      </c>
      <c r="N12" s="14">
        <f t="shared" si="1"/>
        <v>101.1177</v>
      </c>
      <c r="O12" s="14"/>
      <c r="Q12" s="11">
        <v>1</v>
      </c>
      <c r="R12" s="15" t="s">
        <v>579</v>
      </c>
      <c r="S12" s="14" t="s">
        <v>102</v>
      </c>
      <c r="T12" s="14">
        <f>(0.547+0.156+0.686+1.112+1.137)*2+1.13*4+(0.547+0.156+0.686)*3*2+(1.55+1.7+1.055)*3</f>
        <v>33.045</v>
      </c>
      <c r="U12" s="14">
        <f>U10</f>
        <v>3.06</v>
      </c>
      <c r="V12" s="14">
        <f t="shared" si="2"/>
        <v>101.1177</v>
      </c>
      <c r="W12" s="14"/>
      <c r="Y12" s="11">
        <v>1</v>
      </c>
      <c r="Z12" s="15" t="s">
        <v>579</v>
      </c>
      <c r="AA12" s="14" t="s">
        <v>102</v>
      </c>
      <c r="AB12" s="14">
        <f>(0.547+0.156+0.686+1.112)*2+(0.547+0.156+0.686)*3*2+(1.55+1.055)*3</f>
        <v>21.151</v>
      </c>
      <c r="AC12" s="14">
        <f>AC10</f>
        <v>3.06</v>
      </c>
      <c r="AD12" s="14">
        <f t="shared" si="3"/>
        <v>64.72206</v>
      </c>
      <c r="AE12" s="14"/>
    </row>
    <row r="13" ht="48.95" customHeight="1" spans="1:31">
      <c r="A13" s="11"/>
      <c r="B13" s="12" t="s">
        <v>584</v>
      </c>
      <c r="C13" s="13" t="s">
        <v>576</v>
      </c>
      <c r="D13" s="14">
        <f>3*2</f>
        <v>6</v>
      </c>
      <c r="E13" s="14"/>
      <c r="F13" s="14">
        <f t="shared" si="0"/>
        <v>0</v>
      </c>
      <c r="G13" s="14"/>
      <c r="I13" s="11"/>
      <c r="J13" s="12" t="s">
        <v>584</v>
      </c>
      <c r="K13" s="13" t="s">
        <v>576</v>
      </c>
      <c r="L13" s="14">
        <f>3*2</f>
        <v>6</v>
      </c>
      <c r="M13" s="14"/>
      <c r="N13" s="14">
        <f t="shared" si="1"/>
        <v>0</v>
      </c>
      <c r="O13" s="14"/>
      <c r="Q13" s="11"/>
      <c r="R13" s="12" t="s">
        <v>584</v>
      </c>
      <c r="S13" s="13" t="s">
        <v>576</v>
      </c>
      <c r="T13" s="14">
        <f>3*2</f>
        <v>6</v>
      </c>
      <c r="U13" s="14"/>
      <c r="V13" s="14">
        <f t="shared" si="2"/>
        <v>0</v>
      </c>
      <c r="W13" s="14"/>
      <c r="Y13" s="11"/>
      <c r="Z13" s="12" t="s">
        <v>584</v>
      </c>
      <c r="AA13" s="13" t="s">
        <v>576</v>
      </c>
      <c r="AB13" s="14">
        <f>3*2</f>
        <v>6</v>
      </c>
      <c r="AC13" s="14"/>
      <c r="AD13" s="14">
        <f t="shared" si="3"/>
        <v>0</v>
      </c>
      <c r="AE13" s="14"/>
    </row>
    <row r="14" ht="48.95" customHeight="1" spans="1:31">
      <c r="A14" s="11"/>
      <c r="B14" s="16" t="s">
        <v>585</v>
      </c>
      <c r="C14" s="14"/>
      <c r="D14" s="14"/>
      <c r="E14" s="14"/>
      <c r="F14" s="14">
        <f t="shared" si="0"/>
        <v>0</v>
      </c>
      <c r="G14" s="14"/>
      <c r="I14" s="11"/>
      <c r="J14" s="16" t="s">
        <v>585</v>
      </c>
      <c r="K14" s="14"/>
      <c r="L14" s="14"/>
      <c r="M14" s="14"/>
      <c r="N14" s="14">
        <f t="shared" si="1"/>
        <v>0</v>
      </c>
      <c r="O14" s="14"/>
      <c r="Q14" s="11"/>
      <c r="R14" s="16" t="s">
        <v>585</v>
      </c>
      <c r="S14" s="14"/>
      <c r="T14" s="14"/>
      <c r="U14" s="14"/>
      <c r="V14" s="14">
        <f t="shared" si="2"/>
        <v>0</v>
      </c>
      <c r="W14" s="14"/>
      <c r="Y14" s="11"/>
      <c r="Z14" s="16" t="s">
        <v>585</v>
      </c>
      <c r="AA14" s="14"/>
      <c r="AB14" s="14"/>
      <c r="AC14" s="14"/>
      <c r="AD14" s="14">
        <f t="shared" si="3"/>
        <v>0</v>
      </c>
      <c r="AE14" s="14"/>
    </row>
    <row r="15" ht="48.95" customHeight="1" spans="1:31">
      <c r="A15" s="11"/>
      <c r="B15" s="15" t="s">
        <v>579</v>
      </c>
      <c r="C15" s="14" t="s">
        <v>102</v>
      </c>
      <c r="D15" s="14">
        <f>(0.543+0.156+0.686+1.112+1.133*2+0.296*3)*3+3.98*3+(1.55+1.7+1.055)*3</f>
        <v>41.808</v>
      </c>
      <c r="E15" s="14">
        <v>3.06</v>
      </c>
      <c r="F15" s="14">
        <f t="shared" si="0"/>
        <v>127.93248</v>
      </c>
      <c r="G15" s="14"/>
      <c r="I15" s="11"/>
      <c r="J15" s="15" t="s">
        <v>579</v>
      </c>
      <c r="K15" s="14" t="s">
        <v>102</v>
      </c>
      <c r="L15" s="14">
        <f>(0.543+0.156+0.686+1.112+1.133*2+0.296*3)*3+3.98*3+(1.55+1.7+1.055)*3</f>
        <v>41.808</v>
      </c>
      <c r="M15" s="14">
        <v>3.06</v>
      </c>
      <c r="N15" s="14">
        <f t="shared" si="1"/>
        <v>127.93248</v>
      </c>
      <c r="O15" s="14"/>
      <c r="Q15" s="11"/>
      <c r="R15" s="15" t="s">
        <v>579</v>
      </c>
      <c r="S15" s="14" t="s">
        <v>102</v>
      </c>
      <c r="T15" s="14">
        <f>(0.543+0.156+0.686+1.112+1.133*2+0.296*3)*3+3.98*3+(1.55+1.7+1.055)*3</f>
        <v>41.808</v>
      </c>
      <c r="U15" s="14">
        <v>3.06</v>
      </c>
      <c r="V15" s="14">
        <f t="shared" si="2"/>
        <v>127.93248</v>
      </c>
      <c r="W15" s="14"/>
      <c r="Y15" s="11"/>
      <c r="Z15" s="15" t="s">
        <v>579</v>
      </c>
      <c r="AA15" s="14" t="s">
        <v>102</v>
      </c>
      <c r="AB15" s="14">
        <f>(0.543+0.156+0.686+1.112+1.133*2+0.296*3)*3+3.98*3+(1.55+1.7+1.055)*3</f>
        <v>41.808</v>
      </c>
      <c r="AC15" s="14">
        <v>3.06</v>
      </c>
      <c r="AD15" s="14">
        <f t="shared" si="3"/>
        <v>127.93248</v>
      </c>
      <c r="AE15" s="14"/>
    </row>
    <row r="16" ht="48.95" customHeight="1" spans="1:31">
      <c r="A16" s="11"/>
      <c r="B16" s="12" t="s">
        <v>586</v>
      </c>
      <c r="C16" s="13" t="s">
        <v>576</v>
      </c>
      <c r="D16" s="14">
        <f>5*3</f>
        <v>15</v>
      </c>
      <c r="E16" s="14"/>
      <c r="F16" s="14">
        <f t="shared" si="0"/>
        <v>0</v>
      </c>
      <c r="G16" s="14"/>
      <c r="I16" s="11"/>
      <c r="J16" s="12" t="s">
        <v>586</v>
      </c>
      <c r="K16" s="13" t="s">
        <v>576</v>
      </c>
      <c r="L16" s="14">
        <f>5*3</f>
        <v>15</v>
      </c>
      <c r="M16" s="14"/>
      <c r="N16" s="14">
        <f t="shared" si="1"/>
        <v>0</v>
      </c>
      <c r="O16" s="14"/>
      <c r="Q16" s="11"/>
      <c r="R16" s="12" t="s">
        <v>586</v>
      </c>
      <c r="S16" s="13" t="s">
        <v>576</v>
      </c>
      <c r="T16" s="14">
        <f>5*3</f>
        <v>15</v>
      </c>
      <c r="U16" s="14"/>
      <c r="V16" s="14">
        <f t="shared" si="2"/>
        <v>0</v>
      </c>
      <c r="W16" s="14"/>
      <c r="Y16" s="11"/>
      <c r="Z16" s="12" t="s">
        <v>586</v>
      </c>
      <c r="AA16" s="13" t="s">
        <v>576</v>
      </c>
      <c r="AB16" s="14">
        <f>5*3</f>
        <v>15</v>
      </c>
      <c r="AC16" s="14"/>
      <c r="AD16" s="14">
        <f t="shared" si="3"/>
        <v>0</v>
      </c>
      <c r="AE16" s="14"/>
    </row>
    <row r="17" ht="48.95" customHeight="1" spans="1:31">
      <c r="A17" s="11"/>
      <c r="B17" s="17" t="s">
        <v>587</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588</v>
      </c>
      <c r="C18" s="14" t="s">
        <v>102</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589</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590</v>
      </c>
      <c r="C20" s="13" t="s">
        <v>576</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591</v>
      </c>
      <c r="C21" s="14" t="s">
        <v>102</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327</v>
      </c>
      <c r="C22" s="14" t="s">
        <v>343</v>
      </c>
      <c r="D22" s="14"/>
      <c r="E22" s="14"/>
      <c r="F22" s="14">
        <f>SUM(F3:F21)</f>
        <v>1343.13132</v>
      </c>
      <c r="G22" s="14"/>
      <c r="I22" s="11"/>
      <c r="J22" s="17" t="s">
        <v>327</v>
      </c>
      <c r="K22" s="14" t="s">
        <v>343</v>
      </c>
      <c r="L22" s="14"/>
      <c r="M22" s="14"/>
      <c r="N22" s="14">
        <f>SUM(N3:N21)</f>
        <v>1095.12914</v>
      </c>
      <c r="O22" s="14"/>
      <c r="Q22" s="11"/>
      <c r="R22" s="17" t="s">
        <v>327</v>
      </c>
      <c r="S22" s="14" t="s">
        <v>343</v>
      </c>
      <c r="T22" s="14"/>
      <c r="U22" s="14"/>
      <c r="V22" s="14">
        <f>SUM(V3:V21)</f>
        <v>1095.12914</v>
      </c>
      <c r="W22" s="14"/>
      <c r="Y22" s="11"/>
      <c r="Z22" s="17" t="s">
        <v>327</v>
      </c>
      <c r="AA22" s="14" t="s">
        <v>343</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03、安装工程</vt:lpstr>
      <vt:lpstr>04、增加示范区弱电工程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Administrator</cp:lastModifiedBy>
  <dcterms:created xsi:type="dcterms:W3CDTF">2020-11-19T09:45:00Z</dcterms:created>
  <dcterms:modified xsi:type="dcterms:W3CDTF">2023-03-27T03:06:01Z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D361E06B9E2044BBB3D574A4DC48573F</vt:lpwstr>
  </property>
</Properties>
</file>