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509"/>
  </bookViews>
  <sheets>
    <sheet name="进度款费用计算明细表（第2次）" sheetId="9" r:id="rId1"/>
    <sheet name="Sheet1" sheetId="10" r:id="rId2"/>
    <sheet name="产值" sheetId="11" r:id="rId3"/>
  </sheets>
  <externalReferences>
    <externalReference r:id="rId8"/>
  </externalReferences>
  <definedNames>
    <definedName name="_xlnm._FilterDatabase" localSheetId="1" hidden="1">Sheet1!$A$2:$L$41</definedName>
  </definedNames>
  <calcPr calcId="144525"/>
</workbook>
</file>

<file path=xl/sharedStrings.xml><?xml version="1.0" encoding="utf-8"?>
<sst xmlns="http://schemas.openxmlformats.org/spreadsheetml/2006/main" count="455" uniqueCount="206">
  <si>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</si>
  <si>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</si>
  <si>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</si>
  <si>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</si>
  <si>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</si>
  <si>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</si>
  <si>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</si>
  <si>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</si>
  <si>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</si>
  <si>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</si>
  <si>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</si>
  <si>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</si>
  <si>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</si>
  <si>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</si>
  <si>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</si>
  <si>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</si>
  <si>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</si>
  <si>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</si>
  <si>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</si>
  <si>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</si>
  <si>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</si>
  <si>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</si>
  <si>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</si>
  <si>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</si>
  <si>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</si>
  <si>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</si>
  <si>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</si>
  <si>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</si>
  <si>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</si>
  <si>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</si>
  <si>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</si>
  <si>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3#公区区域、大堂、门头进度款</t>
  </si>
  <si>
    <t>9#公区区域进度款</t>
  </si>
  <si>
    <t>合计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</si>
  <si>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</si>
  <si>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</si>
  <si>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</si>
  <si>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</si>
  <si>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</si>
  <si>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</si>
  <si>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</si>
  <si>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</si>
  <si>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山水文苑S1地块1-3号楼、5-11号楼标准层工程量</t>
  </si>
  <si>
    <t>楼号</t>
  </si>
  <si>
    <t>地面、墙面</t>
  </si>
  <si>
    <t>部位</t>
  </si>
  <si>
    <t>规格</t>
  </si>
  <si>
    <t>单位</t>
  </si>
  <si>
    <t>面积</t>
  </si>
  <si>
    <t>层数</t>
  </si>
  <si>
    <t>单元数</t>
  </si>
  <si>
    <t>单价</t>
  </si>
  <si>
    <t>二</t>
  </si>
  <si>
    <t>9#公区墙地砖供货款</t>
  </si>
  <si>
    <t>9#</t>
  </si>
  <si>
    <t>地面</t>
  </si>
  <si>
    <t>楼梯平台</t>
  </si>
  <si>
    <t>CT1  800*800</t>
  </si>
  <si>
    <t>m2</t>
  </si>
  <si>
    <t>上次已经申请</t>
  </si>
  <si>
    <t>梯段</t>
  </si>
  <si>
    <t>CT5</t>
  </si>
  <si>
    <t>踢脚</t>
  </si>
  <si>
    <t>楼梯间</t>
  </si>
  <si>
    <t xml:space="preserve">CT1 </t>
  </si>
  <si>
    <t>侯梯厅、前室、走廊</t>
  </si>
  <si>
    <t>过门石</t>
  </si>
  <si>
    <t>CT2</t>
  </si>
  <si>
    <t>墙面</t>
  </si>
  <si>
    <t>3#</t>
  </si>
  <si>
    <t>地下</t>
  </si>
  <si>
    <t>汇总</t>
  </si>
  <si>
    <t>砖价格</t>
  </si>
  <si>
    <t>3#楼</t>
  </si>
  <si>
    <t>9#楼</t>
  </si>
  <si>
    <t>大堂</t>
  </si>
  <si>
    <t>价格清单（一层大堂精装工程-装饰）</t>
  </si>
  <si>
    <t>工程项目名称</t>
  </si>
  <si>
    <t>工程内容</t>
  </si>
  <si>
    <t>工程量
g</t>
  </si>
  <si>
    <t>其中：综合单价构成（元）</t>
  </si>
  <si>
    <t>含税综合单价
f=(a+b+c+d+e)</t>
  </si>
  <si>
    <t>合价(元)=g*f</t>
  </si>
  <si>
    <t>备 注
（品牌/厂家）</t>
  </si>
  <si>
    <t>人工费
a</t>
  </si>
  <si>
    <t>主材费</t>
  </si>
  <si>
    <t>其中主材单价</t>
  </si>
  <si>
    <t>其中主材损耗率</t>
  </si>
  <si>
    <t>机械、辅材及其他c</t>
  </si>
  <si>
    <t>管理费及利润
d=(a+b+c)*费率</t>
  </si>
  <si>
    <t>税金
e=(a+b+c+d)*费率</t>
  </si>
  <si>
    <t>b=x*（1+y）</t>
  </si>
  <si>
    <t>x</t>
  </si>
  <si>
    <t xml:space="preserve"> y</t>
  </si>
  <si>
    <t>%</t>
  </si>
  <si>
    <t>2#、3#楼精装大堂硬质装修部分</t>
  </si>
  <si>
    <t>一个单元工程量清单</t>
  </si>
  <si>
    <t xml:space="preserve">瓷砖地面 </t>
  </si>
  <si>
    <t>1、清理施工表面；
2、素水泥结合层一道
3、40-60厚1:3干硬性水泥砂浆结合层；
3、砖充分浸水                               
4、ct1瓷砖铺贴、留1mm分封，同色填料剂处理;
6、满足施工规范及设计图纸要求；</t>
  </si>
  <si>
    <t>冠珠</t>
  </si>
  <si>
    <t>瓷砖过门石</t>
  </si>
  <si>
    <t>1、清理施工表面；
2、素水泥结合层一道
3、40-60厚1:3干硬性水泥砂浆结合层；
3、砖充分浸水                               
4、ct2瓷砖铺贴、留1mm分封，同色填料剂处理;
6、满足施工规范及设计图纸要求；</t>
  </si>
  <si>
    <t>瓷砖墙面</t>
  </si>
  <si>
    <t>1. 5~7厚面砖,白水泥擦缝或填缝剂填缝
2. 4~5厚1∶1水泥砂浆加水重20%建筑胶(或配套专用胶粘剂)粘结层
3. 素水泥浆一道(用专用胶粘剂粘贴时无此道工序)
4. 详见施工图及节点详图TD-03/01图；</t>
  </si>
  <si>
    <t>精誉陶/广东</t>
  </si>
  <si>
    <t>单元门</t>
  </si>
  <si>
    <t>1、规格：DYM3400*2900
2、材质：1.0mm厚不锈钢框、8mm厚钢化玻璃
3、设计详细确定</t>
  </si>
  <si>
    <t>电梯门套</t>
  </si>
  <si>
    <t>1、规格：1040*2350
2、材质：0.7mm厚MT-01金属
3、基层：18mm阻燃胶合板（实测17mm厚）
4、含电梯门框与电梯封堵</t>
  </si>
  <si>
    <t>樘</t>
  </si>
  <si>
    <t>墙面金属收口</t>
  </si>
  <si>
    <t>1、MT01金属
2、部位：楼梯口
3、详见施工图及节点详图TD-03/03图；</t>
  </si>
  <si>
    <t>m</t>
  </si>
  <si>
    <t>天花</t>
  </si>
  <si>
    <t>大堂吊顶</t>
  </si>
  <si>
    <t>1.9.5厚纸面石膏板,用自攻螺丝固定间距 ≤200
2. U型轻钢龙骨横撑CB50*20中距800-1200
3. U型轻钢龙骨CB50*20中距400
4. 8号热镀锌低碳钢丝吊杆,中距横向800-1200,吊杆上部与预留钢筋连接
5、具体做法18mm阻燃胶合板（实测17mm厚）+PT01无机涂料(9.5mm厚双层石膏板吊顶)
6、具体做法详见节点详图TD-01/01图；
7、部位：大堂</t>
  </si>
  <si>
    <t>龙骨、石膏板：泰山</t>
  </si>
  <si>
    <t>金属M01</t>
  </si>
  <si>
    <t>1、金属M01吊顶金属条收口 厚度0.7mm
2、具体做法详见节点详图TD-01/01图及施工图。
3、部位：大堂</t>
  </si>
  <si>
    <t>大堂吊顶涂料</t>
  </si>
  <si>
    <t>1.无机涂料两遍
2.封底漆一道(干燥后再做面涂
3.满刮2厚面层耐水腻子找平
4、部位：大堂</t>
  </si>
  <si>
    <t>立邦</t>
  </si>
  <si>
    <t>平吊天花</t>
  </si>
  <si>
    <t>1.PT01无机涂料(9.5mm厚双层石膏板吊顶),用自攻螺丝固定间距 ≤200
2. U型轻钢龙骨横撑CB50*20中距800-1200
3. U型轻钢龙骨CB50*20中距400
4. 8号热镀锌低碳钢丝吊杆,中距横向800-1200,吊杆上部与预留钢筋连接
5、标高2350mm，具体做法详见施工图</t>
  </si>
  <si>
    <t>平吊天花部分涂料</t>
  </si>
  <si>
    <t>白色无机涂料原顶</t>
  </si>
  <si>
    <t>基层清理；
2、满刮腻子两道、砂纸磨平；
3、白色无级涂料天棚；
4、满足施工规范及设计图纸要求；
5、楼梯板底面</t>
  </si>
  <si>
    <t>1、基层清理；
2、满刮腻子两道、砂纸磨平；
3、白色无极涂料天棚；
4、满足施工规范及设计图纸要求；
5、侯梯厅</t>
  </si>
  <si>
    <t>04天花造型</t>
  </si>
  <si>
    <t>1、白色无机涂料
2、石膏板造型
3、18mm阻燃胶合板（实测17mm厚）
4、具体做法详见节点详图TD-01/04图及施工图；
5、部位：侯梯厅</t>
  </si>
  <si>
    <t>小计</t>
  </si>
  <si>
    <t>元</t>
  </si>
  <si>
    <t>2#、3#楼一层大堂精装工程-安装部分</t>
  </si>
  <si>
    <t>项</t>
  </si>
  <si>
    <t>LED人体红外感应+光控</t>
  </si>
  <si>
    <t xml:space="preserve">1、名称:LED人体红外感应+光控  
2、规格:,2.5W/LED自带电池
正常时12W,火灾时5W 500lm
3、未详尽处满足图纸设计、相关规范要求                    </t>
  </si>
  <si>
    <t>个</t>
  </si>
  <si>
    <t>雷士</t>
  </si>
  <si>
    <t>射灯</t>
  </si>
  <si>
    <t xml:space="preserve">1、名称:射灯
2、规格:4000k
3、未详尽处满足图纸设计、相关规范要求                    </t>
  </si>
  <si>
    <t>筒灯</t>
  </si>
  <si>
    <t xml:space="preserve">1、名称:筒灯
2、规格:4000k
3、未详尽处满足图纸设计、相关规范要求                    </t>
  </si>
  <si>
    <t>装饰吊灯</t>
  </si>
  <si>
    <t xml:space="preserve">1、名称:装饰吊灯
2、规格:详见图纸要求
3、未详尽处满足图纸设计、相关规范要求                    </t>
  </si>
  <si>
    <t>明装筒灯(超薄)</t>
  </si>
  <si>
    <t xml:space="preserve">1、名称:明装筒灯(超薄)
2、规格:4000k
3、未详尽处满足图纸设计、相关规范要求                    </t>
  </si>
  <si>
    <t>感应筒灯</t>
  </si>
  <si>
    <t>壁灯</t>
  </si>
  <si>
    <t xml:space="preserve">1、名称:壁灯
2、安装位置:大堂外门头外侧
3、未详尽处满足图纸设计、相关规范要求                    </t>
  </si>
  <si>
    <t>灯带</t>
  </si>
  <si>
    <t xml:space="preserve">1、名称:灯带
2、规格:4000k
3、未详尽处满足图纸设计、相关规范要求                    </t>
  </si>
  <si>
    <t>欧普</t>
  </si>
  <si>
    <t>三联单控开关</t>
  </si>
  <si>
    <t xml:space="preserve">1、名称:三联单控开关
2、安装位置:底边距地1300mm
3、未详尽处满足图纸设计、相关规范要求                    </t>
  </si>
  <si>
    <t>单联单控开关</t>
  </si>
  <si>
    <t xml:space="preserve">1、名称:单联单控开关
2、安装位置:底边距地1300mm
3、未详尽处满足图纸设计、相关规范要求                    </t>
  </si>
  <si>
    <t>施耐德</t>
  </si>
  <si>
    <t>单项安全型二、三孔插座</t>
  </si>
  <si>
    <t xml:space="preserve">1、名称:单项安全型二、三孔插座
2、规格:(2100V,10A)
3、距地1.3m
4、未详尽处满足图纸设计、相关规范要求                    </t>
  </si>
  <si>
    <t>单网络插座</t>
  </si>
  <si>
    <t xml:space="preserve">1、名称:单网络插座
2、H=1300MM
3、未详尽处满足图纸设计、相关规范要求                    </t>
  </si>
  <si>
    <t>配管</t>
  </si>
  <si>
    <t xml:space="preserve">1、名称:配管
2、PC20
3、吊顶内敷设
4、未详尽处满足图纸设计、相关规范要求                    </t>
  </si>
  <si>
    <t xml:space="preserve">1、名称:配管
2、PC16
3、吊顶内敷设
4、未详尽处满足图纸设计、相关规范要求                    </t>
  </si>
  <si>
    <t xml:space="preserve">1、名称:配管
2、JDG20
3、吊顶内敷设
4、未详尽处满足图纸设计、相关规范要求                    </t>
  </si>
  <si>
    <t>网线</t>
  </si>
  <si>
    <t xml:space="preserve">1、名称:网线
2、管内敷设
3、未详尽处满足图纸设计、相关规范要求                    </t>
  </si>
  <si>
    <t>电线</t>
  </si>
  <si>
    <t xml:space="preserve">1、名称:电线WDZ-BYJ-4
2、管内敷设
3、未详尽处满足图纸设计、相关规范要求                    </t>
  </si>
  <si>
    <t xml:space="preserve">1、名称:电线WDZ-BYJ-2.5
2、管内敷设
3、未详尽处满足图纸设计、相关规范要求                    </t>
  </si>
  <si>
    <t>2#、3#门头部分</t>
  </si>
  <si>
    <t>因最终板图纸未定，此项工程量为暂定量</t>
  </si>
  <si>
    <t>钢架钢构</t>
  </si>
  <si>
    <t>1、200*5热浸镀锌钢方管
2、8#热浸镀锌槽钢
3、L50x4热浸镀锌角钢
4、10#热浸镀锌槽钢
5、80*60*5mm镀锌钢管
6、l20*3封边角钢等详见施工图
7、其它满足规范和设计图纸要求</t>
  </si>
  <si>
    <t>t</t>
  </si>
  <si>
    <t>预埋件</t>
  </si>
  <si>
    <t>1、300x300x20mm热浸镀锌后置埋件  M20不锈钢化学螺栓
2、其它满足规范和设计图纸要求</t>
  </si>
  <si>
    <t>套</t>
  </si>
  <si>
    <t>1、300x200x8mm热浸镀锌后置埋件
2、M12特殊倒锥型化学锚栓
3、其它满足规范和设计图纸要求</t>
  </si>
  <si>
    <t>柱面石材</t>
  </si>
  <si>
    <t>1、25mm厚花岗岩（芝麻黑，冷色系石材）
2、M8x30不锈钢螺栓组
3、泡沫棒&amp;硅酮耐候密封胶
4、不锈钢石材挂件
6、其它满足规范和设计图纸要求</t>
  </si>
  <si>
    <t>造型铝板</t>
  </si>
  <si>
    <t>1、2.5mm铝单板氟碳喷涂
2、其它满足规范和设计图纸要求
3、门头立面造型部分</t>
  </si>
  <si>
    <t>铝方管造型</t>
  </si>
  <si>
    <t>40*2铝方管(氟碳喷涂)
@220mm布置</t>
  </si>
  <si>
    <t>A向造型和铝方管造型</t>
  </si>
  <si>
    <t>1、20*2铝方管（氟碳漆喷刷）
2、其它满足规范和设计图纸要求</t>
  </si>
  <si>
    <t>成品灯箱</t>
  </si>
  <si>
    <t>按图纸意向效果匹配灯具</t>
  </si>
  <si>
    <t>楼栋牌匾</t>
  </si>
  <si>
    <t>铝板+不锈钢成品加工（施工单位深化报价）</t>
  </si>
  <si>
    <t>一</t>
  </si>
  <si>
    <t>3#楼 侯梯厅、前室、走廊</t>
  </si>
  <si>
    <t>精誉陶/世纪印象</t>
  </si>
  <si>
    <t xml:space="preserve">楼梯平台地面 </t>
  </si>
  <si>
    <t>楼梯踏步地面</t>
  </si>
  <si>
    <t>1、清理施工表面；
2、素水泥结合层一道
3、40-60厚1:3干硬性水泥砂浆结合层；
3、砖充分浸水                               
4、ct5瓷砖铺贴(开防滑槽)，同色填料剂处理;
5、计算规则：按水平投影面积计算
6、满足施工规范及设计图纸要求；</t>
  </si>
  <si>
    <t xml:space="preserve">楼梯踢脚线 </t>
  </si>
  <si>
    <t>三</t>
  </si>
  <si>
    <t>1. 5~7厚面砖,白水泥擦缝或填缝剂填缝CT04
2. 4~5厚1∶1水泥砂浆加水重20%%%建筑胶(或配套专用胶粘剂)粘结层
3. 素水泥浆一道(用专用胶粘剂粘贴时无此道工序)
4. 详见施工图及节点详图TD-03/01图；</t>
  </si>
  <si>
    <t>石膏线</t>
  </si>
  <si>
    <t>1、成品石膏线
2、部位：侯梯厅</t>
  </si>
  <si>
    <t xml:space="preserve">金属线条 </t>
  </si>
  <si>
    <t>1、成品金属线条造型
2、部位：墙砖收口</t>
  </si>
  <si>
    <t>四</t>
  </si>
  <si>
    <t>9#楼 侯梯厅、前室、走廊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</si>
</sst>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3"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rgb="FFFF0000"/>
      <name val="Microsoft YaHei"/>
      <charset val="134"/>
    </font>
    <font>
      <sz val="10"/>
      <name val="Microsoft YaHei"/>
      <charset val="1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0" fillId="14" borderId="6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4" fillId="18" borderId="9" applyNumberFormat="0" applyAlignment="0" applyProtection="0">
      <alignment vertical="center"/>
    </xf>
    <xf numFmtId="0" fontId="35" fillId="18" borderId="5" applyNumberFormat="0" applyAlignment="0" applyProtection="0">
      <alignment vertical="center"/>
    </xf>
    <xf numFmtId="0" fontId="36" fillId="19" borderId="10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41" fillId="0" borderId="0"/>
    <xf numFmtId="0" fontId="42" fillId="0" borderId="0"/>
  </cellStyleXfs>
  <cellXfs count="122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51" applyNumberFormat="1" applyFont="1" applyFill="1" applyBorder="1" applyAlignment="1" applyProtection="1">
      <alignment horizontal="center" vertical="center" wrapText="1"/>
    </xf>
    <xf numFmtId="176" fontId="3" fillId="2" borderId="1" xfId="51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 applyProtection="1">
      <alignment horizontal="left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left" vertical="center" wrapText="1"/>
    </xf>
    <xf numFmtId="0" fontId="3" fillId="3" borderId="1" xfId="51" applyNumberFormat="1" applyFont="1" applyFill="1" applyBorder="1" applyAlignment="1" applyProtection="1">
      <alignment horizontal="center" vertical="center" wrapText="1"/>
    </xf>
    <xf numFmtId="0" fontId="3" fillId="3" borderId="1" xfId="51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2" borderId="1" xfId="51" applyFont="1" applyFill="1" applyBorder="1" applyAlignment="1" applyProtection="1">
      <alignment horizontal="center" vertical="center" wrapText="1"/>
    </xf>
    <xf numFmtId="0" fontId="3" fillId="2" borderId="1" xfId="51" applyFont="1" applyFill="1" applyBorder="1" applyAlignment="1" applyProtection="1">
      <alignment horizontal="left" vertical="center" wrapText="1"/>
    </xf>
    <xf numFmtId="176" fontId="3" fillId="2" borderId="1" xfId="5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2" borderId="3" xfId="51" applyNumberFormat="1" applyFont="1" applyFill="1" applyBorder="1" applyAlignment="1" applyProtection="1">
      <alignment horizontal="center" vertical="center" wrapText="1"/>
    </xf>
    <xf numFmtId="0" fontId="3" fillId="2" borderId="2" xfId="5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6" fontId="3" fillId="5" borderId="1" xfId="5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8" fillId="2" borderId="1" xfId="13" applyNumberFormat="1" applyFont="1" applyFill="1" applyBorder="1" applyAlignment="1">
      <alignment horizontal="center" vertical="center" wrapText="1"/>
    </xf>
    <xf numFmtId="176" fontId="8" fillId="2" borderId="1" xfId="5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8" fillId="2" borderId="1" xfId="13" applyNumberFormat="1" applyFont="1" applyFill="1" applyBorder="1" applyAlignment="1" applyProtection="1">
      <alignment horizontal="center" vertical="center" wrapText="1"/>
    </xf>
    <xf numFmtId="0" fontId="0" fillId="6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5" borderId="1" xfId="0" applyFill="1" applyBorder="1">
      <alignment vertical="center"/>
    </xf>
    <xf numFmtId="0" fontId="9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76" fontId="8" fillId="3" borderId="3" xfId="13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10" fontId="13" fillId="7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2" fontId="14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2" fontId="14" fillId="8" borderId="1" xfId="0" applyNumberFormat="1" applyFont="1" applyFill="1" applyBorder="1" applyAlignment="1">
      <alignment horizontal="center" vertical="center" wrapText="1"/>
    </xf>
    <xf numFmtId="176" fontId="14" fillId="8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0" fontId="16" fillId="0" borderId="1" xfId="11" applyNumberFormat="1" applyFont="1" applyFill="1" applyBorder="1" applyAlignment="1">
      <alignment horizontal="center" vertical="center"/>
    </xf>
    <xf numFmtId="9" fontId="16" fillId="0" borderId="1" xfId="1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0" fontId="17" fillId="0" borderId="0" xfId="0" applyNumberFormat="1" applyFont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10" fontId="18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right" vertical="center" wrapText="1"/>
    </xf>
    <xf numFmtId="176" fontId="12" fillId="0" borderId="0" xfId="11" applyNumberFormat="1" applyFont="1" applyAlignment="1">
      <alignment horizontal="center" vertical="center"/>
    </xf>
    <xf numFmtId="176" fontId="13" fillId="7" borderId="1" xfId="11" applyNumberFormat="1" applyFont="1" applyFill="1" applyBorder="1" applyAlignment="1">
      <alignment horizontal="center" vertical="center" wrapText="1"/>
    </xf>
    <xf numFmtId="9" fontId="14" fillId="8" borderId="1" xfId="0" applyNumberFormat="1" applyFont="1" applyFill="1" applyBorder="1" applyAlignment="1">
      <alignment horizontal="center" vertical="center" wrapText="1"/>
    </xf>
    <xf numFmtId="176" fontId="14" fillId="8" borderId="1" xfId="11" applyNumberFormat="1" applyFont="1" applyFill="1" applyBorder="1" applyAlignment="1">
      <alignment horizontal="center" vertical="center" wrapText="1"/>
    </xf>
    <xf numFmtId="10" fontId="14" fillId="8" borderId="1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/>
    </xf>
    <xf numFmtId="176" fontId="20" fillId="0" borderId="1" xfId="11" applyNumberFormat="1" applyFont="1" applyFill="1" applyBorder="1" applyAlignment="1">
      <alignment horizontal="center" vertical="center"/>
    </xf>
    <xf numFmtId="10" fontId="20" fillId="0" borderId="1" xfId="0" applyNumberFormat="1" applyFont="1" applyFill="1" applyBorder="1" applyAlignment="1">
      <alignment horizontal="center" vertical="center"/>
    </xf>
    <xf numFmtId="176" fontId="17" fillId="0" borderId="0" xfId="11" applyNumberFormat="1" applyFont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176" fontId="18" fillId="0" borderId="0" xfId="11" applyNumberFormat="1" applyFont="1" applyFill="1" applyAlignment="1">
      <alignment horizontal="center" vertical="center"/>
    </xf>
    <xf numFmtId="10" fontId="18" fillId="0" borderId="0" xfId="0" applyNumberFormat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176" fontId="18" fillId="0" borderId="0" xfId="11" applyNumberFormat="1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4" xfId="51"/>
  </cellStyles>
  <dxfs count="1">
    <dxf>
      <font>
        <b val="0"/>
        <i val="0"/>
        <strike val="0"/>
        <u val="none"/>
        <sz val="12"/>
        <color theme="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&#12289;&#12298;&#20215;&#26684;&#28165;&#21333;&#65306;&#26686;&#24029;&#23665;&#27700;&#25991;&#33489;s1&#22320;&#22359;1-11#&#27004;&#19968;&#23618;&#22823;&#22530;&#35013;&#20462;&#12289;&#20844;&#20849;&#21306;&#22495;&#35013;&#20462;&#12289;&#21333;&#20803;&#38376;&#22836;&#35013;&#20462;&#24037;&#31243;&#26045;&#65288;&#19981;&#21547;5#&#27004;&#19968;&#23618;&#22823;&#22530;&#21450;&#21333;&#20803;&#38376;&#22836;&#65289;&#12299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单报价说明"/>
      <sheetName val="汇总表"/>
      <sheetName val="一层大堂精装工程-装饰"/>
      <sheetName val="一层大堂精装工程-安装"/>
      <sheetName val="公共区域装修工程"/>
      <sheetName val="单元门头装修工程"/>
      <sheetName val="门头钢结构工程量计算"/>
    </sheetNames>
    <sheetDataSet>
      <sheetData sheetId="0" refreshError="1"/>
      <sheetData sheetId="1" refreshError="1"/>
      <sheetData sheetId="2" refreshError="1">
        <row r="8">
          <cell r="J8">
            <v>25</v>
          </cell>
        </row>
        <row r="10">
          <cell r="E10">
            <v>59.57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I12" sqref="I12"/>
    </sheetView>
  </sheetViews>
  <sheetFormatPr defaultColWidth="9" defaultRowHeight="13.5"/>
  <cols>
    <col min="1" max="1" width="4.375" style="77" customWidth="1"/>
    <col min="2" max="2" width="21.875" style="77" customWidth="1"/>
    <col min="3" max="3" width="11" style="77" customWidth="1"/>
    <col min="4" max="4" width="8.125" style="77" customWidth="1"/>
    <col min="5" max="5" width="7.5" style="77" customWidth="1"/>
    <col min="6" max="6" width="10.875" style="79" customWidth="1"/>
    <col min="7" max="7" width="7.125" style="77" customWidth="1"/>
    <col min="8" max="8" width="9.5" style="77" customWidth="1"/>
    <col min="9" max="9" width="9.625" style="77" customWidth="1"/>
    <col min="10" max="10" width="11.125" style="77" customWidth="1"/>
    <col min="11" max="11" width="7.25" style="80" customWidth="1"/>
    <col min="12" max="12" width="8.875" style="79" customWidth="1"/>
    <col min="13" max="13" width="7.25" style="77" customWidth="1"/>
    <col min="14" max="14" width="6.5" style="77" customWidth="1"/>
    <col min="15" max="15" width="8.625" style="77" customWidth="1"/>
    <col min="16" max="16384" width="9" style="77"/>
  </cols>
  <sheetData>
    <row r="1" s="77" customFormat="1" ht="43" customHeight="1" spans="1:15">
      <c r="A1" s="81" t="s">
        <v>0</v>
      </c>
      <c r="B1" s="82"/>
      <c r="C1" s="82"/>
      <c r="D1" s="82"/>
      <c r="E1" s="82"/>
      <c r="F1" s="83"/>
      <c r="G1" s="82"/>
      <c r="H1" s="82"/>
      <c r="I1" s="82"/>
      <c r="J1" s="82"/>
      <c r="K1" s="106"/>
      <c r="L1" s="83"/>
      <c r="M1" s="82"/>
      <c r="N1" s="82"/>
      <c r="O1" s="82"/>
    </row>
    <row r="2" s="77" customFormat="1" ht="38" customHeight="1" spans="1:15">
      <c r="A2" s="84" t="s">
        <v>1</v>
      </c>
      <c r="B2" s="84" t="s">
        <v>2</v>
      </c>
      <c r="C2" s="84" t="s">
        <v>3</v>
      </c>
      <c r="D2" s="84" t="s">
        <v>4</v>
      </c>
      <c r="E2" s="84" t="s">
        <v>5</v>
      </c>
      <c r="F2" s="85" t="s">
        <v>6</v>
      </c>
      <c r="G2" s="84"/>
      <c r="H2" s="84" t="s">
        <v>7</v>
      </c>
      <c r="I2" s="84"/>
      <c r="J2" s="84"/>
      <c r="K2" s="107" t="s">
        <v>8</v>
      </c>
      <c r="L2" s="85"/>
      <c r="M2" s="84" t="s">
        <v>9</v>
      </c>
      <c r="N2" s="84" t="s">
        <v>10</v>
      </c>
      <c r="O2" s="84" t="s">
        <v>11</v>
      </c>
    </row>
    <row r="3" s="77" customFormat="1" ht="28" customHeight="1" spans="1:15">
      <c r="A3" s="84"/>
      <c r="B3" s="84"/>
      <c r="C3" s="84"/>
      <c r="D3" s="84"/>
      <c r="E3" s="84"/>
      <c r="F3" s="85" t="s">
        <v>12</v>
      </c>
      <c r="G3" s="84" t="s">
        <v>13</v>
      </c>
      <c r="H3" s="84" t="s">
        <v>14</v>
      </c>
      <c r="I3" s="84" t="s">
        <v>15</v>
      </c>
      <c r="J3" s="84" t="s">
        <v>16</v>
      </c>
      <c r="K3" s="107" t="s">
        <v>17</v>
      </c>
      <c r="L3" s="85" t="s">
        <v>18</v>
      </c>
      <c r="M3" s="84"/>
      <c r="N3" s="84"/>
      <c r="O3" s="84"/>
    </row>
    <row r="4" s="77" customFormat="1" ht="24" customHeight="1" spans="1:15">
      <c r="A4" s="86"/>
      <c r="B4" s="86"/>
      <c r="C4" s="87" t="s">
        <v>19</v>
      </c>
      <c r="D4" s="88" t="s">
        <v>20</v>
      </c>
      <c r="E4" s="88" t="s">
        <v>20</v>
      </c>
      <c r="F4" s="89" t="s">
        <v>21</v>
      </c>
      <c r="G4" s="90" t="s">
        <v>22</v>
      </c>
      <c r="H4" s="89" t="s">
        <v>23</v>
      </c>
      <c r="I4" s="108" t="s">
        <v>24</v>
      </c>
      <c r="J4" s="90" t="s">
        <v>25</v>
      </c>
      <c r="K4" s="109" t="s">
        <v>26</v>
      </c>
      <c r="L4" s="110" t="s">
        <v>27</v>
      </c>
      <c r="M4" s="90" t="s">
        <v>28</v>
      </c>
      <c r="N4" s="90" t="s">
        <v>29</v>
      </c>
      <c r="O4" s="111" t="s">
        <v>30</v>
      </c>
    </row>
    <row r="5" s="77" customFormat="1" ht="24" customHeight="1" spans="1:15">
      <c r="A5" s="91">
        <v>1</v>
      </c>
      <c r="B5" s="92" t="s">
        <v>31</v>
      </c>
      <c r="C5" s="93">
        <f>(产值!N23+产值!N43+产值!N54)*3+产值!N67</f>
        <v>456644.496710776</v>
      </c>
      <c r="D5" s="93"/>
      <c r="E5" s="91"/>
      <c r="F5" s="94">
        <f>(Sheet1!L28+Sheet1!L37)*0.8</f>
        <v>66695.63028</v>
      </c>
      <c r="G5" s="95"/>
      <c r="H5" s="95"/>
      <c r="I5" s="112">
        <v>0.8</v>
      </c>
      <c r="J5" s="97">
        <f>C5*I5-F5</f>
        <v>298619.967088621</v>
      </c>
      <c r="K5" s="95"/>
      <c r="L5" s="113"/>
      <c r="M5" s="95"/>
      <c r="N5" s="95"/>
      <c r="O5" s="91"/>
    </row>
    <row r="6" s="77" customFormat="1" ht="24" customHeight="1" spans="1:15">
      <c r="A6" s="91">
        <v>2</v>
      </c>
      <c r="B6" s="92" t="s">
        <v>32</v>
      </c>
      <c r="C6" s="93">
        <f>产值!N80</f>
        <v>200210.330043968</v>
      </c>
      <c r="D6" s="93"/>
      <c r="E6" s="91"/>
      <c r="F6" s="94">
        <f>(Sheet1!L41+Sheet1!L33)*0.8</f>
        <v>61936.3824</v>
      </c>
      <c r="G6" s="95"/>
      <c r="H6" s="95"/>
      <c r="I6" s="112">
        <v>0.8</v>
      </c>
      <c r="J6" s="97">
        <f>C6*I6-F6</f>
        <v>98231.8816351744</v>
      </c>
      <c r="K6" s="95"/>
      <c r="L6" s="113"/>
      <c r="M6" s="95"/>
      <c r="N6" s="95"/>
      <c r="O6" s="91"/>
    </row>
    <row r="7" s="77" customFormat="1" ht="24" customHeight="1" spans="1:15">
      <c r="A7" s="91">
        <v>3</v>
      </c>
      <c r="B7" s="96" t="s">
        <v>33</v>
      </c>
      <c r="C7" s="95"/>
      <c r="D7" s="93"/>
      <c r="E7" s="91"/>
      <c r="F7" s="95"/>
      <c r="G7" s="95"/>
      <c r="H7" s="97"/>
      <c r="I7" s="112"/>
      <c r="J7" s="97">
        <f>SUM(J5:J6)</f>
        <v>396851.848723795</v>
      </c>
      <c r="K7" s="114"/>
      <c r="L7" s="115"/>
      <c r="M7" s="94"/>
      <c r="N7" s="95"/>
      <c r="O7" s="91"/>
    </row>
    <row r="8" s="78" customFormat="1" ht="22.5" spans="1:15">
      <c r="A8" s="91">
        <v>4</v>
      </c>
      <c r="B8" s="91" t="s">
        <v>34</v>
      </c>
      <c r="C8" s="91"/>
      <c r="D8" s="91"/>
      <c r="E8" s="91"/>
      <c r="F8" s="98"/>
      <c r="G8" s="95"/>
      <c r="H8" s="99"/>
      <c r="I8" s="112"/>
      <c r="J8" s="94">
        <v>396000</v>
      </c>
      <c r="K8" s="95"/>
      <c r="L8" s="113"/>
      <c r="M8" s="94" t="s">
        <v>35</v>
      </c>
      <c r="N8" s="94" t="s">
        <v>36</v>
      </c>
      <c r="O8" s="93" t="s">
        <v>37</v>
      </c>
    </row>
    <row r="9" s="77" customFormat="1" ht="59" customHeight="1" spans="1:15">
      <c r="A9" s="100" t="s">
        <v>38</v>
      </c>
      <c r="B9" s="100"/>
      <c r="C9" s="100"/>
      <c r="D9" s="100"/>
      <c r="E9" s="100"/>
      <c r="F9" s="101"/>
      <c r="G9" s="100"/>
      <c r="H9" s="100"/>
      <c r="I9" s="100"/>
      <c r="J9" s="100"/>
      <c r="K9" s="116"/>
      <c r="L9" s="101"/>
      <c r="M9" s="100"/>
      <c r="N9" s="100"/>
      <c r="O9" s="100"/>
    </row>
    <row r="10" s="77" customFormat="1" ht="24.95" customHeight="1" spans="1:15">
      <c r="A10" s="100" t="s">
        <v>39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="77" customFormat="1" ht="26.25" customHeight="1" spans="1:15">
      <c r="A11" s="102"/>
      <c r="B11" s="103"/>
      <c r="C11" s="103"/>
      <c r="D11" s="103"/>
      <c r="E11" s="103"/>
      <c r="F11" s="104"/>
      <c r="G11" s="105" t="s">
        <v>40</v>
      </c>
      <c r="H11" s="105"/>
      <c r="I11" s="105"/>
      <c r="J11" s="117"/>
      <c r="K11" s="118"/>
      <c r="L11" s="119" t="s">
        <v>41</v>
      </c>
      <c r="M11" s="120"/>
      <c r="N11" s="103"/>
      <c r="O11" s="103"/>
    </row>
    <row r="12" s="77" customFormat="1" ht="28.5" customHeight="1" spans="1:15">
      <c r="A12" s="102"/>
      <c r="B12" s="103"/>
      <c r="C12" s="103"/>
      <c r="D12" s="103"/>
      <c r="E12" s="103"/>
      <c r="F12" s="104"/>
      <c r="J12" s="103"/>
      <c r="K12" s="121"/>
      <c r="L12" s="104"/>
      <c r="M12" s="103"/>
      <c r="N12" s="103"/>
      <c r="O12" s="103"/>
    </row>
  </sheetData>
  <mergeCells count="18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6" workbookViewId="0">
      <selection activeCell="K38" sqref="K38"/>
    </sheetView>
  </sheetViews>
  <sheetFormatPr defaultColWidth="9" defaultRowHeight="13.5"/>
  <cols>
    <col min="10" max="10" width="11.5"/>
    <col min="11" max="11" width="12.625" customWidth="1"/>
    <col min="12" max="12" width="12.625"/>
    <col min="13" max="13" width="14.125" customWidth="1"/>
    <col min="14" max="14" width="15.875" customWidth="1"/>
    <col min="15" max="15" width="23.25" customWidth="1"/>
  </cols>
  <sheetData>
    <row r="1" ht="57" customHeight="1" spans="1:12">
      <c r="A1" s="49" t="s">
        <v>42</v>
      </c>
      <c r="B1" s="49"/>
      <c r="C1" s="49"/>
      <c r="D1" s="49"/>
      <c r="E1" s="49"/>
      <c r="F1" s="49"/>
      <c r="G1" s="49"/>
      <c r="H1" s="49"/>
      <c r="I1" s="49"/>
      <c r="J1" s="49"/>
      <c r="K1" s="71"/>
      <c r="L1" s="71"/>
    </row>
    <row r="2" ht="27" spans="1:13">
      <c r="A2" s="50" t="s">
        <v>1</v>
      </c>
      <c r="B2" s="50" t="s">
        <v>43</v>
      </c>
      <c r="C2" s="50" t="s">
        <v>44</v>
      </c>
      <c r="D2" s="50" t="s">
        <v>45</v>
      </c>
      <c r="E2" s="50" t="s">
        <v>46</v>
      </c>
      <c r="F2" s="50" t="s">
        <v>47</v>
      </c>
      <c r="G2" s="50" t="s">
        <v>48</v>
      </c>
      <c r="H2" s="50" t="s">
        <v>49</v>
      </c>
      <c r="I2" s="50" t="s">
        <v>50</v>
      </c>
      <c r="J2" s="50" t="s">
        <v>33</v>
      </c>
      <c r="K2" s="71" t="s">
        <v>51</v>
      </c>
      <c r="L2" s="71" t="s">
        <v>33</v>
      </c>
      <c r="M2" s="67"/>
    </row>
    <row r="3" ht="34" customHeight="1" spans="1:13">
      <c r="A3" s="51" t="s">
        <v>52</v>
      </c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67"/>
      <c r="L3" s="72">
        <f>SUM(L4:L9)</f>
        <v>0</v>
      </c>
      <c r="M3" s="67"/>
    </row>
    <row r="4" ht="24" spans="1:14">
      <c r="A4" s="52">
        <v>1</v>
      </c>
      <c r="B4" s="52" t="s">
        <v>54</v>
      </c>
      <c r="C4" s="53" t="s">
        <v>55</v>
      </c>
      <c r="D4" s="52" t="s">
        <v>56</v>
      </c>
      <c r="E4" s="52" t="s">
        <v>57</v>
      </c>
      <c r="F4" s="52" t="s">
        <v>58</v>
      </c>
      <c r="G4" s="52">
        <v>3.125</v>
      </c>
      <c r="H4" s="52">
        <v>8</v>
      </c>
      <c r="I4" s="52">
        <v>2</v>
      </c>
      <c r="J4" s="73">
        <v>52.25</v>
      </c>
      <c r="K4" s="74">
        <v>65</v>
      </c>
      <c r="L4" s="67"/>
      <c r="M4" s="67" t="s">
        <v>59</v>
      </c>
      <c r="N4">
        <f t="shared" ref="N4:N9" si="0">K4*J4</f>
        <v>3396.25</v>
      </c>
    </row>
    <row r="5" ht="18" customHeight="1" spans="1:14">
      <c r="A5" s="52">
        <v>2</v>
      </c>
      <c r="B5" s="52"/>
      <c r="C5" s="53" t="s">
        <v>55</v>
      </c>
      <c r="D5" s="52" t="s">
        <v>60</v>
      </c>
      <c r="E5" s="52" t="s">
        <v>61</v>
      </c>
      <c r="F5" s="52" t="s">
        <v>58</v>
      </c>
      <c r="G5" s="52">
        <f>2.496*2</f>
        <v>4.992</v>
      </c>
      <c r="H5" s="52">
        <v>8</v>
      </c>
      <c r="I5" s="52">
        <v>2</v>
      </c>
      <c r="J5" s="73">
        <v>93.112</v>
      </c>
      <c r="K5" s="74">
        <v>85</v>
      </c>
      <c r="L5" s="67"/>
      <c r="M5" s="67" t="s">
        <v>59</v>
      </c>
      <c r="N5">
        <f t="shared" si="0"/>
        <v>7914.52</v>
      </c>
    </row>
    <row r="6" ht="23" customHeight="1" spans="1:14">
      <c r="A6" s="52">
        <v>3</v>
      </c>
      <c r="B6" s="52"/>
      <c r="C6" s="54" t="s">
        <v>62</v>
      </c>
      <c r="D6" s="52" t="s">
        <v>63</v>
      </c>
      <c r="E6" s="52" t="s">
        <v>64</v>
      </c>
      <c r="F6" s="52" t="s">
        <v>58</v>
      </c>
      <c r="G6" s="52">
        <f>0.466*2+(1.25+1.25+2.5)*0.1</f>
        <v>1.432</v>
      </c>
      <c r="H6" s="52">
        <v>8</v>
      </c>
      <c r="I6" s="52">
        <v>2</v>
      </c>
      <c r="J6" s="73"/>
      <c r="K6" s="69"/>
      <c r="L6" s="67"/>
      <c r="M6" s="67" t="s">
        <v>59</v>
      </c>
      <c r="N6">
        <f t="shared" si="0"/>
        <v>0</v>
      </c>
    </row>
    <row r="7" ht="24" spans="1:14">
      <c r="A7" s="52">
        <v>4</v>
      </c>
      <c r="B7" s="52"/>
      <c r="C7" s="53" t="s">
        <v>55</v>
      </c>
      <c r="D7" s="52" t="s">
        <v>65</v>
      </c>
      <c r="E7" s="52" t="s">
        <v>57</v>
      </c>
      <c r="F7" s="52" t="s">
        <v>58</v>
      </c>
      <c r="G7" s="52">
        <v>14.333</v>
      </c>
      <c r="H7" s="52">
        <v>8</v>
      </c>
      <c r="I7" s="52">
        <v>2</v>
      </c>
      <c r="J7" s="73">
        <v>118.338</v>
      </c>
      <c r="K7" s="74">
        <v>62</v>
      </c>
      <c r="L7" s="67"/>
      <c r="M7" s="67" t="s">
        <v>59</v>
      </c>
      <c r="N7">
        <f t="shared" si="0"/>
        <v>7336.956</v>
      </c>
    </row>
    <row r="8" ht="27" customHeight="1" spans="1:14">
      <c r="A8" s="52">
        <v>5</v>
      </c>
      <c r="B8" s="52"/>
      <c r="C8" s="53" t="s">
        <v>55</v>
      </c>
      <c r="D8" s="52" t="s">
        <v>66</v>
      </c>
      <c r="E8" s="52" t="s">
        <v>67</v>
      </c>
      <c r="F8" s="52" t="s">
        <v>58</v>
      </c>
      <c r="G8" s="52">
        <f>0.25*2</f>
        <v>0.5</v>
      </c>
      <c r="H8" s="52">
        <v>8</v>
      </c>
      <c r="I8" s="52">
        <v>2</v>
      </c>
      <c r="J8" s="73"/>
      <c r="K8" s="69"/>
      <c r="L8" s="67"/>
      <c r="M8" s="67" t="s">
        <v>59</v>
      </c>
      <c r="N8">
        <f t="shared" si="0"/>
        <v>0</v>
      </c>
    </row>
    <row r="9" ht="24" spans="1:14">
      <c r="A9" s="52">
        <v>6</v>
      </c>
      <c r="B9" s="52"/>
      <c r="C9" s="54" t="s">
        <v>68</v>
      </c>
      <c r="D9" s="52" t="s">
        <v>65</v>
      </c>
      <c r="E9" s="52"/>
      <c r="F9" s="52" t="s">
        <v>58</v>
      </c>
      <c r="G9" s="52">
        <f>(1.67*2.65-1.74+5.3*0.08)*2+1.74*2.65-2.75+6.99+1.44*2.65-2.7+9.15-1.34+6.395-2.755+6.395-2.755-0.075+9.115-1.34</f>
        <v>38.976</v>
      </c>
      <c r="H9" s="52">
        <v>8</v>
      </c>
      <c r="I9" s="52">
        <v>2</v>
      </c>
      <c r="J9" s="73">
        <v>1492.336</v>
      </c>
      <c r="K9" s="74">
        <v>65</v>
      </c>
      <c r="L9" s="67"/>
      <c r="M9" s="67" t="s">
        <v>59</v>
      </c>
      <c r="N9">
        <f t="shared" si="0"/>
        <v>97001.84</v>
      </c>
    </row>
    <row r="10" ht="24" spans="1:13">
      <c r="A10" s="52">
        <v>1</v>
      </c>
      <c r="B10" s="52" t="s">
        <v>54</v>
      </c>
      <c r="C10" s="55" t="s">
        <v>55</v>
      </c>
      <c r="D10" s="52" t="s">
        <v>56</v>
      </c>
      <c r="E10" s="56" t="s">
        <v>57</v>
      </c>
      <c r="F10" s="56" t="s">
        <v>58</v>
      </c>
      <c r="G10" s="52">
        <v>3.125</v>
      </c>
      <c r="H10" s="52">
        <v>8</v>
      </c>
      <c r="I10" s="52">
        <v>2</v>
      </c>
      <c r="J10" s="75">
        <f>I10*H10*G10</f>
        <v>50</v>
      </c>
      <c r="K10" s="67"/>
      <c r="L10" s="67"/>
      <c r="M10" s="67"/>
    </row>
    <row r="11" spans="1:13">
      <c r="A11" s="52">
        <v>2</v>
      </c>
      <c r="B11" s="52"/>
      <c r="C11" s="55" t="s">
        <v>55</v>
      </c>
      <c r="D11" s="52" t="s">
        <v>60</v>
      </c>
      <c r="E11" s="56" t="s">
        <v>61</v>
      </c>
      <c r="F11" s="56" t="s">
        <v>58</v>
      </c>
      <c r="G11" s="52">
        <f>2.496*2</f>
        <v>4.992</v>
      </c>
      <c r="H11" s="52">
        <v>8</v>
      </c>
      <c r="I11" s="52">
        <v>2</v>
      </c>
      <c r="J11" s="75">
        <f>I11*H11*G11</f>
        <v>79.872</v>
      </c>
      <c r="K11" s="67"/>
      <c r="L11" s="67"/>
      <c r="M11" s="67"/>
    </row>
    <row r="12" ht="24" spans="1:13">
      <c r="A12" s="52">
        <v>4</v>
      </c>
      <c r="B12" s="52"/>
      <c r="C12" s="55" t="s">
        <v>55</v>
      </c>
      <c r="D12" s="52" t="s">
        <v>65</v>
      </c>
      <c r="E12" s="52" t="s">
        <v>57</v>
      </c>
      <c r="F12" s="52" t="s">
        <v>58</v>
      </c>
      <c r="G12" s="52">
        <v>14.333</v>
      </c>
      <c r="H12" s="52">
        <v>8</v>
      </c>
      <c r="I12" s="52">
        <v>2</v>
      </c>
      <c r="J12" s="75">
        <f>I12*H12*G12+8</f>
        <v>237.328</v>
      </c>
      <c r="K12" s="67"/>
      <c r="L12" s="67"/>
      <c r="M12" s="67"/>
    </row>
    <row r="13" ht="24" spans="1:13">
      <c r="A13" s="52">
        <v>6</v>
      </c>
      <c r="B13" s="52"/>
      <c r="C13" s="54" t="s">
        <v>68</v>
      </c>
      <c r="D13" s="52" t="s">
        <v>65</v>
      </c>
      <c r="E13" s="52"/>
      <c r="F13" s="52" t="s">
        <v>58</v>
      </c>
      <c r="G13" s="52">
        <f>(1.67*2.65-1.74+5.3*0.08)*2+1.74*2.65-2.75+6.99+1.44*2.65-2.7+9.15-1.34+6.395-2.755+6.395-2.755-0.075+9.115-1.34</f>
        <v>38.976</v>
      </c>
      <c r="H13" s="52">
        <v>8</v>
      </c>
      <c r="I13" s="52">
        <v>2</v>
      </c>
      <c r="J13" s="75">
        <f>I13*H13*G13</f>
        <v>623.616</v>
      </c>
      <c r="K13" s="67"/>
      <c r="L13" s="67"/>
      <c r="M13" s="67"/>
    </row>
    <row r="14" spans="1:14">
      <c r="A14" s="52">
        <v>1</v>
      </c>
      <c r="B14" s="52" t="s">
        <v>69</v>
      </c>
      <c r="C14" s="55" t="s">
        <v>55</v>
      </c>
      <c r="D14" s="52" t="s">
        <v>56</v>
      </c>
      <c r="E14" s="56"/>
      <c r="F14" s="56" t="s">
        <v>58</v>
      </c>
      <c r="G14" s="57">
        <v>3.25</v>
      </c>
      <c r="H14" s="52">
        <v>7</v>
      </c>
      <c r="I14" s="52">
        <v>3</v>
      </c>
      <c r="J14" s="75">
        <f>I14*H14*G14</f>
        <v>68.25</v>
      </c>
      <c r="K14" s="67"/>
      <c r="L14" s="67"/>
      <c r="M14" s="67"/>
      <c r="N14">
        <f>J14+J19</f>
        <v>89.2086</v>
      </c>
    </row>
    <row r="15" spans="1:14">
      <c r="A15" s="52">
        <v>2</v>
      </c>
      <c r="B15" s="52"/>
      <c r="C15" s="55" t="s">
        <v>55</v>
      </c>
      <c r="D15" s="52" t="s">
        <v>60</v>
      </c>
      <c r="E15" s="56"/>
      <c r="F15" s="56" t="s">
        <v>58</v>
      </c>
      <c r="G15" s="57">
        <v>5.3625</v>
      </c>
      <c r="H15" s="52">
        <v>7</v>
      </c>
      <c r="I15" s="52">
        <v>3</v>
      </c>
      <c r="J15" s="75">
        <f>I15*H15*G15</f>
        <v>112.6125</v>
      </c>
      <c r="K15" s="67"/>
      <c r="L15" s="67"/>
      <c r="M15" s="67"/>
      <c r="N15">
        <f>J15+J20</f>
        <v>136.9485</v>
      </c>
    </row>
    <row r="16" ht="24" spans="1:14">
      <c r="A16" s="52">
        <v>3</v>
      </c>
      <c r="B16" s="52"/>
      <c r="C16" s="55" t="s">
        <v>55</v>
      </c>
      <c r="D16" s="52" t="s">
        <v>65</v>
      </c>
      <c r="E16" s="56"/>
      <c r="F16" s="52" t="s">
        <v>58</v>
      </c>
      <c r="G16" s="57">
        <v>8.6</v>
      </c>
      <c r="H16" s="52">
        <v>7</v>
      </c>
      <c r="I16" s="52">
        <v>3</v>
      </c>
      <c r="J16" s="75">
        <f>I16*H16*G16+5.313</f>
        <v>185.913</v>
      </c>
      <c r="K16" s="67"/>
      <c r="L16" s="67"/>
      <c r="M16" s="67"/>
      <c r="N16">
        <f>J16+J21</f>
        <v>271.086</v>
      </c>
    </row>
    <row r="17" ht="24" spans="1:14">
      <c r="A17" s="52">
        <v>5</v>
      </c>
      <c r="B17" s="52"/>
      <c r="C17" s="54" t="s">
        <v>68</v>
      </c>
      <c r="D17" s="52" t="s">
        <v>65</v>
      </c>
      <c r="E17" s="56"/>
      <c r="F17" s="52" t="s">
        <v>58</v>
      </c>
      <c r="G17" s="57">
        <v>13.27285</v>
      </c>
      <c r="H17" s="52">
        <v>7</v>
      </c>
      <c r="I17" s="52">
        <v>3</v>
      </c>
      <c r="J17" s="75">
        <f>I17*H17*G17</f>
        <v>278.72985</v>
      </c>
      <c r="K17" s="67"/>
      <c r="L17" s="67"/>
      <c r="M17" s="67"/>
      <c r="N17">
        <f>J17+J22</f>
        <v>439.82985</v>
      </c>
    </row>
    <row r="18" ht="30" customHeight="1" spans="1:13">
      <c r="A18" s="58" t="s">
        <v>70</v>
      </c>
      <c r="B18" s="58"/>
      <c r="C18" s="58"/>
      <c r="D18" s="58"/>
      <c r="E18" s="58"/>
      <c r="F18" s="58"/>
      <c r="G18" s="58"/>
      <c r="H18" s="58"/>
      <c r="I18" s="58"/>
      <c r="J18" s="58"/>
      <c r="K18" s="67"/>
      <c r="L18" s="67"/>
      <c r="M18" s="67"/>
    </row>
    <row r="19" ht="24" spans="1:13">
      <c r="A19" s="59"/>
      <c r="B19" s="59" t="s">
        <v>69</v>
      </c>
      <c r="C19" s="60" t="s">
        <v>55</v>
      </c>
      <c r="D19" s="59" t="s">
        <v>56</v>
      </c>
      <c r="E19" s="61" t="s">
        <v>57</v>
      </c>
      <c r="F19" s="61" t="s">
        <v>58</v>
      </c>
      <c r="G19" s="62">
        <v>6.9862</v>
      </c>
      <c r="H19" s="59">
        <v>1</v>
      </c>
      <c r="I19" s="59">
        <v>3</v>
      </c>
      <c r="J19" s="76">
        <f>I19*H19*G19</f>
        <v>20.9586</v>
      </c>
      <c r="K19" s="67"/>
      <c r="L19" s="67"/>
      <c r="M19" s="67"/>
    </row>
    <row r="20" spans="1:13">
      <c r="A20" s="59"/>
      <c r="B20" s="59"/>
      <c r="C20" s="60" t="s">
        <v>55</v>
      </c>
      <c r="D20" s="59" t="s">
        <v>60</v>
      </c>
      <c r="E20" s="61" t="s">
        <v>61</v>
      </c>
      <c r="F20" s="61" t="s">
        <v>58</v>
      </c>
      <c r="G20" s="62">
        <v>8.112</v>
      </c>
      <c r="H20" s="59">
        <v>1</v>
      </c>
      <c r="I20" s="59">
        <v>3</v>
      </c>
      <c r="J20" s="76">
        <f>I20*H20*G20</f>
        <v>24.336</v>
      </c>
      <c r="K20" s="67"/>
      <c r="L20" s="67"/>
      <c r="M20" s="67"/>
    </row>
    <row r="21" ht="24" spans="1:13">
      <c r="A21" s="59"/>
      <c r="B21" s="59"/>
      <c r="C21" s="60" t="s">
        <v>55</v>
      </c>
      <c r="D21" s="59" t="s">
        <v>65</v>
      </c>
      <c r="E21" s="59" t="s">
        <v>57</v>
      </c>
      <c r="F21" s="59" t="s">
        <v>58</v>
      </c>
      <c r="G21" s="63">
        <v>27.08</v>
      </c>
      <c r="H21" s="59">
        <v>1</v>
      </c>
      <c r="I21" s="59">
        <v>3</v>
      </c>
      <c r="J21" s="76">
        <f>I21*H21*G21+3.933</f>
        <v>85.173</v>
      </c>
      <c r="K21" s="67"/>
      <c r="L21" s="67"/>
      <c r="M21" s="67"/>
    </row>
    <row r="22" ht="24" spans="1:13">
      <c r="A22" s="59"/>
      <c r="B22" s="59"/>
      <c r="C22" s="64" t="s">
        <v>68</v>
      </c>
      <c r="D22" s="59" t="s">
        <v>65</v>
      </c>
      <c r="E22" s="59"/>
      <c r="F22" s="59" t="s">
        <v>58</v>
      </c>
      <c r="G22" s="65">
        <v>53.7</v>
      </c>
      <c r="H22" s="59">
        <v>1</v>
      </c>
      <c r="I22" s="59">
        <v>3</v>
      </c>
      <c r="J22" s="76">
        <f>I22*H22*G22</f>
        <v>161.1</v>
      </c>
      <c r="K22" s="67"/>
      <c r="L22" s="67"/>
      <c r="M22" s="67"/>
    </row>
    <row r="23" ht="27" customHeight="1" spans="1:13">
      <c r="A23" s="66" t="s">
        <v>71</v>
      </c>
      <c r="B23" s="67"/>
      <c r="C23" s="67"/>
      <c r="D23" s="67"/>
      <c r="E23" s="61"/>
      <c r="F23" s="67"/>
      <c r="G23" s="67"/>
      <c r="H23" s="67"/>
      <c r="I23" s="67"/>
      <c r="J23" s="67"/>
      <c r="K23" s="67" t="s">
        <v>72</v>
      </c>
      <c r="L23" s="67"/>
      <c r="M23" s="67"/>
    </row>
    <row r="24" ht="27" customHeight="1" spans="1:13">
      <c r="A24" s="67"/>
      <c r="B24" s="67" t="s">
        <v>73</v>
      </c>
      <c r="C24" s="52" t="s">
        <v>56</v>
      </c>
      <c r="D24" s="52" t="s">
        <v>56</v>
      </c>
      <c r="E24" s="52" t="s">
        <v>57</v>
      </c>
      <c r="F24" s="67"/>
      <c r="G24" s="67"/>
      <c r="H24" s="67"/>
      <c r="I24" s="67"/>
      <c r="J24" s="67">
        <f>J14+J19</f>
        <v>89.2086</v>
      </c>
      <c r="K24" s="67">
        <f>K4</f>
        <v>65</v>
      </c>
      <c r="L24" s="67">
        <f>J24*K24</f>
        <v>5798.559</v>
      </c>
      <c r="M24" s="67"/>
    </row>
    <row r="25" ht="27" customHeight="1" spans="1:13">
      <c r="A25" s="67"/>
      <c r="B25" s="67"/>
      <c r="C25" s="53" t="s">
        <v>55</v>
      </c>
      <c r="D25" s="52" t="s">
        <v>60</v>
      </c>
      <c r="E25" s="52" t="s">
        <v>61</v>
      </c>
      <c r="F25" s="67"/>
      <c r="G25" s="67"/>
      <c r="H25" s="67"/>
      <c r="I25" s="67"/>
      <c r="J25" s="67">
        <f>J15+J20</f>
        <v>136.9485</v>
      </c>
      <c r="K25" s="67">
        <f>K5</f>
        <v>85</v>
      </c>
      <c r="L25" s="67">
        <f>J25*K25</f>
        <v>11640.6225</v>
      </c>
      <c r="M25" s="67"/>
    </row>
    <row r="26" ht="27" customHeight="1" spans="1:13">
      <c r="A26" s="67"/>
      <c r="B26" s="67"/>
      <c r="C26" s="53" t="s">
        <v>55</v>
      </c>
      <c r="D26" s="52" t="s">
        <v>65</v>
      </c>
      <c r="E26" s="52" t="s">
        <v>57</v>
      </c>
      <c r="F26" s="67"/>
      <c r="G26" s="67"/>
      <c r="H26" s="67"/>
      <c r="I26" s="67"/>
      <c r="J26" s="67">
        <f>J16+J21</f>
        <v>271.086</v>
      </c>
      <c r="K26" s="67">
        <f>K7</f>
        <v>62</v>
      </c>
      <c r="L26" s="67">
        <f>J26*K26</f>
        <v>16807.332</v>
      </c>
      <c r="M26" s="67"/>
    </row>
    <row r="27" ht="27" customHeight="1" spans="1:13">
      <c r="A27" s="67"/>
      <c r="B27" s="67"/>
      <c r="C27" s="64" t="s">
        <v>68</v>
      </c>
      <c r="D27" s="59" t="s">
        <v>65</v>
      </c>
      <c r="E27" s="67"/>
      <c r="F27" s="67"/>
      <c r="G27" s="67"/>
      <c r="H27" s="67"/>
      <c r="I27" s="67"/>
      <c r="J27" s="67">
        <f>J17+J22</f>
        <v>439.82985</v>
      </c>
      <c r="K27" s="67">
        <f>K9</f>
        <v>65</v>
      </c>
      <c r="L27" s="67">
        <f>J27*K27</f>
        <v>28588.94025</v>
      </c>
      <c r="M27" s="67"/>
    </row>
    <row r="28" ht="27" customHeight="1" spans="1:13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>
        <f>L24+L25+L26+L27</f>
        <v>62835.45375</v>
      </c>
      <c r="M28" s="68"/>
    </row>
    <row r="29" ht="27" customHeight="1" spans="1:13">
      <c r="A29" s="69"/>
      <c r="B29" s="69" t="s">
        <v>74</v>
      </c>
      <c r="C29" s="52" t="s">
        <v>56</v>
      </c>
      <c r="D29" s="52" t="s">
        <v>56</v>
      </c>
      <c r="E29" s="52" t="s">
        <v>57</v>
      </c>
      <c r="F29" s="69"/>
      <c r="G29" s="69"/>
      <c r="H29" s="69"/>
      <c r="I29" s="69"/>
      <c r="J29" s="69">
        <f>J10</f>
        <v>50</v>
      </c>
      <c r="K29" s="67">
        <v>65</v>
      </c>
      <c r="L29" s="69">
        <f>K29*J29</f>
        <v>3250</v>
      </c>
      <c r="M29" s="69"/>
    </row>
    <row r="30" ht="27" customHeight="1" spans="1:13">
      <c r="A30" s="69"/>
      <c r="B30" s="69"/>
      <c r="C30" s="53" t="s">
        <v>55</v>
      </c>
      <c r="D30" s="52" t="s">
        <v>60</v>
      </c>
      <c r="E30" s="52" t="s">
        <v>61</v>
      </c>
      <c r="F30" s="69"/>
      <c r="G30" s="69"/>
      <c r="H30" s="69"/>
      <c r="I30" s="69"/>
      <c r="J30" s="69">
        <f>J11</f>
        <v>79.872</v>
      </c>
      <c r="K30" s="67">
        <v>85</v>
      </c>
      <c r="L30" s="69">
        <f>K30*J30</f>
        <v>6789.12</v>
      </c>
      <c r="M30" s="69"/>
    </row>
    <row r="31" ht="27" customHeight="1" spans="1:13">
      <c r="A31" s="69"/>
      <c r="B31" s="69"/>
      <c r="C31" s="53" t="s">
        <v>55</v>
      </c>
      <c r="D31" s="52" t="s">
        <v>65</v>
      </c>
      <c r="E31" s="52" t="s">
        <v>57</v>
      </c>
      <c r="F31" s="69"/>
      <c r="G31" s="69"/>
      <c r="H31" s="69"/>
      <c r="I31" s="69"/>
      <c r="J31" s="69">
        <f>J12</f>
        <v>237.328</v>
      </c>
      <c r="K31" s="67">
        <v>62</v>
      </c>
      <c r="L31" s="69">
        <f>K31*J31</f>
        <v>14714.336</v>
      </c>
      <c r="M31" s="69"/>
    </row>
    <row r="32" ht="27" customHeight="1" spans="1:13">
      <c r="A32" s="69"/>
      <c r="B32" s="69"/>
      <c r="C32" s="64" t="s">
        <v>68</v>
      </c>
      <c r="D32" s="59" t="s">
        <v>65</v>
      </c>
      <c r="E32" s="67"/>
      <c r="F32" s="69"/>
      <c r="G32" s="69"/>
      <c r="H32" s="69"/>
      <c r="I32" s="69"/>
      <c r="J32" s="69">
        <f>J13</f>
        <v>623.616</v>
      </c>
      <c r="K32" s="67">
        <v>65</v>
      </c>
      <c r="L32" s="69">
        <f>K32*J32</f>
        <v>40535.04</v>
      </c>
      <c r="M32" s="69"/>
    </row>
    <row r="33" ht="27" customHeight="1" spans="1:13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>
        <f>L29+L30+L31+L32</f>
        <v>65288.496</v>
      </c>
      <c r="M33" s="68"/>
    </row>
    <row r="34" ht="27" customHeight="1" spans="1:13">
      <c r="A34" s="67" t="s">
        <v>73</v>
      </c>
      <c r="B34" s="67" t="s">
        <v>75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</row>
    <row r="35" ht="27" customHeight="1" spans="1:13">
      <c r="A35" s="67"/>
      <c r="B35" s="67"/>
      <c r="C35" s="53" t="s">
        <v>55</v>
      </c>
      <c r="D35" s="67"/>
      <c r="E35" s="67"/>
      <c r="F35" s="67"/>
      <c r="G35" s="67">
        <v>24.859</v>
      </c>
      <c r="H35" s="67"/>
      <c r="I35" s="67">
        <v>3</v>
      </c>
      <c r="J35" s="67">
        <f t="shared" ref="J35:J40" si="1">I35*G35</f>
        <v>74.577</v>
      </c>
      <c r="K35" s="67">
        <v>84.66</v>
      </c>
      <c r="L35" s="67">
        <f>K35*J35</f>
        <v>6313.68882</v>
      </c>
      <c r="M35" s="67"/>
    </row>
    <row r="36" ht="27" customHeight="1" spans="1:13">
      <c r="A36" s="67"/>
      <c r="B36" s="67"/>
      <c r="C36" s="64" t="s">
        <v>68</v>
      </c>
      <c r="D36" s="67"/>
      <c r="E36" s="67"/>
      <c r="F36" s="67"/>
      <c r="G36" s="67">
        <v>71.4952</v>
      </c>
      <c r="H36" s="67"/>
      <c r="I36" s="67">
        <v>3</v>
      </c>
      <c r="J36" s="67">
        <f t="shared" si="1"/>
        <v>214.4856</v>
      </c>
      <c r="K36" s="67">
        <v>66.3</v>
      </c>
      <c r="L36" s="67">
        <f>K36*J36</f>
        <v>14220.39528</v>
      </c>
      <c r="M36" s="67"/>
    </row>
    <row r="37" ht="27" customHeight="1" spans="1:13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>
        <f>SUM(L35:L36)</f>
        <v>20534.0841</v>
      </c>
      <c r="M37" s="70"/>
    </row>
    <row r="38" ht="27" customHeight="1" spans="1:13">
      <c r="A38" s="67" t="s">
        <v>54</v>
      </c>
      <c r="B38" s="67" t="s">
        <v>75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</row>
    <row r="39" ht="27" customHeight="1" spans="1:13">
      <c r="A39" s="67"/>
      <c r="B39" s="67"/>
      <c r="C39" s="53" t="s">
        <v>55</v>
      </c>
      <c r="D39" s="67"/>
      <c r="E39" s="67"/>
      <c r="F39" s="67"/>
      <c r="G39" s="67">
        <f>'[1]一层大堂精装工程-装饰'!$J$8</f>
        <v>25</v>
      </c>
      <c r="H39" s="67"/>
      <c r="I39" s="67">
        <v>2</v>
      </c>
      <c r="J39" s="67">
        <f t="shared" si="1"/>
        <v>50</v>
      </c>
      <c r="K39" s="67">
        <v>84.66</v>
      </c>
      <c r="L39" s="67">
        <f>K39*J39</f>
        <v>4233</v>
      </c>
      <c r="M39" s="67"/>
    </row>
    <row r="40" ht="27" customHeight="1" spans="1:13">
      <c r="A40" s="67"/>
      <c r="B40" s="67"/>
      <c r="C40" s="64" t="s">
        <v>68</v>
      </c>
      <c r="D40" s="67"/>
      <c r="E40" s="67"/>
      <c r="F40" s="67"/>
      <c r="G40" s="67">
        <f>'[1]一层大堂精装工程-装饰'!$E$10</f>
        <v>59.57</v>
      </c>
      <c r="H40" s="67"/>
      <c r="I40" s="67">
        <v>2</v>
      </c>
      <c r="J40" s="67">
        <f t="shared" si="1"/>
        <v>119.14</v>
      </c>
      <c r="K40" s="67">
        <v>66.3</v>
      </c>
      <c r="L40" s="67">
        <f>K40*J40</f>
        <v>7898.982</v>
      </c>
      <c r="M40" s="67"/>
    </row>
    <row r="41" ht="27" customHeight="1" spans="1:13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>
        <f>SUM(L38:L40)</f>
        <v>12131.982</v>
      </c>
      <c r="M41" s="70"/>
    </row>
  </sheetData>
  <autoFilter ref="A2:L41">
    <extLst/>
  </autoFilter>
  <mergeCells count="5">
    <mergeCell ref="A1:J1"/>
    <mergeCell ref="B4:B9"/>
    <mergeCell ref="B10:B13"/>
    <mergeCell ref="B14:B17"/>
    <mergeCell ref="B19:B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80"/>
  <sheetViews>
    <sheetView zoomScale="73" zoomScaleNormal="73" topLeftCell="A11" workbookViewId="0">
      <selection activeCell="E56" sqref="E56"/>
    </sheetView>
  </sheetViews>
  <sheetFormatPr defaultColWidth="9" defaultRowHeight="13.5"/>
  <cols>
    <col min="1" max="1" width="7.34166666666667" customWidth="1"/>
    <col min="2" max="2" width="33.0083333333333" customWidth="1"/>
    <col min="3" max="3" width="50.625" customWidth="1"/>
    <col min="4" max="4" width="7.50833333333333" customWidth="1"/>
    <col min="5" max="5" width="10.8416666666667" customWidth="1"/>
    <col min="6" max="6" width="11.8416666666667" customWidth="1"/>
    <col min="7" max="7" width="16.3416666666667" customWidth="1"/>
    <col min="8" max="8" width="16.0083333333333" customWidth="1"/>
    <col min="9" max="9" width="17.8416666666667" customWidth="1"/>
    <col min="10" max="10" width="10.8416666666667" customWidth="1"/>
    <col min="11" max="11" width="21.175" customWidth="1"/>
    <col min="12" max="12" width="23.5083333333333" customWidth="1"/>
    <col min="13" max="13" width="11.8416666666667" customWidth="1"/>
    <col min="14" max="14" width="15.3416666666667" customWidth="1"/>
    <col min="15" max="15" width="22.0083333333333" customWidth="1"/>
    <col min="16" max="16" width="3.625" customWidth="1"/>
    <col min="17" max="17" width="6.675" customWidth="1"/>
    <col min="18" max="18" width="29.0083333333333" customWidth="1"/>
    <col min="19" max="19" width="22.0083333333333" customWidth="1"/>
    <col min="20" max="20" width="5.63333333333333" customWidth="1"/>
    <col min="21" max="22" width="7.00833333333333" customWidth="1"/>
    <col min="23" max="23" width="15.175" customWidth="1"/>
    <col min="24" max="24" width="15.0083333333333" customWidth="1"/>
    <col min="25" max="25" width="16.675" customWidth="1"/>
    <col min="26" max="26" width="8.4" customWidth="1"/>
    <col min="27" max="27" width="17.5083333333333" customWidth="1"/>
    <col min="28" max="28" width="21.675" customWidth="1"/>
    <col min="29" max="29" width="7.4" customWidth="1"/>
    <col min="30" max="30" width="6.06666666666667" customWidth="1"/>
    <col min="31" max="31" width="6.65" customWidth="1"/>
  </cols>
  <sheetData>
    <row r="1" ht="28.5" customHeight="1" spans="1:31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1"/>
      <c r="Q1" s="1" t="s">
        <v>76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22.5" customHeight="1" spans="1:31">
      <c r="A2" s="2" t="s">
        <v>1</v>
      </c>
      <c r="B2" s="2" t="s">
        <v>77</v>
      </c>
      <c r="C2" s="2" t="s">
        <v>78</v>
      </c>
      <c r="D2" s="2" t="s">
        <v>47</v>
      </c>
      <c r="E2" s="3" t="s">
        <v>79</v>
      </c>
      <c r="F2" s="4" t="s">
        <v>80</v>
      </c>
      <c r="G2" s="4"/>
      <c r="H2" s="4"/>
      <c r="I2" s="4"/>
      <c r="J2" s="4"/>
      <c r="K2" s="4"/>
      <c r="L2" s="4"/>
      <c r="M2" s="4" t="s">
        <v>81</v>
      </c>
      <c r="N2" s="4" t="s">
        <v>82</v>
      </c>
      <c r="O2" s="4" t="s">
        <v>83</v>
      </c>
      <c r="P2" s="41"/>
      <c r="Q2" s="5" t="s">
        <v>1</v>
      </c>
      <c r="R2" s="5" t="s">
        <v>77</v>
      </c>
      <c r="S2" s="5" t="s">
        <v>78</v>
      </c>
      <c r="T2" s="5" t="s">
        <v>47</v>
      </c>
      <c r="U2" s="32" t="s">
        <v>79</v>
      </c>
      <c r="V2" s="10" t="s">
        <v>80</v>
      </c>
      <c r="W2" s="10"/>
      <c r="X2" s="10"/>
      <c r="Y2" s="10"/>
      <c r="Z2" s="10"/>
      <c r="AA2" s="10"/>
      <c r="AB2" s="10"/>
      <c r="AC2" s="10" t="s">
        <v>81</v>
      </c>
      <c r="AD2" s="10" t="s">
        <v>82</v>
      </c>
      <c r="AE2" s="10" t="s">
        <v>83</v>
      </c>
    </row>
    <row r="3" ht="39" customHeight="1" spans="1:31">
      <c r="A3" s="2"/>
      <c r="B3" s="2"/>
      <c r="C3" s="2"/>
      <c r="D3" s="2"/>
      <c r="E3" s="3"/>
      <c r="F3" s="4" t="s">
        <v>84</v>
      </c>
      <c r="G3" s="4" t="s">
        <v>85</v>
      </c>
      <c r="H3" s="4" t="s">
        <v>86</v>
      </c>
      <c r="I3" s="4" t="s">
        <v>87</v>
      </c>
      <c r="J3" s="4" t="s">
        <v>88</v>
      </c>
      <c r="K3" s="4" t="s">
        <v>89</v>
      </c>
      <c r="L3" s="4" t="s">
        <v>90</v>
      </c>
      <c r="M3" s="4"/>
      <c r="N3" s="4"/>
      <c r="O3" s="4"/>
      <c r="P3" s="41"/>
      <c r="Q3" s="5"/>
      <c r="R3" s="5"/>
      <c r="S3" s="5"/>
      <c r="T3" s="5"/>
      <c r="U3" s="32"/>
      <c r="V3" s="10" t="s">
        <v>84</v>
      </c>
      <c r="W3" s="10" t="s">
        <v>85</v>
      </c>
      <c r="X3" s="10" t="s">
        <v>86</v>
      </c>
      <c r="Y3" s="10" t="s">
        <v>87</v>
      </c>
      <c r="Z3" s="10" t="s">
        <v>88</v>
      </c>
      <c r="AA3" s="10" t="s">
        <v>89</v>
      </c>
      <c r="AB3" s="10" t="s">
        <v>90</v>
      </c>
      <c r="AC3" s="10"/>
      <c r="AD3" s="10"/>
      <c r="AE3" s="10"/>
    </row>
    <row r="4" ht="22.5" customHeight="1" spans="1:31">
      <c r="A4" s="2"/>
      <c r="B4" s="2"/>
      <c r="C4" s="2"/>
      <c r="D4" s="2"/>
      <c r="E4" s="3"/>
      <c r="F4" s="4"/>
      <c r="G4" s="4" t="s">
        <v>91</v>
      </c>
      <c r="H4" s="4" t="s">
        <v>92</v>
      </c>
      <c r="I4" s="4" t="s">
        <v>93</v>
      </c>
      <c r="J4" s="4"/>
      <c r="K4" s="4" t="s">
        <v>94</v>
      </c>
      <c r="L4" s="4" t="s">
        <v>94</v>
      </c>
      <c r="M4" s="4"/>
      <c r="N4" s="4"/>
      <c r="O4" s="4"/>
      <c r="P4" s="41"/>
      <c r="Q4" s="5"/>
      <c r="R4" s="5"/>
      <c r="S4" s="5"/>
      <c r="T4" s="5"/>
      <c r="U4" s="32"/>
      <c r="V4" s="10"/>
      <c r="W4" s="10" t="s">
        <v>91</v>
      </c>
      <c r="X4" s="10" t="s">
        <v>92</v>
      </c>
      <c r="Y4" s="10" t="s">
        <v>93</v>
      </c>
      <c r="Z4" s="10"/>
      <c r="AA4" s="10" t="s">
        <v>94</v>
      </c>
      <c r="AB4" s="10" t="s">
        <v>94</v>
      </c>
      <c r="AC4" s="10"/>
      <c r="AD4" s="10"/>
      <c r="AE4" s="10"/>
    </row>
    <row r="5" ht="22.5" customHeight="1" spans="1:31">
      <c r="A5" s="5" t="s">
        <v>52</v>
      </c>
      <c r="B5" s="6" t="s">
        <v>95</v>
      </c>
      <c r="C5" s="7" t="s">
        <v>96</v>
      </c>
      <c r="D5" s="8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41"/>
      <c r="Q5" s="5" t="s">
        <v>52</v>
      </c>
      <c r="R5" s="6" t="s">
        <v>95</v>
      </c>
      <c r="S5" s="5" t="s">
        <v>96</v>
      </c>
      <c r="T5" s="8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ht="22.5" customHeight="1" spans="1:31">
      <c r="A6" s="5">
        <v>1</v>
      </c>
      <c r="B6" s="8" t="s">
        <v>55</v>
      </c>
      <c r="C6" s="11"/>
      <c r="D6" s="8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ht="105" customHeight="1" spans="1:31">
      <c r="A7" s="5">
        <v>1.1</v>
      </c>
      <c r="B7" s="8" t="s">
        <v>97</v>
      </c>
      <c r="C7" s="11" t="s">
        <v>98</v>
      </c>
      <c r="D7" s="8" t="s">
        <v>58</v>
      </c>
      <c r="E7" s="9">
        <v>23.33</v>
      </c>
      <c r="F7" s="10">
        <v>55</v>
      </c>
      <c r="G7" s="10">
        <f t="shared" ref="G7:G13" si="0">H7*(1+I7)</f>
        <v>84.66</v>
      </c>
      <c r="H7" s="10">
        <v>83</v>
      </c>
      <c r="I7" s="42">
        <v>0.02</v>
      </c>
      <c r="J7" s="10">
        <v>25</v>
      </c>
      <c r="K7" s="10">
        <f t="shared" ref="K7:K13" si="1">(F7+G7+J7)*0.06</f>
        <v>9.8796</v>
      </c>
      <c r="L7" s="10">
        <f t="shared" ref="L7:L13" si="2">(F7+G7+J7+K7)*0.09</f>
        <v>15.708564</v>
      </c>
      <c r="M7" s="10">
        <f t="shared" ref="M7:M13" si="3">F7+G7+J7+K7+L7</f>
        <v>190.248164</v>
      </c>
      <c r="N7" s="10">
        <f t="shared" ref="N7:N22" si="4">E7*M7</f>
        <v>4438.48966612</v>
      </c>
      <c r="O7" s="10" t="s">
        <v>99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ht="105" customHeight="1" spans="1:31">
      <c r="A8" s="5">
        <v>1.2</v>
      </c>
      <c r="B8" s="8" t="s">
        <v>100</v>
      </c>
      <c r="C8" s="11" t="s">
        <v>101</v>
      </c>
      <c r="D8" s="8" t="s">
        <v>58</v>
      </c>
      <c r="E8" s="9">
        <v>1.529</v>
      </c>
      <c r="F8" s="10">
        <v>70</v>
      </c>
      <c r="G8" s="10">
        <f t="shared" si="0"/>
        <v>85.49</v>
      </c>
      <c r="H8" s="10">
        <v>83</v>
      </c>
      <c r="I8" s="42">
        <v>0.03</v>
      </c>
      <c r="J8" s="10">
        <v>25</v>
      </c>
      <c r="K8" s="10">
        <f t="shared" si="1"/>
        <v>10.8294</v>
      </c>
      <c r="L8" s="10">
        <f t="shared" si="2"/>
        <v>17.218746</v>
      </c>
      <c r="M8" s="10">
        <f t="shared" si="3"/>
        <v>208.538146</v>
      </c>
      <c r="N8" s="10">
        <f t="shared" si="4"/>
        <v>318.854825234</v>
      </c>
      <c r="O8" s="10" t="s">
        <v>99</v>
      </c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ht="22.5" customHeight="1" spans="1:31">
      <c r="A9" s="5">
        <v>2</v>
      </c>
      <c r="B9" s="8" t="s">
        <v>68</v>
      </c>
      <c r="C9" s="11"/>
      <c r="D9" s="8"/>
      <c r="E9" s="9"/>
      <c r="F9" s="10"/>
      <c r="G9" s="10"/>
      <c r="H9" s="10"/>
      <c r="I9" s="10"/>
      <c r="J9" s="10"/>
      <c r="K9" s="10"/>
      <c r="L9" s="10"/>
      <c r="M9" s="10"/>
      <c r="N9" s="10">
        <f t="shared" si="4"/>
        <v>0</v>
      </c>
      <c r="O9" s="10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ht="88.5" customHeight="1" spans="1:31">
      <c r="A10" s="5">
        <v>2.1</v>
      </c>
      <c r="B10" s="12" t="s">
        <v>102</v>
      </c>
      <c r="C10" s="13" t="s">
        <v>103</v>
      </c>
      <c r="D10" s="8" t="s">
        <v>58</v>
      </c>
      <c r="E10" s="9">
        <v>71.4952</v>
      </c>
      <c r="F10" s="10">
        <v>55</v>
      </c>
      <c r="G10" s="10">
        <f t="shared" si="0"/>
        <v>66.3</v>
      </c>
      <c r="H10" s="10">
        <v>65</v>
      </c>
      <c r="I10" s="42">
        <v>0.02</v>
      </c>
      <c r="J10" s="10">
        <v>25</v>
      </c>
      <c r="K10" s="10">
        <f t="shared" si="1"/>
        <v>8.778</v>
      </c>
      <c r="L10" s="10">
        <f t="shared" si="2"/>
        <v>13.95702</v>
      </c>
      <c r="M10" s="10">
        <f t="shared" si="3"/>
        <v>169.03502</v>
      </c>
      <c r="N10" s="10">
        <f t="shared" si="4"/>
        <v>12085.192561904</v>
      </c>
      <c r="O10" s="10" t="s">
        <v>104</v>
      </c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ht="55.5" customHeight="1" spans="1:31">
      <c r="A11" s="5">
        <v>2.2</v>
      </c>
      <c r="B11" s="8" t="s">
        <v>105</v>
      </c>
      <c r="C11" s="11" t="s">
        <v>106</v>
      </c>
      <c r="D11" s="8" t="s">
        <v>58</v>
      </c>
      <c r="E11" s="9">
        <v>9.86</v>
      </c>
      <c r="F11" s="10">
        <v>200</v>
      </c>
      <c r="G11" s="10">
        <f t="shared" si="0"/>
        <v>432.6</v>
      </c>
      <c r="H11" s="10">
        <v>420</v>
      </c>
      <c r="I11" s="42">
        <v>0.03</v>
      </c>
      <c r="J11" s="10">
        <v>15</v>
      </c>
      <c r="K11" s="10">
        <f t="shared" si="1"/>
        <v>38.856</v>
      </c>
      <c r="L11" s="10">
        <f t="shared" si="2"/>
        <v>61.78104</v>
      </c>
      <c r="M11" s="10">
        <f t="shared" si="3"/>
        <v>748.23704</v>
      </c>
      <c r="N11" s="10">
        <f t="shared" si="4"/>
        <v>7377.6172144</v>
      </c>
      <c r="O11" s="10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ht="72" customHeight="1" spans="1:31">
      <c r="A12" s="5">
        <v>2.3</v>
      </c>
      <c r="B12" s="8" t="s">
        <v>107</v>
      </c>
      <c r="C12" s="11" t="s">
        <v>108</v>
      </c>
      <c r="D12" s="8" t="s">
        <v>109</v>
      </c>
      <c r="E12" s="9">
        <v>1</v>
      </c>
      <c r="F12" s="10">
        <v>155</v>
      </c>
      <c r="G12" s="10">
        <f t="shared" si="0"/>
        <v>459</v>
      </c>
      <c r="H12" s="10">
        <v>450</v>
      </c>
      <c r="I12" s="42">
        <v>0.02</v>
      </c>
      <c r="J12" s="10">
        <v>15</v>
      </c>
      <c r="K12" s="10">
        <f t="shared" si="1"/>
        <v>37.74</v>
      </c>
      <c r="L12" s="10">
        <f t="shared" si="2"/>
        <v>60.0066</v>
      </c>
      <c r="M12" s="10">
        <f t="shared" si="3"/>
        <v>726.7466</v>
      </c>
      <c r="N12" s="10">
        <f t="shared" si="4"/>
        <v>726.7466</v>
      </c>
      <c r="O12" s="10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ht="55.5" customHeight="1" spans="1:31">
      <c r="A13" s="5">
        <v>2.4</v>
      </c>
      <c r="B13" s="8" t="s">
        <v>110</v>
      </c>
      <c r="C13" s="11" t="s">
        <v>111</v>
      </c>
      <c r="D13" s="5" t="s">
        <v>112</v>
      </c>
      <c r="E13" s="9"/>
      <c r="F13" s="10">
        <v>5</v>
      </c>
      <c r="G13" s="10">
        <f t="shared" si="0"/>
        <v>10.1</v>
      </c>
      <c r="H13" s="10">
        <v>10</v>
      </c>
      <c r="I13" s="42">
        <v>0.01</v>
      </c>
      <c r="J13" s="10">
        <v>0.1</v>
      </c>
      <c r="K13" s="10">
        <f t="shared" si="1"/>
        <v>0.912</v>
      </c>
      <c r="L13" s="10">
        <f t="shared" si="2"/>
        <v>1.45008</v>
      </c>
      <c r="M13" s="10">
        <f t="shared" si="3"/>
        <v>17.56208</v>
      </c>
      <c r="N13" s="10">
        <f t="shared" si="4"/>
        <v>0</v>
      </c>
      <c r="O13" s="10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ht="22.5" customHeight="1" spans="1:31">
      <c r="A14" s="5">
        <v>3</v>
      </c>
      <c r="B14" s="8" t="s">
        <v>113</v>
      </c>
      <c r="C14" s="11"/>
      <c r="D14" s="8"/>
      <c r="E14" s="9"/>
      <c r="F14" s="10"/>
      <c r="G14" s="10"/>
      <c r="H14" s="10"/>
      <c r="I14" s="10"/>
      <c r="J14" s="10"/>
      <c r="K14" s="10"/>
      <c r="L14" s="10"/>
      <c r="M14" s="10"/>
      <c r="N14" s="10">
        <f t="shared" si="4"/>
        <v>0</v>
      </c>
      <c r="O14" s="10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ht="154.5" customHeight="1" spans="1:31">
      <c r="A15" s="5">
        <v>3.1</v>
      </c>
      <c r="B15" s="8" t="s">
        <v>114</v>
      </c>
      <c r="C15" s="11" t="s">
        <v>115</v>
      </c>
      <c r="D15" s="8" t="s">
        <v>58</v>
      </c>
      <c r="E15" s="9">
        <v>8.53</v>
      </c>
      <c r="F15" s="10">
        <v>115</v>
      </c>
      <c r="G15" s="10">
        <f t="shared" ref="G15:G22" si="5">H15*(1+I15)</f>
        <v>61.2</v>
      </c>
      <c r="H15" s="10">
        <v>60</v>
      </c>
      <c r="I15" s="42">
        <v>0.02</v>
      </c>
      <c r="J15" s="10">
        <v>5</v>
      </c>
      <c r="K15" s="10">
        <f t="shared" ref="K15:K22" si="6">(F15+G15+J15)*0.06</f>
        <v>10.872</v>
      </c>
      <c r="L15" s="10">
        <f t="shared" ref="L15:L22" si="7">(F15+G15+J15+K15)*0.09</f>
        <v>17.28648</v>
      </c>
      <c r="M15" s="10">
        <f t="shared" ref="M15:M22" si="8">F15+G15+J15+K15+L15</f>
        <v>209.35848</v>
      </c>
      <c r="N15" s="10">
        <f t="shared" si="4"/>
        <v>1785.8278344</v>
      </c>
      <c r="O15" s="16" t="s">
        <v>116</v>
      </c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ht="55.5" customHeight="1" spans="1:31">
      <c r="A16" s="5">
        <v>3.2</v>
      </c>
      <c r="B16" s="8" t="s">
        <v>117</v>
      </c>
      <c r="C16" s="11" t="s">
        <v>118</v>
      </c>
      <c r="D16" s="8" t="s">
        <v>112</v>
      </c>
      <c r="E16" s="9">
        <v>9.256</v>
      </c>
      <c r="F16" s="10">
        <v>20</v>
      </c>
      <c r="G16" s="10">
        <f t="shared" si="5"/>
        <v>20.4</v>
      </c>
      <c r="H16" s="10">
        <v>20</v>
      </c>
      <c r="I16" s="42">
        <v>0.02</v>
      </c>
      <c r="J16" s="10">
        <v>5</v>
      </c>
      <c r="K16" s="10">
        <f t="shared" si="6"/>
        <v>2.724</v>
      </c>
      <c r="L16" s="10">
        <f t="shared" si="7"/>
        <v>4.33116</v>
      </c>
      <c r="M16" s="10">
        <f t="shared" si="8"/>
        <v>52.45516</v>
      </c>
      <c r="N16" s="10">
        <f t="shared" si="4"/>
        <v>485.52496096</v>
      </c>
      <c r="O16" s="10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ht="72" customHeight="1" spans="1:31">
      <c r="A17" s="5">
        <v>3.3</v>
      </c>
      <c r="B17" s="8" t="s">
        <v>119</v>
      </c>
      <c r="C17" s="11" t="s">
        <v>120</v>
      </c>
      <c r="D17" s="8" t="s">
        <v>58</v>
      </c>
      <c r="E17" s="9">
        <v>8.53</v>
      </c>
      <c r="F17" s="10">
        <v>20</v>
      </c>
      <c r="G17" s="10">
        <f t="shared" si="5"/>
        <v>12.524</v>
      </c>
      <c r="H17" s="10">
        <v>12.4</v>
      </c>
      <c r="I17" s="42">
        <v>0.01</v>
      </c>
      <c r="J17" s="10">
        <v>2</v>
      </c>
      <c r="K17" s="10">
        <f t="shared" si="6"/>
        <v>2.07144</v>
      </c>
      <c r="L17" s="10">
        <f t="shared" si="7"/>
        <v>3.2935896</v>
      </c>
      <c r="M17" s="10">
        <f t="shared" si="8"/>
        <v>39.8890296</v>
      </c>
      <c r="N17" s="10">
        <f t="shared" si="4"/>
        <v>340.253422488</v>
      </c>
      <c r="O17" s="10" t="s">
        <v>121</v>
      </c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ht="121.5" customHeight="1" spans="1:31">
      <c r="A18" s="5">
        <v>3.4</v>
      </c>
      <c r="B18" s="8" t="s">
        <v>122</v>
      </c>
      <c r="C18" s="11" t="s">
        <v>123</v>
      </c>
      <c r="D18" s="8" t="s">
        <v>58</v>
      </c>
      <c r="E18" s="9">
        <v>6.71</v>
      </c>
      <c r="F18" s="10">
        <v>115</v>
      </c>
      <c r="G18" s="10">
        <f t="shared" si="5"/>
        <v>66.3</v>
      </c>
      <c r="H18" s="10">
        <v>65</v>
      </c>
      <c r="I18" s="42">
        <v>0.02</v>
      </c>
      <c r="J18" s="10">
        <v>5</v>
      </c>
      <c r="K18" s="10">
        <f t="shared" si="6"/>
        <v>11.178</v>
      </c>
      <c r="L18" s="10">
        <f t="shared" si="7"/>
        <v>17.77302</v>
      </c>
      <c r="M18" s="10">
        <f t="shared" si="8"/>
        <v>215.25102</v>
      </c>
      <c r="N18" s="10">
        <f t="shared" si="4"/>
        <v>1444.3343442</v>
      </c>
      <c r="O18" s="10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ht="72" customHeight="1" spans="1:31">
      <c r="A19" s="5">
        <v>3.5</v>
      </c>
      <c r="B19" s="14" t="s">
        <v>124</v>
      </c>
      <c r="C19" s="15" t="s">
        <v>120</v>
      </c>
      <c r="D19" s="8" t="s">
        <v>58</v>
      </c>
      <c r="E19" s="9">
        <v>6.71</v>
      </c>
      <c r="F19" s="10">
        <v>20</v>
      </c>
      <c r="G19" s="10">
        <f t="shared" si="5"/>
        <v>12.524</v>
      </c>
      <c r="H19" s="10">
        <v>12.4</v>
      </c>
      <c r="I19" s="42">
        <v>0.01</v>
      </c>
      <c r="J19" s="10">
        <v>2</v>
      </c>
      <c r="K19" s="10">
        <f t="shared" si="6"/>
        <v>2.07144</v>
      </c>
      <c r="L19" s="10">
        <f t="shared" si="7"/>
        <v>3.2935896</v>
      </c>
      <c r="M19" s="10">
        <f t="shared" si="8"/>
        <v>39.8890296</v>
      </c>
      <c r="N19" s="10">
        <f t="shared" si="4"/>
        <v>267.655388616</v>
      </c>
      <c r="O19" s="10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ht="88.5" customHeight="1" spans="1:31">
      <c r="A20" s="5">
        <v>3.6</v>
      </c>
      <c r="B20" s="14" t="s">
        <v>125</v>
      </c>
      <c r="C20" s="15" t="s">
        <v>126</v>
      </c>
      <c r="D20" s="8" t="s">
        <v>58</v>
      </c>
      <c r="E20" s="9">
        <v>7.579</v>
      </c>
      <c r="F20" s="10">
        <v>20</v>
      </c>
      <c r="G20" s="10">
        <f t="shared" si="5"/>
        <v>12.524</v>
      </c>
      <c r="H20" s="10">
        <v>12.4</v>
      </c>
      <c r="I20" s="42">
        <v>0.01</v>
      </c>
      <c r="J20" s="10">
        <v>2</v>
      </c>
      <c r="K20" s="10">
        <f t="shared" si="6"/>
        <v>2.07144</v>
      </c>
      <c r="L20" s="10">
        <f t="shared" si="7"/>
        <v>3.2935896</v>
      </c>
      <c r="M20" s="10">
        <f t="shared" si="8"/>
        <v>39.8890296</v>
      </c>
      <c r="N20" s="10">
        <f t="shared" si="4"/>
        <v>302.3189553384</v>
      </c>
      <c r="O20" s="10" t="s">
        <v>121</v>
      </c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ht="88.5" customHeight="1" spans="1:31">
      <c r="A21" s="5">
        <v>3.7</v>
      </c>
      <c r="B21" s="14" t="s">
        <v>125</v>
      </c>
      <c r="C21" s="15" t="s">
        <v>127</v>
      </c>
      <c r="D21" s="8" t="s">
        <v>58</v>
      </c>
      <c r="E21" s="9">
        <v>2.06</v>
      </c>
      <c r="F21" s="10">
        <v>20</v>
      </c>
      <c r="G21" s="10">
        <f t="shared" si="5"/>
        <v>12.524</v>
      </c>
      <c r="H21" s="10">
        <v>12.4</v>
      </c>
      <c r="I21" s="42">
        <v>0.01</v>
      </c>
      <c r="J21" s="10">
        <v>2</v>
      </c>
      <c r="K21" s="10">
        <f t="shared" si="6"/>
        <v>2.07144</v>
      </c>
      <c r="L21" s="10">
        <f t="shared" si="7"/>
        <v>3.2935896</v>
      </c>
      <c r="M21" s="10">
        <f t="shared" si="8"/>
        <v>39.8890296</v>
      </c>
      <c r="N21" s="10">
        <f t="shared" si="4"/>
        <v>82.171400976</v>
      </c>
      <c r="O21" s="10" t="s">
        <v>121</v>
      </c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ht="88.5" customHeight="1" spans="1:31">
      <c r="A22" s="5">
        <v>3.8</v>
      </c>
      <c r="B22" s="8" t="s">
        <v>128</v>
      </c>
      <c r="C22" s="11" t="s">
        <v>129</v>
      </c>
      <c r="D22" s="8" t="s">
        <v>112</v>
      </c>
      <c r="E22" s="9">
        <v>10.32</v>
      </c>
      <c r="F22" s="10">
        <v>120</v>
      </c>
      <c r="G22" s="10">
        <f t="shared" si="5"/>
        <v>76.5</v>
      </c>
      <c r="H22" s="10">
        <v>75</v>
      </c>
      <c r="I22" s="42">
        <v>0.02</v>
      </c>
      <c r="J22" s="10">
        <v>5</v>
      </c>
      <c r="K22" s="10">
        <f t="shared" si="6"/>
        <v>12.09</v>
      </c>
      <c r="L22" s="10">
        <f t="shared" si="7"/>
        <v>19.2231</v>
      </c>
      <c r="M22" s="10">
        <f t="shared" si="8"/>
        <v>232.8131</v>
      </c>
      <c r="N22" s="10">
        <f t="shared" si="4"/>
        <v>2402.631192</v>
      </c>
      <c r="O22" s="16" t="s">
        <v>116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ht="22.5" customHeight="1" spans="1:31">
      <c r="A23" s="5">
        <v>4</v>
      </c>
      <c r="B23" s="8" t="s">
        <v>130</v>
      </c>
      <c r="C23" s="8"/>
      <c r="D23" s="8" t="s">
        <v>131</v>
      </c>
      <c r="E23" s="9"/>
      <c r="F23" s="10"/>
      <c r="G23" s="10"/>
      <c r="H23" s="10"/>
      <c r="I23" s="10"/>
      <c r="J23" s="10"/>
      <c r="K23" s="10"/>
      <c r="L23" s="10"/>
      <c r="M23" s="10"/>
      <c r="N23" s="43">
        <f>SUM(N7:N22)</f>
        <v>32057.6183666364</v>
      </c>
      <c r="O23" s="1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ht="22.5" customHeight="1" spans="1:31">
      <c r="A24" s="16" t="s">
        <v>52</v>
      </c>
      <c r="B24" s="17" t="s">
        <v>132</v>
      </c>
      <c r="C24" s="18" t="s">
        <v>96</v>
      </c>
      <c r="D24" s="17" t="s">
        <v>133</v>
      </c>
      <c r="E24" s="19"/>
      <c r="F24" s="19"/>
      <c r="G24" s="19"/>
      <c r="H24" s="19"/>
      <c r="I24" s="19"/>
      <c r="J24" s="19"/>
      <c r="K24" s="44"/>
      <c r="L24" s="44"/>
      <c r="M24" s="19"/>
      <c r="N24" s="19"/>
      <c r="O24" s="19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ht="72" customHeight="1" spans="1:31">
      <c r="A25" s="16">
        <v>1</v>
      </c>
      <c r="B25" s="16" t="s">
        <v>134</v>
      </c>
      <c r="C25" s="20" t="s">
        <v>135</v>
      </c>
      <c r="D25" s="16" t="s">
        <v>136</v>
      </c>
      <c r="E25" s="19">
        <v>2</v>
      </c>
      <c r="F25" s="19">
        <v>15</v>
      </c>
      <c r="G25" s="19">
        <f t="shared" ref="G25:G42" si="9">H25*(1+I25)</f>
        <v>85</v>
      </c>
      <c r="H25" s="19">
        <v>85</v>
      </c>
      <c r="I25" s="45">
        <v>0</v>
      </c>
      <c r="J25" s="19">
        <v>2</v>
      </c>
      <c r="K25" s="19">
        <f t="shared" ref="K25:K42" si="10">(F25+G25+J25)*0.06</f>
        <v>6.12</v>
      </c>
      <c r="L25" s="19">
        <f t="shared" ref="L25:L42" si="11">(F25+G25+J25+K25)*0.09</f>
        <v>9.7308</v>
      </c>
      <c r="M25" s="19">
        <f t="shared" ref="M25:M42" si="12">F25+G25+J25+K25+L25</f>
        <v>117.8508</v>
      </c>
      <c r="N25" s="19">
        <f t="shared" ref="N25:N42" si="13">M25*E25</f>
        <v>235.7016</v>
      </c>
      <c r="O25" s="19" t="s">
        <v>137</v>
      </c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ht="55.5" customHeight="1" spans="1:31">
      <c r="A26" s="16">
        <v>2</v>
      </c>
      <c r="B26" s="16" t="s">
        <v>138</v>
      </c>
      <c r="C26" s="20" t="s">
        <v>139</v>
      </c>
      <c r="D26" s="16" t="s">
        <v>136</v>
      </c>
      <c r="E26" s="19">
        <v>7</v>
      </c>
      <c r="F26" s="19">
        <v>15</v>
      </c>
      <c r="G26" s="19">
        <f t="shared" si="9"/>
        <v>35</v>
      </c>
      <c r="H26" s="19">
        <v>35</v>
      </c>
      <c r="I26" s="45">
        <v>0</v>
      </c>
      <c r="J26" s="19">
        <v>2</v>
      </c>
      <c r="K26" s="19">
        <f t="shared" si="10"/>
        <v>3.12</v>
      </c>
      <c r="L26" s="19">
        <f t="shared" si="11"/>
        <v>4.9608</v>
      </c>
      <c r="M26" s="19">
        <f t="shared" si="12"/>
        <v>60.0808</v>
      </c>
      <c r="N26" s="19">
        <f t="shared" si="13"/>
        <v>420.5656</v>
      </c>
      <c r="O26" s="19" t="s">
        <v>137</v>
      </c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ht="55.5" customHeight="1" spans="1:31">
      <c r="A27" s="16">
        <v>3</v>
      </c>
      <c r="B27" s="16" t="s">
        <v>140</v>
      </c>
      <c r="C27" s="20" t="s">
        <v>141</v>
      </c>
      <c r="D27" s="16" t="s">
        <v>136</v>
      </c>
      <c r="E27" s="21">
        <v>3</v>
      </c>
      <c r="F27" s="19">
        <v>15</v>
      </c>
      <c r="G27" s="19">
        <f t="shared" si="9"/>
        <v>35</v>
      </c>
      <c r="H27" s="19">
        <v>35</v>
      </c>
      <c r="I27" s="45">
        <v>0</v>
      </c>
      <c r="J27" s="19">
        <v>2</v>
      </c>
      <c r="K27" s="19">
        <f t="shared" si="10"/>
        <v>3.12</v>
      </c>
      <c r="L27" s="19">
        <f t="shared" si="11"/>
        <v>4.9608</v>
      </c>
      <c r="M27" s="19">
        <f t="shared" si="12"/>
        <v>60.0808</v>
      </c>
      <c r="N27" s="19">
        <f t="shared" si="13"/>
        <v>180.2424</v>
      </c>
      <c r="O27" s="19" t="s">
        <v>137</v>
      </c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ht="55.5" customHeight="1" spans="1:31">
      <c r="A28" s="16">
        <v>4</v>
      </c>
      <c r="B28" s="22" t="s">
        <v>142</v>
      </c>
      <c r="C28" s="20" t="s">
        <v>143</v>
      </c>
      <c r="D28" s="16" t="s">
        <v>136</v>
      </c>
      <c r="E28" s="21">
        <v>1</v>
      </c>
      <c r="F28" s="19">
        <v>200</v>
      </c>
      <c r="G28" s="19">
        <f t="shared" si="9"/>
        <v>2000</v>
      </c>
      <c r="H28" s="19">
        <v>2000</v>
      </c>
      <c r="I28" s="45">
        <v>0</v>
      </c>
      <c r="J28" s="19">
        <v>2</v>
      </c>
      <c r="K28" s="19">
        <f t="shared" si="10"/>
        <v>132.12</v>
      </c>
      <c r="L28" s="19">
        <f t="shared" si="11"/>
        <v>210.0708</v>
      </c>
      <c r="M28" s="19">
        <f t="shared" si="12"/>
        <v>2544.1908</v>
      </c>
      <c r="N28" s="19">
        <f t="shared" si="13"/>
        <v>2544.1908</v>
      </c>
      <c r="O28" s="19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ht="55.5" customHeight="1" spans="1:31">
      <c r="A29" s="16">
        <v>5</v>
      </c>
      <c r="B29" s="16" t="s">
        <v>144</v>
      </c>
      <c r="C29" s="20" t="s">
        <v>145</v>
      </c>
      <c r="D29" s="16" t="s">
        <v>136</v>
      </c>
      <c r="E29" s="21">
        <v>1</v>
      </c>
      <c r="F29" s="19">
        <v>15</v>
      </c>
      <c r="G29" s="19">
        <f t="shared" si="9"/>
        <v>65</v>
      </c>
      <c r="H29" s="19">
        <v>65</v>
      </c>
      <c r="I29" s="45">
        <v>0</v>
      </c>
      <c r="J29" s="19">
        <v>2</v>
      </c>
      <c r="K29" s="19">
        <f t="shared" si="10"/>
        <v>4.92</v>
      </c>
      <c r="L29" s="19">
        <f t="shared" si="11"/>
        <v>7.8228</v>
      </c>
      <c r="M29" s="19">
        <f t="shared" si="12"/>
        <v>94.7428</v>
      </c>
      <c r="N29" s="19">
        <f t="shared" si="13"/>
        <v>94.7428</v>
      </c>
      <c r="O29" s="19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ht="22.5" customHeight="1" spans="1:31">
      <c r="A30" s="23">
        <v>6</v>
      </c>
      <c r="B30" s="23" t="s">
        <v>146</v>
      </c>
      <c r="C30" s="24"/>
      <c r="D30" s="23" t="s">
        <v>136</v>
      </c>
      <c r="E30" s="25">
        <v>1</v>
      </c>
      <c r="F30" s="26">
        <v>15</v>
      </c>
      <c r="G30" s="26">
        <f t="shared" si="9"/>
        <v>50</v>
      </c>
      <c r="H30" s="26">
        <v>50</v>
      </c>
      <c r="I30" s="46">
        <v>0</v>
      </c>
      <c r="J30" s="26">
        <v>2</v>
      </c>
      <c r="K30" s="26">
        <f t="shared" si="10"/>
        <v>4.02</v>
      </c>
      <c r="L30" s="26">
        <f t="shared" si="11"/>
        <v>6.3918</v>
      </c>
      <c r="M30" s="26">
        <f t="shared" si="12"/>
        <v>77.4118</v>
      </c>
      <c r="N30" s="26">
        <f t="shared" si="13"/>
        <v>77.4118</v>
      </c>
      <c r="O30" s="26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ht="55.5" customHeight="1" spans="1:31">
      <c r="A31" s="16">
        <v>7</v>
      </c>
      <c r="B31" s="22" t="s">
        <v>147</v>
      </c>
      <c r="C31" s="20" t="s">
        <v>148</v>
      </c>
      <c r="D31" s="16" t="s">
        <v>136</v>
      </c>
      <c r="E31" s="21">
        <v>2</v>
      </c>
      <c r="F31" s="19">
        <v>120</v>
      </c>
      <c r="G31" s="19">
        <f t="shared" si="9"/>
        <v>600</v>
      </c>
      <c r="H31" s="19">
        <v>600</v>
      </c>
      <c r="I31" s="45">
        <v>0</v>
      </c>
      <c r="J31" s="19">
        <v>5</v>
      </c>
      <c r="K31" s="19">
        <f t="shared" si="10"/>
        <v>43.5</v>
      </c>
      <c r="L31" s="19">
        <f t="shared" si="11"/>
        <v>69.165</v>
      </c>
      <c r="M31" s="19">
        <f t="shared" si="12"/>
        <v>837.665</v>
      </c>
      <c r="N31" s="19">
        <f t="shared" si="13"/>
        <v>1675.33</v>
      </c>
      <c r="O31" s="19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ht="55.5" customHeight="1" spans="1:31">
      <c r="A32" s="16">
        <v>8</v>
      </c>
      <c r="B32" s="22" t="s">
        <v>149</v>
      </c>
      <c r="C32" s="20" t="s">
        <v>150</v>
      </c>
      <c r="D32" s="16" t="s">
        <v>112</v>
      </c>
      <c r="E32" s="19">
        <v>10.17</v>
      </c>
      <c r="F32" s="19">
        <v>8</v>
      </c>
      <c r="G32" s="19">
        <f t="shared" si="9"/>
        <v>25</v>
      </c>
      <c r="H32" s="19">
        <v>25</v>
      </c>
      <c r="I32" s="45">
        <v>0</v>
      </c>
      <c r="J32" s="19">
        <v>2</v>
      </c>
      <c r="K32" s="19">
        <f t="shared" si="10"/>
        <v>2.1</v>
      </c>
      <c r="L32" s="19">
        <f t="shared" si="11"/>
        <v>3.339</v>
      </c>
      <c r="M32" s="19">
        <f t="shared" si="12"/>
        <v>40.439</v>
      </c>
      <c r="N32" s="19">
        <f t="shared" si="13"/>
        <v>411.26463</v>
      </c>
      <c r="O32" s="19" t="s">
        <v>151</v>
      </c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t="55.5" customHeight="1" spans="1:31">
      <c r="A33" s="16">
        <v>9</v>
      </c>
      <c r="B33" s="16" t="s">
        <v>152</v>
      </c>
      <c r="C33" s="20" t="s">
        <v>153</v>
      </c>
      <c r="D33" s="16" t="s">
        <v>136</v>
      </c>
      <c r="E33" s="21">
        <v>1</v>
      </c>
      <c r="F33" s="19">
        <v>8</v>
      </c>
      <c r="G33" s="19">
        <f t="shared" si="9"/>
        <v>30</v>
      </c>
      <c r="H33" s="19">
        <v>30</v>
      </c>
      <c r="I33" s="45">
        <v>0</v>
      </c>
      <c r="J33" s="19">
        <v>2</v>
      </c>
      <c r="K33" s="19">
        <f t="shared" si="10"/>
        <v>2.4</v>
      </c>
      <c r="L33" s="19">
        <f t="shared" si="11"/>
        <v>3.816</v>
      </c>
      <c r="M33" s="19">
        <f t="shared" si="12"/>
        <v>46.216</v>
      </c>
      <c r="N33" s="19">
        <f t="shared" si="13"/>
        <v>46.216</v>
      </c>
      <c r="O33" s="16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t="55.5" customHeight="1" spans="1:31">
      <c r="A34" s="16">
        <v>10</v>
      </c>
      <c r="B34" s="16" t="s">
        <v>154</v>
      </c>
      <c r="C34" s="20" t="s">
        <v>155</v>
      </c>
      <c r="D34" s="16" t="s">
        <v>136</v>
      </c>
      <c r="E34" s="21">
        <v>1</v>
      </c>
      <c r="F34" s="19">
        <v>8</v>
      </c>
      <c r="G34" s="19">
        <f t="shared" si="9"/>
        <v>20</v>
      </c>
      <c r="H34" s="19">
        <v>20</v>
      </c>
      <c r="I34" s="45">
        <v>0</v>
      </c>
      <c r="J34" s="19">
        <v>2</v>
      </c>
      <c r="K34" s="19">
        <f t="shared" si="10"/>
        <v>1.8</v>
      </c>
      <c r="L34" s="19">
        <f t="shared" si="11"/>
        <v>2.862</v>
      </c>
      <c r="M34" s="19">
        <f t="shared" si="12"/>
        <v>34.662</v>
      </c>
      <c r="N34" s="19">
        <f t="shared" si="13"/>
        <v>34.662</v>
      </c>
      <c r="O34" s="16" t="s">
        <v>156</v>
      </c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t="72" customHeight="1" spans="1:31">
      <c r="A35" s="16">
        <v>11</v>
      </c>
      <c r="B35" s="16" t="s">
        <v>157</v>
      </c>
      <c r="C35" s="20" t="s">
        <v>158</v>
      </c>
      <c r="D35" s="16" t="s">
        <v>136</v>
      </c>
      <c r="E35" s="16">
        <v>1</v>
      </c>
      <c r="F35" s="19">
        <v>10</v>
      </c>
      <c r="G35" s="19">
        <f t="shared" si="9"/>
        <v>13</v>
      </c>
      <c r="H35" s="19">
        <v>13</v>
      </c>
      <c r="I35" s="45">
        <v>0</v>
      </c>
      <c r="J35" s="19">
        <v>2</v>
      </c>
      <c r="K35" s="19">
        <f t="shared" si="10"/>
        <v>1.5</v>
      </c>
      <c r="L35" s="19">
        <f t="shared" si="11"/>
        <v>2.385</v>
      </c>
      <c r="M35" s="19">
        <f t="shared" si="12"/>
        <v>28.885</v>
      </c>
      <c r="N35" s="19">
        <f t="shared" si="13"/>
        <v>28.885</v>
      </c>
      <c r="O35" s="16" t="s">
        <v>156</v>
      </c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t="55.5" customHeight="1" spans="1:31">
      <c r="A36" s="16">
        <v>12</v>
      </c>
      <c r="B36" s="16" t="s">
        <v>159</v>
      </c>
      <c r="C36" s="20" t="s">
        <v>160</v>
      </c>
      <c r="D36" s="16" t="s">
        <v>136</v>
      </c>
      <c r="E36" s="19">
        <v>1</v>
      </c>
      <c r="F36" s="19">
        <v>10</v>
      </c>
      <c r="G36" s="19">
        <f t="shared" si="9"/>
        <v>22</v>
      </c>
      <c r="H36" s="19">
        <v>22</v>
      </c>
      <c r="I36" s="45">
        <v>0</v>
      </c>
      <c r="J36" s="19">
        <v>2</v>
      </c>
      <c r="K36" s="19">
        <f t="shared" si="10"/>
        <v>2.04</v>
      </c>
      <c r="L36" s="19">
        <f t="shared" si="11"/>
        <v>3.2436</v>
      </c>
      <c r="M36" s="19">
        <f t="shared" si="12"/>
        <v>39.2836</v>
      </c>
      <c r="N36" s="19">
        <f t="shared" si="13"/>
        <v>39.2836</v>
      </c>
      <c r="O36" s="16" t="s">
        <v>156</v>
      </c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t="72" customHeight="1" spans="1:31">
      <c r="A37" s="16">
        <v>13</v>
      </c>
      <c r="B37" s="16" t="s">
        <v>161</v>
      </c>
      <c r="C37" s="20" t="s">
        <v>162</v>
      </c>
      <c r="D37" s="19" t="s">
        <v>112</v>
      </c>
      <c r="E37" s="19">
        <v>9.44</v>
      </c>
      <c r="F37" s="19">
        <v>10</v>
      </c>
      <c r="G37" s="19">
        <f t="shared" si="9"/>
        <v>8.08</v>
      </c>
      <c r="H37" s="19">
        <v>8</v>
      </c>
      <c r="I37" s="45">
        <v>0.01</v>
      </c>
      <c r="J37" s="19">
        <v>2</v>
      </c>
      <c r="K37" s="19">
        <f t="shared" si="10"/>
        <v>1.2048</v>
      </c>
      <c r="L37" s="19">
        <f t="shared" si="11"/>
        <v>1.915632</v>
      </c>
      <c r="M37" s="19">
        <f t="shared" si="12"/>
        <v>23.200432</v>
      </c>
      <c r="N37" s="19">
        <f t="shared" si="13"/>
        <v>219.01207808</v>
      </c>
      <c r="O37" s="16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t="72" customHeight="1" spans="1:31">
      <c r="A38" s="16">
        <v>14</v>
      </c>
      <c r="B38" s="16" t="s">
        <v>161</v>
      </c>
      <c r="C38" s="20" t="s">
        <v>163</v>
      </c>
      <c r="D38" s="19" t="s">
        <v>112</v>
      </c>
      <c r="E38" s="19">
        <v>28.93</v>
      </c>
      <c r="F38" s="19">
        <v>10</v>
      </c>
      <c r="G38" s="19">
        <f t="shared" si="9"/>
        <v>6.06</v>
      </c>
      <c r="H38" s="19">
        <v>6</v>
      </c>
      <c r="I38" s="45">
        <v>0.01</v>
      </c>
      <c r="J38" s="19">
        <v>2</v>
      </c>
      <c r="K38" s="19">
        <f t="shared" si="10"/>
        <v>1.0836</v>
      </c>
      <c r="L38" s="19">
        <f t="shared" si="11"/>
        <v>1.722924</v>
      </c>
      <c r="M38" s="19">
        <f t="shared" si="12"/>
        <v>20.866524</v>
      </c>
      <c r="N38" s="19">
        <f t="shared" si="13"/>
        <v>603.66853932</v>
      </c>
      <c r="O38" s="16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t="72" customHeight="1" spans="1:31">
      <c r="A39" s="16">
        <v>15</v>
      </c>
      <c r="B39" s="16" t="s">
        <v>161</v>
      </c>
      <c r="C39" s="20" t="s">
        <v>164</v>
      </c>
      <c r="D39" s="19" t="s">
        <v>112</v>
      </c>
      <c r="E39" s="19">
        <f>3.75+2.9*2</f>
        <v>9.55</v>
      </c>
      <c r="F39" s="19">
        <v>12</v>
      </c>
      <c r="G39" s="19">
        <f t="shared" si="9"/>
        <v>10.1</v>
      </c>
      <c r="H39" s="19">
        <v>10</v>
      </c>
      <c r="I39" s="45">
        <v>0.01</v>
      </c>
      <c r="J39" s="19">
        <v>2</v>
      </c>
      <c r="K39" s="19">
        <f t="shared" si="10"/>
        <v>1.446</v>
      </c>
      <c r="L39" s="19">
        <f t="shared" si="11"/>
        <v>2.29914</v>
      </c>
      <c r="M39" s="19">
        <f t="shared" si="12"/>
        <v>27.84514</v>
      </c>
      <c r="N39" s="19">
        <f t="shared" si="13"/>
        <v>265.921087</v>
      </c>
      <c r="O39" s="16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ht="55.5" customHeight="1" spans="1:31">
      <c r="A40" s="16">
        <v>16</v>
      </c>
      <c r="B40" s="16" t="s">
        <v>165</v>
      </c>
      <c r="C40" s="20" t="s">
        <v>166</v>
      </c>
      <c r="D40" s="19" t="s">
        <v>112</v>
      </c>
      <c r="E40" s="19">
        <f>21.85/2</f>
        <v>10.925</v>
      </c>
      <c r="F40" s="19">
        <v>1.5</v>
      </c>
      <c r="G40" s="19">
        <f t="shared" si="9"/>
        <v>2</v>
      </c>
      <c r="H40" s="19">
        <v>2</v>
      </c>
      <c r="I40" s="45">
        <v>0</v>
      </c>
      <c r="J40" s="19">
        <v>1</v>
      </c>
      <c r="K40" s="19">
        <f t="shared" si="10"/>
        <v>0.27</v>
      </c>
      <c r="L40" s="19">
        <f t="shared" si="11"/>
        <v>0.4293</v>
      </c>
      <c r="M40" s="19">
        <f t="shared" si="12"/>
        <v>5.1993</v>
      </c>
      <c r="N40" s="19">
        <f t="shared" si="13"/>
        <v>56.8023525</v>
      </c>
      <c r="O40" s="19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ht="55.5" customHeight="1" spans="1:31">
      <c r="A41" s="16">
        <v>17</v>
      </c>
      <c r="B41" s="16" t="s">
        <v>167</v>
      </c>
      <c r="C41" s="20" t="s">
        <v>168</v>
      </c>
      <c r="D41" s="19" t="s">
        <v>112</v>
      </c>
      <c r="E41" s="19">
        <f>9.55*3</f>
        <v>28.65</v>
      </c>
      <c r="F41" s="19">
        <v>1</v>
      </c>
      <c r="G41" s="19">
        <f t="shared" si="9"/>
        <v>3</v>
      </c>
      <c r="H41" s="19">
        <v>3</v>
      </c>
      <c r="I41" s="45">
        <v>0</v>
      </c>
      <c r="J41" s="19">
        <v>0.1</v>
      </c>
      <c r="K41" s="19">
        <f t="shared" si="10"/>
        <v>0.246</v>
      </c>
      <c r="L41" s="19">
        <f t="shared" si="11"/>
        <v>0.39114</v>
      </c>
      <c r="M41" s="19">
        <f t="shared" si="12"/>
        <v>4.73714</v>
      </c>
      <c r="N41" s="19">
        <f t="shared" si="13"/>
        <v>135.719061</v>
      </c>
      <c r="O41" s="19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ht="55.5" customHeight="1" spans="1:31">
      <c r="A42" s="16">
        <v>18</v>
      </c>
      <c r="B42" s="16" t="s">
        <v>167</v>
      </c>
      <c r="C42" s="20" t="s">
        <v>169</v>
      </c>
      <c r="D42" s="19" t="s">
        <v>112</v>
      </c>
      <c r="E42" s="19">
        <f>28.93*3</f>
        <v>86.79</v>
      </c>
      <c r="F42" s="19">
        <v>1</v>
      </c>
      <c r="G42" s="19">
        <f t="shared" si="9"/>
        <v>2.1</v>
      </c>
      <c r="H42" s="19">
        <v>2.1</v>
      </c>
      <c r="I42" s="45">
        <v>0</v>
      </c>
      <c r="J42" s="19">
        <v>0.1</v>
      </c>
      <c r="K42" s="19">
        <f t="shared" si="10"/>
        <v>0.192</v>
      </c>
      <c r="L42" s="19">
        <f t="shared" si="11"/>
        <v>0.30528</v>
      </c>
      <c r="M42" s="19">
        <f t="shared" si="12"/>
        <v>3.69728</v>
      </c>
      <c r="N42" s="19">
        <f t="shared" si="13"/>
        <v>320.8869312</v>
      </c>
      <c r="O42" s="19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ht="22.5" customHeight="1" spans="1:31">
      <c r="A43" s="16">
        <v>19</v>
      </c>
      <c r="B43" s="16" t="s">
        <v>130</v>
      </c>
      <c r="C43" s="20"/>
      <c r="D43" s="16" t="s">
        <v>131</v>
      </c>
      <c r="E43" s="16"/>
      <c r="F43" s="16"/>
      <c r="G43" s="16"/>
      <c r="H43" s="16"/>
      <c r="I43" s="16"/>
      <c r="J43" s="16"/>
      <c r="K43" s="16"/>
      <c r="L43" s="16"/>
      <c r="M43" s="16"/>
      <c r="N43" s="47">
        <f>SUM(N25:N42)</f>
        <v>7390.5062791</v>
      </c>
      <c r="O43" s="16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ht="22.5" customHeight="1" spans="1:31">
      <c r="A44" s="8" t="s">
        <v>52</v>
      </c>
      <c r="B44" s="27" t="s">
        <v>170</v>
      </c>
      <c r="C44" s="28" t="s">
        <v>171</v>
      </c>
      <c r="D44" s="27"/>
      <c r="E44" s="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ht="121.5" customHeight="1" spans="1:31">
      <c r="A45" s="5">
        <v>1</v>
      </c>
      <c r="B45" s="30" t="s">
        <v>172</v>
      </c>
      <c r="C45" s="31" t="s">
        <v>173</v>
      </c>
      <c r="D45" s="30" t="s">
        <v>174</v>
      </c>
      <c r="E45" s="32">
        <v>1.09512914</v>
      </c>
      <c r="F45" s="10">
        <v>3000</v>
      </c>
      <c r="G45" s="10">
        <f t="shared" ref="G45:G51" si="14">H45*(1+I45)</f>
        <v>4700</v>
      </c>
      <c r="H45" s="10">
        <v>4700</v>
      </c>
      <c r="I45" s="42">
        <v>0</v>
      </c>
      <c r="J45" s="10">
        <v>500</v>
      </c>
      <c r="K45" s="10">
        <f t="shared" ref="K45:K51" si="15">(F45+G45+J45)*0.06</f>
        <v>492</v>
      </c>
      <c r="L45" s="10">
        <f t="shared" ref="L45:L51" si="16">(F45+G45+J45+K45)*0.09</f>
        <v>782.28</v>
      </c>
      <c r="M45" s="10">
        <f t="shared" ref="M45:M51" si="17">F45+G45+J45+K45+L45</f>
        <v>9474.28</v>
      </c>
      <c r="N45" s="29">
        <f t="shared" ref="N45:N51" si="18">M45*E45</f>
        <v>10375.5601085192</v>
      </c>
      <c r="O45" s="29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ht="39" customHeight="1" spans="1:31">
      <c r="A46" s="5">
        <v>2</v>
      </c>
      <c r="B46" s="30" t="s">
        <v>175</v>
      </c>
      <c r="C46" s="33" t="s">
        <v>176</v>
      </c>
      <c r="D46" s="6" t="s">
        <v>177</v>
      </c>
      <c r="E46" s="34">
        <v>2</v>
      </c>
      <c r="F46" s="10">
        <v>15</v>
      </c>
      <c r="G46" s="10">
        <f t="shared" si="14"/>
        <v>70</v>
      </c>
      <c r="H46" s="10">
        <v>70</v>
      </c>
      <c r="I46" s="42">
        <v>0</v>
      </c>
      <c r="J46" s="10">
        <v>20</v>
      </c>
      <c r="K46" s="10">
        <f t="shared" si="15"/>
        <v>6.3</v>
      </c>
      <c r="L46" s="10">
        <f t="shared" si="16"/>
        <v>10.017</v>
      </c>
      <c r="M46" s="10">
        <f t="shared" si="17"/>
        <v>121.317</v>
      </c>
      <c r="N46" s="29">
        <f t="shared" si="18"/>
        <v>242.634</v>
      </c>
      <c r="O46" s="29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ht="55.5" customHeight="1" spans="1:31">
      <c r="A47" s="5">
        <v>3</v>
      </c>
      <c r="B47" s="30" t="s">
        <v>175</v>
      </c>
      <c r="C47" s="31" t="s">
        <v>178</v>
      </c>
      <c r="D47" s="30" t="s">
        <v>177</v>
      </c>
      <c r="E47" s="32">
        <v>51</v>
      </c>
      <c r="F47" s="10">
        <v>15</v>
      </c>
      <c r="G47" s="10">
        <f t="shared" si="14"/>
        <v>20</v>
      </c>
      <c r="H47" s="10">
        <v>20</v>
      </c>
      <c r="I47" s="42">
        <v>0</v>
      </c>
      <c r="J47" s="10">
        <v>5</v>
      </c>
      <c r="K47" s="10">
        <f t="shared" si="15"/>
        <v>2.4</v>
      </c>
      <c r="L47" s="10">
        <f t="shared" si="16"/>
        <v>3.816</v>
      </c>
      <c r="M47" s="10">
        <f t="shared" si="17"/>
        <v>46.216</v>
      </c>
      <c r="N47" s="29">
        <f t="shared" si="18"/>
        <v>2357.016</v>
      </c>
      <c r="O47" s="29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ht="88.5" customHeight="1" spans="1:31">
      <c r="A48" s="5">
        <v>5</v>
      </c>
      <c r="B48" s="30" t="s">
        <v>179</v>
      </c>
      <c r="C48" s="31" t="s">
        <v>180</v>
      </c>
      <c r="D48" s="30" t="s">
        <v>58</v>
      </c>
      <c r="E48" s="32">
        <f>3.58*4.13*2</f>
        <v>29.5708</v>
      </c>
      <c r="F48" s="10">
        <v>130</v>
      </c>
      <c r="G48" s="10">
        <f t="shared" si="14"/>
        <v>303.756</v>
      </c>
      <c r="H48" s="10">
        <v>297.8</v>
      </c>
      <c r="I48" s="42">
        <v>0.02</v>
      </c>
      <c r="J48" s="10">
        <v>30</v>
      </c>
      <c r="K48" s="10">
        <f t="shared" si="15"/>
        <v>27.82536</v>
      </c>
      <c r="L48" s="10">
        <f t="shared" si="16"/>
        <v>44.2423224</v>
      </c>
      <c r="M48" s="10">
        <f t="shared" si="17"/>
        <v>535.8236824</v>
      </c>
      <c r="N48" s="29">
        <f t="shared" si="18"/>
        <v>15844.7349475139</v>
      </c>
      <c r="O48" s="29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ht="55.5" customHeight="1" spans="1:31">
      <c r="A49" s="5">
        <v>6</v>
      </c>
      <c r="B49" s="35" t="s">
        <v>181</v>
      </c>
      <c r="C49" s="36" t="s">
        <v>182</v>
      </c>
      <c r="D49" s="30" t="s">
        <v>58</v>
      </c>
      <c r="E49" s="32">
        <f>1.729*(1.5+1.7+1.55)-2+3.45*1.31+4.626*3.939+1.442*1.838+(0.25+0.15+0.04+0.04+0.17+0.04+0.04)*3.04+(0.04*3+0.17+0.15+0.05)*3.04</f>
        <v>35.31326</v>
      </c>
      <c r="F49" s="10">
        <v>130</v>
      </c>
      <c r="G49" s="10">
        <f t="shared" si="14"/>
        <v>265.2</v>
      </c>
      <c r="H49" s="10">
        <v>260</v>
      </c>
      <c r="I49" s="42">
        <v>0.02</v>
      </c>
      <c r="J49" s="10">
        <v>30</v>
      </c>
      <c r="K49" s="10">
        <f t="shared" si="15"/>
        <v>25.512</v>
      </c>
      <c r="L49" s="10">
        <f t="shared" si="16"/>
        <v>40.56408</v>
      </c>
      <c r="M49" s="10">
        <f t="shared" si="17"/>
        <v>491.27608</v>
      </c>
      <c r="N49" s="29">
        <f t="shared" si="18"/>
        <v>17348.5599448208</v>
      </c>
      <c r="O49" s="29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ht="39" customHeight="1" spans="1:31">
      <c r="A50" s="5">
        <v>7</v>
      </c>
      <c r="B50" s="30" t="s">
        <v>183</v>
      </c>
      <c r="C50" s="31" t="s">
        <v>184</v>
      </c>
      <c r="D50" s="30" t="s">
        <v>112</v>
      </c>
      <c r="E50" s="32">
        <v>4</v>
      </c>
      <c r="F50" s="10">
        <v>130</v>
      </c>
      <c r="G50" s="10">
        <f t="shared" si="14"/>
        <v>154.5</v>
      </c>
      <c r="H50" s="10">
        <v>150</v>
      </c>
      <c r="I50" s="42">
        <v>0.03</v>
      </c>
      <c r="J50" s="10">
        <v>5</v>
      </c>
      <c r="K50" s="10">
        <f t="shared" si="15"/>
        <v>17.37</v>
      </c>
      <c r="L50" s="10">
        <f t="shared" si="16"/>
        <v>27.6183</v>
      </c>
      <c r="M50" s="10">
        <f t="shared" si="17"/>
        <v>334.4883</v>
      </c>
      <c r="N50" s="29">
        <f t="shared" si="18"/>
        <v>1337.9532</v>
      </c>
      <c r="O50" s="29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ht="39" customHeight="1" spans="1:31">
      <c r="A51" s="5">
        <v>8</v>
      </c>
      <c r="B51" s="37" t="s">
        <v>185</v>
      </c>
      <c r="C51" s="38" t="s">
        <v>186</v>
      </c>
      <c r="D51" s="30" t="s">
        <v>58</v>
      </c>
      <c r="E51" s="32">
        <f>3.8*0.2+0.181*2</f>
        <v>1.122</v>
      </c>
      <c r="F51" s="10">
        <v>130</v>
      </c>
      <c r="G51" s="10">
        <f t="shared" si="14"/>
        <v>309</v>
      </c>
      <c r="H51" s="10">
        <v>300</v>
      </c>
      <c r="I51" s="42">
        <v>0.03</v>
      </c>
      <c r="J51" s="10">
        <v>50</v>
      </c>
      <c r="K51" s="10">
        <f t="shared" si="15"/>
        <v>29.34</v>
      </c>
      <c r="L51" s="10">
        <f t="shared" si="16"/>
        <v>46.6506</v>
      </c>
      <c r="M51" s="10">
        <f t="shared" si="17"/>
        <v>564.9906</v>
      </c>
      <c r="N51" s="29">
        <f t="shared" si="18"/>
        <v>633.9194532</v>
      </c>
      <c r="O51" s="29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ht="22.5" customHeight="1" spans="1:31">
      <c r="A52" s="5">
        <v>9</v>
      </c>
      <c r="B52" s="30" t="s">
        <v>187</v>
      </c>
      <c r="C52" s="31" t="s">
        <v>188</v>
      </c>
      <c r="D52" s="30" t="s">
        <v>136</v>
      </c>
      <c r="E52" s="32">
        <v>0</v>
      </c>
      <c r="F52" s="10"/>
      <c r="G52" s="10"/>
      <c r="H52" s="10"/>
      <c r="I52" s="42"/>
      <c r="J52" s="10"/>
      <c r="K52" s="10"/>
      <c r="L52" s="10"/>
      <c r="M52" s="10"/>
      <c r="N52" s="29"/>
      <c r="O52" s="29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ht="22.5" customHeight="1" spans="1:31">
      <c r="A53" s="5">
        <v>10</v>
      </c>
      <c r="B53" s="30" t="s">
        <v>189</v>
      </c>
      <c r="C53" s="31" t="s">
        <v>190</v>
      </c>
      <c r="D53" s="30" t="s">
        <v>136</v>
      </c>
      <c r="E53" s="32">
        <v>1</v>
      </c>
      <c r="F53" s="10">
        <v>300</v>
      </c>
      <c r="G53" s="10">
        <f t="shared" ref="G53:G57" si="19">H53*(1+I53)</f>
        <v>2000</v>
      </c>
      <c r="H53" s="10">
        <v>2000</v>
      </c>
      <c r="I53" s="42">
        <v>0</v>
      </c>
      <c r="J53" s="10">
        <v>50</v>
      </c>
      <c r="K53" s="10">
        <f t="shared" ref="K53:K57" si="20">(F53+G53+J53)*0.06</f>
        <v>141</v>
      </c>
      <c r="L53" s="10">
        <f t="shared" ref="L53:L57" si="21">(F53+G53+J53+K53)*0.09</f>
        <v>224.19</v>
      </c>
      <c r="M53" s="10">
        <f t="shared" ref="M53:M57" si="22">F53+G53+J53+K53+L53</f>
        <v>2715.19</v>
      </c>
      <c r="N53" s="29">
        <f t="shared" ref="N53:N57" si="23">M53*E53</f>
        <v>2715.19</v>
      </c>
      <c r="O53" s="29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ht="22.5" customHeight="1" spans="1:31">
      <c r="A54" s="5">
        <v>11</v>
      </c>
      <c r="B54" s="8" t="s">
        <v>130</v>
      </c>
      <c r="C54" s="8"/>
      <c r="D54" s="8" t="s">
        <v>131</v>
      </c>
      <c r="E54" s="9"/>
      <c r="F54" s="29"/>
      <c r="G54" s="29"/>
      <c r="H54" s="29"/>
      <c r="I54" s="29"/>
      <c r="J54" s="29"/>
      <c r="K54" s="29"/>
      <c r="L54" s="29"/>
      <c r="M54" s="29"/>
      <c r="N54" s="43">
        <f>SUM(N45:N53)</f>
        <v>50855.5676540539</v>
      </c>
      <c r="O54" s="29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ht="22.5" customHeight="1" spans="1:31">
      <c r="A55" s="8" t="s">
        <v>191</v>
      </c>
      <c r="B55" s="39" t="s">
        <v>192</v>
      </c>
      <c r="C55" s="40"/>
      <c r="D55" s="8"/>
      <c r="E55" s="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ht="105" customHeight="1" spans="1:31">
      <c r="A56" s="8">
        <v>1</v>
      </c>
      <c r="B56" s="8" t="s">
        <v>97</v>
      </c>
      <c r="C56" s="11" t="s">
        <v>98</v>
      </c>
      <c r="D56" s="8" t="s">
        <v>58</v>
      </c>
      <c r="E56" s="9">
        <v>271.086</v>
      </c>
      <c r="F56" s="10">
        <v>55</v>
      </c>
      <c r="G56" s="10">
        <f t="shared" si="19"/>
        <v>63.24</v>
      </c>
      <c r="H56" s="10">
        <v>62</v>
      </c>
      <c r="I56" s="42">
        <v>0.02</v>
      </c>
      <c r="J56" s="10">
        <v>25</v>
      </c>
      <c r="K56" s="10">
        <f t="shared" si="20"/>
        <v>8.5944</v>
      </c>
      <c r="L56" s="10">
        <f t="shared" si="21"/>
        <v>13.665096</v>
      </c>
      <c r="M56" s="10">
        <f t="shared" si="22"/>
        <v>165.499496</v>
      </c>
      <c r="N56" s="29">
        <f t="shared" si="23"/>
        <v>44864.596372656</v>
      </c>
      <c r="O56" s="10" t="s">
        <v>193</v>
      </c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ht="105" customHeight="1" spans="1:31">
      <c r="A57" s="8">
        <v>2</v>
      </c>
      <c r="B57" s="8" t="s">
        <v>100</v>
      </c>
      <c r="C57" s="11" t="s">
        <v>101</v>
      </c>
      <c r="D57" s="8" t="s">
        <v>58</v>
      </c>
      <c r="E57" s="9"/>
      <c r="F57" s="10">
        <v>70</v>
      </c>
      <c r="G57" s="10">
        <f t="shared" si="19"/>
        <v>63.24</v>
      </c>
      <c r="H57" s="10">
        <v>62</v>
      </c>
      <c r="I57" s="42">
        <v>0.02</v>
      </c>
      <c r="J57" s="10">
        <v>25</v>
      </c>
      <c r="K57" s="10">
        <f t="shared" si="20"/>
        <v>9.4944</v>
      </c>
      <c r="L57" s="10">
        <f t="shared" si="21"/>
        <v>15.096096</v>
      </c>
      <c r="M57" s="10">
        <f t="shared" si="22"/>
        <v>182.830496</v>
      </c>
      <c r="N57" s="29">
        <f t="shared" si="23"/>
        <v>0</v>
      </c>
      <c r="O57" s="10" t="s">
        <v>193</v>
      </c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ht="22.5" customHeight="1" spans="1:31">
      <c r="A58" s="8" t="s">
        <v>52</v>
      </c>
      <c r="B58" s="39" t="s">
        <v>63</v>
      </c>
      <c r="C58" s="40"/>
      <c r="D58" s="8"/>
      <c r="E58" s="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ht="105" customHeight="1" spans="1:31">
      <c r="A59" s="8">
        <v>1</v>
      </c>
      <c r="B59" s="8" t="s">
        <v>194</v>
      </c>
      <c r="C59" s="11" t="s">
        <v>98</v>
      </c>
      <c r="D59" s="8" t="s">
        <v>58</v>
      </c>
      <c r="E59" s="9">
        <v>89.2086</v>
      </c>
      <c r="F59" s="10">
        <v>55</v>
      </c>
      <c r="G59" s="10">
        <f t="shared" ref="G59:G61" si="24">H59*(1+I59)</f>
        <v>66.3</v>
      </c>
      <c r="H59" s="10">
        <v>65</v>
      </c>
      <c r="I59" s="42">
        <v>0.02</v>
      </c>
      <c r="J59" s="10">
        <v>25</v>
      </c>
      <c r="K59" s="10">
        <f t="shared" ref="K59:K61" si="25">(F59+G59+J59)*0.06</f>
        <v>8.778</v>
      </c>
      <c r="L59" s="10">
        <f t="shared" ref="L59:L61" si="26">(F59+G59+J59+K59)*0.09</f>
        <v>13.95702</v>
      </c>
      <c r="M59" s="10">
        <f t="shared" ref="M59:M61" si="27">F59+G59+J59+K59+L59</f>
        <v>169.03502</v>
      </c>
      <c r="N59" s="29">
        <f t="shared" ref="N59:N61" si="28">M59*E59</f>
        <v>15079.377485172</v>
      </c>
      <c r="O59" s="10" t="s">
        <v>193</v>
      </c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ht="121.5" customHeight="1" spans="1:31">
      <c r="A60" s="8">
        <v>2</v>
      </c>
      <c r="B60" s="8" t="s">
        <v>195</v>
      </c>
      <c r="C60" s="11" t="s">
        <v>196</v>
      </c>
      <c r="D60" s="8" t="s">
        <v>58</v>
      </c>
      <c r="E60" s="9">
        <v>136.9485</v>
      </c>
      <c r="F60" s="10">
        <v>65</v>
      </c>
      <c r="G60" s="10">
        <f t="shared" si="24"/>
        <v>86.7</v>
      </c>
      <c r="H60" s="10">
        <v>85</v>
      </c>
      <c r="I60" s="42">
        <v>0.02</v>
      </c>
      <c r="J60" s="10">
        <v>25</v>
      </c>
      <c r="K60" s="10">
        <f t="shared" si="25"/>
        <v>10.602</v>
      </c>
      <c r="L60" s="10">
        <f t="shared" si="26"/>
        <v>16.85718</v>
      </c>
      <c r="M60" s="10">
        <f t="shared" si="27"/>
        <v>204.15918</v>
      </c>
      <c r="N60" s="29">
        <f t="shared" si="28"/>
        <v>27959.29346223</v>
      </c>
      <c r="O60" s="10" t="s">
        <v>193</v>
      </c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ht="105" customHeight="1" spans="1:31">
      <c r="A61" s="8">
        <v>3</v>
      </c>
      <c r="B61" s="8" t="s">
        <v>197</v>
      </c>
      <c r="C61" s="11" t="s">
        <v>98</v>
      </c>
      <c r="D61" s="8" t="s">
        <v>58</v>
      </c>
      <c r="E61" s="9"/>
      <c r="F61" s="10">
        <v>80</v>
      </c>
      <c r="G61" s="10">
        <f t="shared" si="24"/>
        <v>90.9</v>
      </c>
      <c r="H61" s="10">
        <v>90</v>
      </c>
      <c r="I61" s="42">
        <v>0.01</v>
      </c>
      <c r="J61" s="10">
        <v>25</v>
      </c>
      <c r="K61" s="10">
        <f t="shared" si="25"/>
        <v>11.754</v>
      </c>
      <c r="L61" s="10">
        <f t="shared" si="26"/>
        <v>18.68886</v>
      </c>
      <c r="M61" s="10">
        <f t="shared" si="27"/>
        <v>226.34286</v>
      </c>
      <c r="N61" s="29">
        <f t="shared" si="28"/>
        <v>0</v>
      </c>
      <c r="O61" s="10" t="s">
        <v>193</v>
      </c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ht="22.5" customHeight="1" spans="1:31">
      <c r="A62" s="8" t="s">
        <v>198</v>
      </c>
      <c r="B62" s="39" t="s">
        <v>68</v>
      </c>
      <c r="C62" s="40"/>
      <c r="D62" s="8"/>
      <c r="E62" s="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ht="88.5" customHeight="1" spans="1:31">
      <c r="A63" s="8">
        <v>1</v>
      </c>
      <c r="B63" s="12" t="s">
        <v>102</v>
      </c>
      <c r="C63" s="13" t="s">
        <v>199</v>
      </c>
      <c r="D63" s="8" t="s">
        <v>58</v>
      </c>
      <c r="E63" s="9">
        <v>439.82985</v>
      </c>
      <c r="F63" s="10">
        <v>55</v>
      </c>
      <c r="G63" s="10">
        <f t="shared" ref="G63:G66" si="29">H63*(1+I63)</f>
        <v>66.3</v>
      </c>
      <c r="H63" s="10">
        <v>65</v>
      </c>
      <c r="I63" s="42">
        <v>0.02</v>
      </c>
      <c r="J63" s="10">
        <v>25</v>
      </c>
      <c r="K63" s="10">
        <f t="shared" ref="K63:K66" si="30">(F63+G63+J63)*0.06</f>
        <v>8.778</v>
      </c>
      <c r="L63" s="10">
        <f t="shared" ref="L63:L66" si="31">(F63+G63+J63+K63)*0.09</f>
        <v>13.95702</v>
      </c>
      <c r="M63" s="10">
        <f t="shared" ref="M63:M66" si="32">F63+G63+J63+K63+L63</f>
        <v>169.03502</v>
      </c>
      <c r="N63" s="29">
        <f t="shared" ref="N63:N66" si="33">M63*E63</f>
        <v>74346.647491347</v>
      </c>
      <c r="O63" s="10" t="s">
        <v>193</v>
      </c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ht="72" customHeight="1" spans="1:31">
      <c r="A64" s="8">
        <v>2</v>
      </c>
      <c r="B64" s="8" t="s">
        <v>107</v>
      </c>
      <c r="C64" s="11" t="s">
        <v>108</v>
      </c>
      <c r="D64" s="8" t="s">
        <v>109</v>
      </c>
      <c r="E64" s="9">
        <v>24</v>
      </c>
      <c r="F64" s="10">
        <v>155</v>
      </c>
      <c r="G64" s="10">
        <f t="shared" si="29"/>
        <v>459</v>
      </c>
      <c r="H64" s="10">
        <v>450</v>
      </c>
      <c r="I64" s="42">
        <v>0.02</v>
      </c>
      <c r="J64" s="10">
        <v>15</v>
      </c>
      <c r="K64" s="10">
        <f t="shared" si="30"/>
        <v>37.74</v>
      </c>
      <c r="L64" s="10">
        <f t="shared" si="31"/>
        <v>60.0066</v>
      </c>
      <c r="M64" s="10">
        <f t="shared" si="32"/>
        <v>726.7466</v>
      </c>
      <c r="N64" s="29">
        <f t="shared" si="33"/>
        <v>17441.9184</v>
      </c>
      <c r="O64" s="29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ht="39" customHeight="1" spans="1:31">
      <c r="A65" s="8">
        <v>3</v>
      </c>
      <c r="B65" s="8" t="s">
        <v>200</v>
      </c>
      <c r="C65" s="11" t="s">
        <v>201</v>
      </c>
      <c r="D65" s="8" t="s">
        <v>112</v>
      </c>
      <c r="E65" s="9">
        <v>373.5</v>
      </c>
      <c r="F65" s="10">
        <v>6</v>
      </c>
      <c r="G65" s="10">
        <f t="shared" si="29"/>
        <v>6</v>
      </c>
      <c r="H65" s="10">
        <v>6</v>
      </c>
      <c r="I65" s="42">
        <v>0</v>
      </c>
      <c r="J65" s="10">
        <v>2</v>
      </c>
      <c r="K65" s="10">
        <f t="shared" si="30"/>
        <v>0.84</v>
      </c>
      <c r="L65" s="10">
        <f t="shared" si="31"/>
        <v>1.3356</v>
      </c>
      <c r="M65" s="10">
        <f t="shared" si="32"/>
        <v>16.1756</v>
      </c>
      <c r="N65" s="29">
        <f t="shared" si="33"/>
        <v>6041.5866</v>
      </c>
      <c r="O65" s="29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ht="39" customHeight="1" spans="1:31">
      <c r="A66" s="8">
        <v>4</v>
      </c>
      <c r="B66" s="8" t="s">
        <v>202</v>
      </c>
      <c r="C66" s="11" t="s">
        <v>203</v>
      </c>
      <c r="D66" s="8" t="s">
        <v>112</v>
      </c>
      <c r="E66" s="9"/>
      <c r="F66" s="10">
        <v>5</v>
      </c>
      <c r="G66" s="10">
        <f t="shared" si="29"/>
        <v>10.1</v>
      </c>
      <c r="H66" s="10">
        <v>10</v>
      </c>
      <c r="I66" s="42">
        <v>0.01</v>
      </c>
      <c r="J66" s="10">
        <v>0.1</v>
      </c>
      <c r="K66" s="10">
        <f t="shared" si="30"/>
        <v>0.912</v>
      </c>
      <c r="L66" s="10">
        <f t="shared" si="31"/>
        <v>1.45008</v>
      </c>
      <c r="M66" s="10">
        <f t="shared" si="32"/>
        <v>17.56208</v>
      </c>
      <c r="N66" s="29">
        <f t="shared" si="33"/>
        <v>0</v>
      </c>
      <c r="O66" s="29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ht="22.5" customHeight="1" spans="1:31">
      <c r="A67" s="8" t="s">
        <v>204</v>
      </c>
      <c r="B67" s="8" t="s">
        <v>130</v>
      </c>
      <c r="C67" s="8"/>
      <c r="D67" s="8" t="s">
        <v>131</v>
      </c>
      <c r="E67" s="9"/>
      <c r="F67" s="29"/>
      <c r="G67" s="29"/>
      <c r="H67" s="29"/>
      <c r="I67" s="29"/>
      <c r="J67" s="29"/>
      <c r="K67" s="29"/>
      <c r="L67" s="29"/>
      <c r="M67" s="29"/>
      <c r="N67" s="48">
        <f>SUM(N56:N66)</f>
        <v>185733.419811405</v>
      </c>
      <c r="O67" s="29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ht="22.5" customHeight="1" spans="1:31">
      <c r="A68" s="8" t="s">
        <v>191</v>
      </c>
      <c r="B68" s="39" t="s">
        <v>205</v>
      </c>
      <c r="C68" s="40"/>
      <c r="D68" s="8"/>
      <c r="E68" s="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ht="105" customHeight="1" spans="1:31">
      <c r="A69" s="8">
        <v>1</v>
      </c>
      <c r="B69" s="8" t="s">
        <v>97</v>
      </c>
      <c r="C69" s="11" t="s">
        <v>98</v>
      </c>
      <c r="D69" s="8" t="s">
        <v>58</v>
      </c>
      <c r="E69" s="9">
        <v>237.328</v>
      </c>
      <c r="F69" s="10">
        <v>55</v>
      </c>
      <c r="G69" s="10">
        <f t="shared" ref="G69:G74" si="34">H69*(1+I69)</f>
        <v>63.24</v>
      </c>
      <c r="H69" s="10">
        <v>62</v>
      </c>
      <c r="I69" s="42">
        <v>0.02</v>
      </c>
      <c r="J69" s="10">
        <v>25</v>
      </c>
      <c r="K69" s="10">
        <f t="shared" ref="K69:K74" si="35">(F69+G69+J69)*0.06</f>
        <v>8.5944</v>
      </c>
      <c r="L69" s="10">
        <f t="shared" ref="L69:L74" si="36">(F69+G69+J69+K69)*0.09</f>
        <v>13.665096</v>
      </c>
      <c r="M69" s="10">
        <f t="shared" ref="M69:M74" si="37">F69+G69+J69+K69+L69</f>
        <v>165.499496</v>
      </c>
      <c r="N69" s="29">
        <f t="shared" ref="N69:N74" si="38">M69*E69</f>
        <v>39277.664386688</v>
      </c>
      <c r="O69" s="10" t="s">
        <v>193</v>
      </c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ht="105" customHeight="1" spans="1:31">
      <c r="A70" s="8">
        <v>2</v>
      </c>
      <c r="B70" s="8" t="s">
        <v>100</v>
      </c>
      <c r="C70" s="11" t="s">
        <v>101</v>
      </c>
      <c r="D70" s="8" t="s">
        <v>58</v>
      </c>
      <c r="E70" s="9"/>
      <c r="F70" s="10">
        <v>70</v>
      </c>
      <c r="G70" s="10">
        <f t="shared" si="34"/>
        <v>63.24</v>
      </c>
      <c r="H70" s="10">
        <v>62</v>
      </c>
      <c r="I70" s="42">
        <v>0.02</v>
      </c>
      <c r="J70" s="10">
        <v>25</v>
      </c>
      <c r="K70" s="10">
        <f t="shared" si="35"/>
        <v>9.4944</v>
      </c>
      <c r="L70" s="10">
        <f t="shared" si="36"/>
        <v>15.096096</v>
      </c>
      <c r="M70" s="10">
        <f t="shared" si="37"/>
        <v>182.830496</v>
      </c>
      <c r="N70" s="29">
        <f t="shared" si="38"/>
        <v>0</v>
      </c>
      <c r="O70" s="10" t="s">
        <v>193</v>
      </c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ht="22.5" customHeight="1" spans="1:31">
      <c r="A71" s="8" t="s">
        <v>52</v>
      </c>
      <c r="B71" s="39" t="s">
        <v>63</v>
      </c>
      <c r="C71" s="40"/>
      <c r="D71" s="8"/>
      <c r="E71" s="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ht="105" customHeight="1" spans="1:31">
      <c r="A72" s="8">
        <v>1</v>
      </c>
      <c r="B72" s="8" t="s">
        <v>194</v>
      </c>
      <c r="C72" s="11" t="s">
        <v>98</v>
      </c>
      <c r="D72" s="8" t="s">
        <v>58</v>
      </c>
      <c r="E72" s="9">
        <v>50</v>
      </c>
      <c r="F72" s="10">
        <v>55</v>
      </c>
      <c r="G72" s="10">
        <f t="shared" si="34"/>
        <v>66.3</v>
      </c>
      <c r="H72" s="10">
        <v>65</v>
      </c>
      <c r="I72" s="42">
        <v>0.02</v>
      </c>
      <c r="J72" s="10">
        <v>25</v>
      </c>
      <c r="K72" s="10">
        <f t="shared" si="35"/>
        <v>8.778</v>
      </c>
      <c r="L72" s="10">
        <f t="shared" si="36"/>
        <v>13.95702</v>
      </c>
      <c r="M72" s="10">
        <f t="shared" si="37"/>
        <v>169.03502</v>
      </c>
      <c r="N72" s="29">
        <f t="shared" si="38"/>
        <v>8451.751</v>
      </c>
      <c r="O72" s="10" t="s">
        <v>193</v>
      </c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ht="121.5" customHeight="1" spans="1:31">
      <c r="A73" s="8">
        <v>2</v>
      </c>
      <c r="B73" s="8" t="s">
        <v>195</v>
      </c>
      <c r="C73" s="11" t="s">
        <v>196</v>
      </c>
      <c r="D73" s="8" t="s">
        <v>58</v>
      </c>
      <c r="E73" s="9">
        <v>79.872</v>
      </c>
      <c r="F73" s="10">
        <v>65</v>
      </c>
      <c r="G73" s="10">
        <f t="shared" si="34"/>
        <v>86.7</v>
      </c>
      <c r="H73" s="10">
        <v>85</v>
      </c>
      <c r="I73" s="42">
        <v>0.02</v>
      </c>
      <c r="J73" s="10">
        <v>25</v>
      </c>
      <c r="K73" s="10">
        <f t="shared" si="35"/>
        <v>10.602</v>
      </c>
      <c r="L73" s="10">
        <f t="shared" si="36"/>
        <v>16.85718</v>
      </c>
      <c r="M73" s="10">
        <f t="shared" si="37"/>
        <v>204.15918</v>
      </c>
      <c r="N73" s="29">
        <f t="shared" si="38"/>
        <v>16306.60202496</v>
      </c>
      <c r="O73" s="10" t="s">
        <v>193</v>
      </c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ht="105" customHeight="1" spans="1:31">
      <c r="A74" s="8">
        <v>3</v>
      </c>
      <c r="B74" s="8" t="s">
        <v>197</v>
      </c>
      <c r="C74" s="11" t="s">
        <v>98</v>
      </c>
      <c r="D74" s="8" t="s">
        <v>58</v>
      </c>
      <c r="E74" s="9"/>
      <c r="F74" s="10">
        <v>80</v>
      </c>
      <c r="G74" s="10">
        <f t="shared" si="34"/>
        <v>90.9</v>
      </c>
      <c r="H74" s="10">
        <v>90</v>
      </c>
      <c r="I74" s="42">
        <v>0.01</v>
      </c>
      <c r="J74" s="10">
        <v>25</v>
      </c>
      <c r="K74" s="10">
        <f t="shared" si="35"/>
        <v>11.754</v>
      </c>
      <c r="L74" s="10">
        <f t="shared" si="36"/>
        <v>18.68886</v>
      </c>
      <c r="M74" s="10">
        <f t="shared" si="37"/>
        <v>226.34286</v>
      </c>
      <c r="N74" s="29">
        <f t="shared" si="38"/>
        <v>0</v>
      </c>
      <c r="O74" s="10" t="s">
        <v>193</v>
      </c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ht="22.5" customHeight="1" spans="1:31">
      <c r="A75" s="8" t="s">
        <v>198</v>
      </c>
      <c r="B75" s="39" t="s">
        <v>68</v>
      </c>
      <c r="C75" s="40"/>
      <c r="D75" s="8"/>
      <c r="E75" s="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ht="88.5" customHeight="1" spans="1:31">
      <c r="A76" s="8">
        <v>1</v>
      </c>
      <c r="B76" s="12" t="s">
        <v>102</v>
      </c>
      <c r="C76" s="13" t="s">
        <v>199</v>
      </c>
      <c r="D76" s="8" t="s">
        <v>58</v>
      </c>
      <c r="E76" s="9">
        <v>623.616</v>
      </c>
      <c r="F76" s="10">
        <v>55</v>
      </c>
      <c r="G76" s="10">
        <f t="shared" ref="G76:G79" si="39">H76*(1+I76)</f>
        <v>66.3</v>
      </c>
      <c r="H76" s="10">
        <v>65</v>
      </c>
      <c r="I76" s="42">
        <v>0.02</v>
      </c>
      <c r="J76" s="10">
        <v>25</v>
      </c>
      <c r="K76" s="10">
        <f t="shared" ref="K76:K79" si="40">(F76+G76+J76)*0.06</f>
        <v>8.778</v>
      </c>
      <c r="L76" s="10">
        <f t="shared" ref="L76:L79" si="41">(F76+G76+J76+K76)*0.09</f>
        <v>13.95702</v>
      </c>
      <c r="M76" s="10">
        <f t="shared" ref="M76:M79" si="42">F76+G76+J76+K76+L76</f>
        <v>169.03502</v>
      </c>
      <c r="N76" s="29">
        <f t="shared" ref="N76:N79" si="43">M76*E76</f>
        <v>105412.94303232</v>
      </c>
      <c r="O76" s="10" t="s">
        <v>193</v>
      </c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ht="72" customHeight="1" spans="1:31">
      <c r="A77" s="8">
        <v>2</v>
      </c>
      <c r="B77" s="8" t="s">
        <v>107</v>
      </c>
      <c r="C77" s="11" t="s">
        <v>108</v>
      </c>
      <c r="D77" s="8" t="s">
        <v>109</v>
      </c>
      <c r="E77" s="9">
        <v>32</v>
      </c>
      <c r="F77" s="10">
        <v>155</v>
      </c>
      <c r="G77" s="10">
        <f t="shared" si="39"/>
        <v>459</v>
      </c>
      <c r="H77" s="10">
        <v>450</v>
      </c>
      <c r="I77" s="42">
        <v>0.02</v>
      </c>
      <c r="J77" s="10">
        <v>15</v>
      </c>
      <c r="K77" s="10">
        <f t="shared" si="40"/>
        <v>37.74</v>
      </c>
      <c r="L77" s="10">
        <f t="shared" si="41"/>
        <v>60.0066</v>
      </c>
      <c r="M77" s="10">
        <f t="shared" si="42"/>
        <v>726.7466</v>
      </c>
      <c r="N77" s="29">
        <f t="shared" si="43"/>
        <v>23255.8912</v>
      </c>
      <c r="O77" s="29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ht="39" customHeight="1" spans="1:31">
      <c r="A78" s="8">
        <v>3</v>
      </c>
      <c r="B78" s="8" t="s">
        <v>200</v>
      </c>
      <c r="C78" s="11" t="s">
        <v>201</v>
      </c>
      <c r="D78" s="8" t="s">
        <v>112</v>
      </c>
      <c r="E78" s="9">
        <v>464</v>
      </c>
      <c r="F78" s="10">
        <v>6</v>
      </c>
      <c r="G78" s="10">
        <f t="shared" si="39"/>
        <v>6</v>
      </c>
      <c r="H78" s="10">
        <v>6</v>
      </c>
      <c r="I78" s="42">
        <v>0</v>
      </c>
      <c r="J78" s="10">
        <v>2</v>
      </c>
      <c r="K78" s="10">
        <f t="shared" si="40"/>
        <v>0.84</v>
      </c>
      <c r="L78" s="10">
        <f t="shared" si="41"/>
        <v>1.3356</v>
      </c>
      <c r="M78" s="10">
        <f t="shared" si="42"/>
        <v>16.1756</v>
      </c>
      <c r="N78" s="29">
        <f t="shared" si="43"/>
        <v>7505.4784</v>
      </c>
      <c r="O78" s="29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ht="39" customHeight="1" spans="1:31">
      <c r="A79" s="8">
        <v>4</v>
      </c>
      <c r="B79" s="8" t="s">
        <v>202</v>
      </c>
      <c r="C79" s="11" t="s">
        <v>203</v>
      </c>
      <c r="D79" s="8" t="s">
        <v>112</v>
      </c>
      <c r="E79" s="9"/>
      <c r="F79" s="10">
        <v>5</v>
      </c>
      <c r="G79" s="10">
        <f t="shared" si="39"/>
        <v>10.1</v>
      </c>
      <c r="H79" s="10">
        <v>10</v>
      </c>
      <c r="I79" s="42">
        <v>0.01</v>
      </c>
      <c r="J79" s="10">
        <v>0.1</v>
      </c>
      <c r="K79" s="10">
        <f t="shared" si="40"/>
        <v>0.912</v>
      </c>
      <c r="L79" s="10">
        <f t="shared" si="41"/>
        <v>1.45008</v>
      </c>
      <c r="M79" s="10">
        <f t="shared" si="42"/>
        <v>17.56208</v>
      </c>
      <c r="N79" s="29">
        <f t="shared" si="43"/>
        <v>0</v>
      </c>
      <c r="O79" s="29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ht="22.5" customHeight="1" spans="1:31">
      <c r="A80" s="8" t="s">
        <v>204</v>
      </c>
      <c r="B80" s="8" t="s">
        <v>130</v>
      </c>
      <c r="C80" s="8"/>
      <c r="D80" s="8" t="s">
        <v>131</v>
      </c>
      <c r="E80" s="9"/>
      <c r="F80" s="29"/>
      <c r="G80" s="29"/>
      <c r="H80" s="29"/>
      <c r="I80" s="29"/>
      <c r="J80" s="29"/>
      <c r="K80" s="29"/>
      <c r="L80" s="29"/>
      <c r="M80" s="29"/>
      <c r="N80" s="48">
        <f>SUM(N69:N79)</f>
        <v>200210.330043968</v>
      </c>
      <c r="O80" s="29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</sheetData>
  <mergeCells count="34">
    <mergeCell ref="A1:O1"/>
    <mergeCell ref="Q1:AE1"/>
    <mergeCell ref="F2:L2"/>
    <mergeCell ref="V2:AB2"/>
    <mergeCell ref="B23:C23"/>
    <mergeCell ref="B54:C54"/>
    <mergeCell ref="B55:C55"/>
    <mergeCell ref="B58:C58"/>
    <mergeCell ref="B62:C62"/>
    <mergeCell ref="B67:C67"/>
    <mergeCell ref="B68:C68"/>
    <mergeCell ref="B71:C71"/>
    <mergeCell ref="B75:C75"/>
    <mergeCell ref="B80:C80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  <mergeCell ref="Q2:Q4"/>
    <mergeCell ref="R2:R4"/>
    <mergeCell ref="S2:S4"/>
    <mergeCell ref="T2:T4"/>
    <mergeCell ref="U2:U4"/>
    <mergeCell ref="V3:V4"/>
    <mergeCell ref="Z3:Z4"/>
    <mergeCell ref="AC2:AC4"/>
    <mergeCell ref="AD2:AD4"/>
    <mergeCell ref="AE2:AE4"/>
  </mergeCells>
  <conditionalFormatting sqref="D25">
    <cfRule type="cellIs" dxfId="0" priority="10" operator="equal">
      <formula>0</formula>
    </cfRule>
  </conditionalFormatting>
  <conditionalFormatting sqref="D26">
    <cfRule type="cellIs" dxfId="0" priority="9" operator="equal">
      <formula>0</formula>
    </cfRule>
  </conditionalFormatting>
  <conditionalFormatting sqref="D27">
    <cfRule type="cellIs" dxfId="0" priority="8" operator="equal">
      <formula>0</formula>
    </cfRule>
  </conditionalFormatting>
  <conditionalFormatting sqref="D28">
    <cfRule type="cellIs" dxfId="0" priority="7" operator="equal">
      <formula>0</formula>
    </cfRule>
  </conditionalFormatting>
  <conditionalFormatting sqref="D29">
    <cfRule type="cellIs" dxfId="0" priority="5" operator="equal">
      <formula>0</formula>
    </cfRule>
  </conditionalFormatting>
  <conditionalFormatting sqref="D30">
    <cfRule type="cellIs" dxfId="0" priority="4" operator="equal">
      <formula>0</formula>
    </cfRule>
  </conditionalFormatting>
  <conditionalFormatting sqref="D31">
    <cfRule type="cellIs" dxfId="0" priority="3" operator="equal">
      <formula>0</formula>
    </cfRule>
  </conditionalFormatting>
  <conditionalFormatting sqref="D32">
    <cfRule type="cellIs" dxfId="0" priority="6" operator="equal">
      <formula>0</formula>
    </cfRule>
  </conditionalFormatting>
  <conditionalFormatting sqref="D33">
    <cfRule type="cellIs" dxfId="0" priority="2" operator="equal">
      <formula>0</formula>
    </cfRule>
  </conditionalFormatting>
  <conditionalFormatting sqref="D34">
    <cfRule type="cellIs" dxfId="0" priority="1" operator="equal">
      <formula>0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进度款费用计算明细表（第2次）</vt:lpstr>
      <vt:lpstr>Sheet1</vt:lpstr>
      <vt:lpstr>产值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2020-10-01T09:11:00Z</dcterms:created>
  <cp:lastPrinted>2022-11-10T03:57:00Z</cp:lastPrinted>
  <dcterms:modified xsi:type="dcterms:W3CDTF">2023-04-04T00:19:10Z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