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509"/>
  </bookViews>
  <sheets>
    <sheet name="进度款费用计算明细表（第2次）" sheetId="9" r:id="rId1"/>
    <sheet name="产值" sheetId="11" r:id="rId2"/>
  </sheets>
  <calcPr calcId="144525"/>
</workbook>
</file>

<file path=xl/sharedStrings.xml><?xml version="1.0" encoding="utf-8"?>
<sst xmlns="http://schemas.openxmlformats.org/spreadsheetml/2006/main" count="259" uniqueCount="162">
  <si>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</si>
  <si>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</si>
  <si>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</si>
  <si>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</si>
  <si>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</si>
  <si>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</si>
  <si>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</si>
  <si>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</si>
  <si>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</si>
  <si>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</si>
  <si>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</si>
  <si>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</si>
  <si>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</si>
  <si>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</si>
  <si>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</si>
  <si>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</si>
  <si>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</si>
  <si>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</si>
  <si>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</si>
  <si>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</si>
  <si>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</si>
  <si>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</si>
  <si>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</si>
  <si>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</si>
  <si>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</si>
  <si>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</si>
  <si>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</si>
  <si>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</si>
  <si>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</si>
  <si>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</si>
  <si>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</si>
  <si>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9#大堂进度款</t>
  </si>
  <si>
    <t>8#公区区域进度款</t>
  </si>
  <si>
    <t>合计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</si>
  <si>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</si>
  <si>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</si>
  <si>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</si>
  <si>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</si>
  <si>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</si>
  <si>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</si>
  <si>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</si>
  <si>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</si>
  <si>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价格清单（一层大堂精装工程-装饰）</t>
  </si>
  <si>
    <t>工程项目名称</t>
  </si>
  <si>
    <t>工程内容</t>
  </si>
  <si>
    <t>单位</t>
  </si>
  <si>
    <t>工程量
g</t>
  </si>
  <si>
    <t>其中：综合单价构成（元）</t>
  </si>
  <si>
    <t>含税综合单价
f=(a+b+c+d+e)</t>
  </si>
  <si>
    <t>合价(元)=g*f</t>
  </si>
  <si>
    <t>备 注
（品牌/厂家）</t>
  </si>
  <si>
    <t>人工费
a</t>
  </si>
  <si>
    <t>主材费</t>
  </si>
  <si>
    <t>其中主材单价</t>
  </si>
  <si>
    <t>其中主材损耗率</t>
  </si>
  <si>
    <t>机械、辅材及其他c</t>
  </si>
  <si>
    <t>管理费及利润
d=(a+b+c)*费率</t>
  </si>
  <si>
    <t>税金
e=(a+b+c+d)*费率</t>
  </si>
  <si>
    <t>b=x*（1+y）</t>
  </si>
  <si>
    <t>x</t>
  </si>
  <si>
    <t xml:space="preserve"> y</t>
  </si>
  <si>
    <t>%</t>
  </si>
  <si>
    <t>9#楼精装大堂硬质装修部分</t>
  </si>
  <si>
    <t>一个单元工程量清单</t>
  </si>
  <si>
    <t>二</t>
  </si>
  <si>
    <t>2#、3#楼精装大堂硬质装修部分</t>
  </si>
  <si>
    <t>地面</t>
  </si>
  <si>
    <t xml:space="preserve">瓷砖地面 </t>
  </si>
  <si>
    <t>1、清理施工表面；
2、素水泥结合层一道                           3、40-60厚1:3干硬性水泥砂浆结合层；
3、砖充分浸水                               
4、ct1瓷砖铺贴、留1mm分封，同色填料剂处理;
6、满足施工规范及设计图纸要求；</t>
  </si>
  <si>
    <t>m2</t>
  </si>
  <si>
    <t>冠珠</t>
  </si>
  <si>
    <t>瓷砖过门石</t>
  </si>
  <si>
    <t>1、清理施工表面；
2、素水泥结合层一道                           3、40-60厚1:3干硬性水泥砂浆结合层；
3、砖充分浸水                               
4、ct2瓷砖铺贴、留1mm分封，同色填料剂处理;
6、满足施工规范及设计图纸要求；</t>
  </si>
  <si>
    <t>墙面</t>
  </si>
  <si>
    <t>瓷砖墙面</t>
  </si>
  <si>
    <t>1. 5~7厚面砖,白水泥擦缝或填缝剂填缝
2. 4~5厚1∶1水泥砂浆加水重20%建筑胶(或配套专用胶粘剂)粘结层
3. 素水泥浆一道(用专用胶粘剂粘贴时无此道工序)
4. 详见施工图及节点详图TD-03/01图；</t>
  </si>
  <si>
    <t>精誉陶/广东</t>
  </si>
  <si>
    <t>单元门</t>
  </si>
  <si>
    <t>1、规格：DYM2000*2900、WM1121
2、材质：1.0mm厚不锈钢框、8mm厚钢化玻璃
3、设计详细确定</t>
  </si>
  <si>
    <t>木饰面柜子</t>
  </si>
  <si>
    <t>1.木饰面
2.尺寸：1.07m长*1.6m高*0.25m宽
3.材质：18mm厚阻燃胶合板（实测17mm厚）
4、部位：楼梯间</t>
  </si>
  <si>
    <t>电梯门套</t>
  </si>
  <si>
    <t>1、规格：1040*2350
2、材质：0.7mm厚MT-01金属
3、基层：18mm阻燃胶合板（实测17mm厚）
4、含电梯门框与电梯封堵</t>
  </si>
  <si>
    <t>樘</t>
  </si>
  <si>
    <t>墙面金属收口</t>
  </si>
  <si>
    <t>1、MT01金属
2、部位：楼梯口
3、详见施工图及节点详图TD-03/03图；</t>
  </si>
  <si>
    <t>m</t>
  </si>
  <si>
    <t>天花</t>
  </si>
  <si>
    <t>大堂吊顶</t>
  </si>
  <si>
    <t xml:space="preserve">
1.9.5厚纸面石膏板,用自攻螺丝固定间距 ≤200
2. U型轻钢龙骨横撑CB50*20中距800-1200
3. U型轻钢龙骨CB50*20中距400
4. 8号热镀锌低碳钢丝吊杆,中距横向800-1200,吊杆上部与预留钢筋连接
5、具体做法18mm阻燃胶合板（实测17mm厚）+PT01无机涂料(9.5mm厚双层石膏板吊顶)
6、具体做法详见节点详图TD-01/01图；
7、部位：大堂</t>
  </si>
  <si>
    <t>M2</t>
  </si>
  <si>
    <t>龙骨、石膏板：泰山</t>
  </si>
  <si>
    <t>金属M01</t>
  </si>
  <si>
    <t>1、金属M01吊顶金属条收口 厚度0.7mm
2、具体做法详见节点详图TD-01/01图及施工图。
3、部位：大堂</t>
  </si>
  <si>
    <t>大堂吊顶涂料</t>
  </si>
  <si>
    <t>1.无机涂料两遍
2.封底漆一道(干燥后再做面涂
3.满刮2厚面层耐水腻子找平
4、部位：大堂</t>
  </si>
  <si>
    <t>立邦</t>
  </si>
  <si>
    <t>平吊天花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</si>
  <si>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</si>
  <si>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平吊天花部分涂料</t>
  </si>
  <si>
    <t xml:space="preserve">1.无机涂料两遍
2.封底漆一道(干燥后再做面涂
3.满刮2厚面层耐水腻子找平
</t>
  </si>
  <si>
    <t>白色无机涂料原顶</t>
  </si>
  <si>
    <t>基层清理；
2、满刮腻子两道、砂纸磨平；
3、白色无极涂料天棚；
4、满足施工规范及设计图纸要求；
5、楼梯板顶面</t>
  </si>
  <si>
    <t>1、基层清理；
2、满刮腻子两道、砂纸磨平；
3、白色无极涂料天棚；
4、满足施工规范及设计图纸要求；
5、侯梯厅</t>
  </si>
  <si>
    <t>04天花造型</t>
  </si>
  <si>
    <t>1、白色无机涂料
2、石膏板造型
3、18mm阻燃胶合板
4、具体做法详见节点详图TD-01/04图及施工图；
5、部位：侯梯厅</t>
  </si>
  <si>
    <t>小计</t>
  </si>
  <si>
    <t>元</t>
  </si>
  <si>
    <t>一</t>
  </si>
  <si>
    <t>9#楼一层大堂精装工程-安装部分</t>
  </si>
  <si>
    <t>项</t>
  </si>
  <si>
    <t>LED人体红外感应+光控</t>
  </si>
  <si>
    <t xml:space="preserve">1、名称:LED人体红外感应+光控  
2、规格:,2.5W/LED自带电池
正常时12W,火灾时5W 500lm
3、未详尽处满足图纸设计、相关规范要求                    </t>
  </si>
  <si>
    <t>个</t>
  </si>
  <si>
    <t>雷士</t>
  </si>
  <si>
    <t>射灯</t>
  </si>
  <si>
    <t xml:space="preserve">1、名称:射灯
2、规格:4000k
3、未详尽处满足图纸设计、相关规范要求                    </t>
  </si>
  <si>
    <t>筒灯</t>
  </si>
  <si>
    <t xml:space="preserve">1、名称:筒灯
2、规格:4000k
3、未详尽处满足图纸设计、相关规范要求                    </t>
  </si>
  <si>
    <t>装饰吊灯</t>
  </si>
  <si>
    <t xml:space="preserve">1、名称:装饰吊灯
2、规格:详见图纸要求
3、未详尽处满足图纸设计、相关规范要求                    </t>
  </si>
  <si>
    <t>感应筒灯</t>
  </si>
  <si>
    <t>壁灯</t>
  </si>
  <si>
    <t xml:space="preserve">1、名称:壁灯
2、安装位置:大堂外门头外侧
3、未详尽处满足图纸设计、相关规范要求                    </t>
  </si>
  <si>
    <t>灯带</t>
  </si>
  <si>
    <t xml:space="preserve">1、名称:灯带
2、规格:4000k
3、未详尽处满足图纸设计、相关规范要求                    </t>
  </si>
  <si>
    <t>欧普</t>
  </si>
  <si>
    <t>三联单控开关</t>
  </si>
  <si>
    <t xml:space="preserve">1、名称:三联单控开关
2、安装位置:底边距地1300mm
3、未详尽处满足图纸设计、相关规范要求                    </t>
  </si>
  <si>
    <t>施耐德</t>
  </si>
  <si>
    <t>单联单控开关</t>
  </si>
  <si>
    <t xml:space="preserve">1、名称:单联单控开关
2、安装位置:底边距地1300mm
3、未详尽处满足图纸设计、相关规范要求                    </t>
  </si>
  <si>
    <t>单项安全型二、三孔插座</t>
  </si>
  <si>
    <t xml:space="preserve">1、名称:单项安全型二、三孔插座
2、规格:(2100V,10A)
3、距地1.3m
4、未详尽处满足图纸设计、相关规范要求                    </t>
  </si>
  <si>
    <t>单网络插座</t>
  </si>
  <si>
    <t xml:space="preserve">1、名称:单网络插座
2、H=1300MM
3、未详尽处满足图纸设计、相关规范要求                    </t>
  </si>
  <si>
    <t>配管</t>
  </si>
  <si>
    <t xml:space="preserve">1、名称:配管
2、PC20
3、吊顶内敷设
4、未详尽处满足图纸设计、相关规范要求                    </t>
  </si>
  <si>
    <t xml:space="preserve">1、名称:配管
2、PC16
3、吊顶内敷设
4、未详尽处满足图纸设计、相关规范要求                    </t>
  </si>
  <si>
    <t xml:space="preserve">1、名称:配管
2、JDG20
3、吊顶内敷设
4、未详尽处满足图纸设计、相关规范要求                    </t>
  </si>
  <si>
    <t>网线</t>
  </si>
  <si>
    <t xml:space="preserve">1、名称:网线
2、管内敷设
3、未详尽处满足图纸设计、相关规范要求                    </t>
  </si>
  <si>
    <t>电线</t>
  </si>
  <si>
    <t xml:space="preserve">1、名称:电线WDZ-BYJ-4
2、管内敷设
3、未详尽处满足图纸设计、相关规范要求                    </t>
  </si>
  <si>
    <t>郑州三厂</t>
  </si>
  <si>
    <t xml:space="preserve">1、名称:电线WDZ-BYJ-2.5
2、管内敷设
3、未详尽处满足图纸设计、相关规范要求                    </t>
  </si>
  <si>
    <t>8#楼 侯梯厅、前室、走廊</t>
  </si>
  <si>
    <t>1、清理施工表面；
2、素水泥结合层一道
3、40-60厚1:3干硬性水泥砂浆结合层；
3、砖充分浸水                               
4、ct1瓷砖铺贴、留1mm分封，同色填料剂处理;
6、满足施工规范及设计图纸要求；</t>
  </si>
  <si>
    <t>精誉陶/世纪印象</t>
  </si>
  <si>
    <t>1、清理施工表面；
2、素水泥结合层一道
3、40-60厚1:3干硬性水泥砂浆结合层；
3、砖充分浸水                               
4、ct2瓷砖铺贴、留1mm分封，同色填料剂处理;
6、满足施工规范及设计图纸要求；</t>
  </si>
  <si>
    <t>楼梯间</t>
  </si>
  <si>
    <t xml:space="preserve">楼梯平台地面 </t>
  </si>
  <si>
    <t>楼梯踏步地面</t>
  </si>
  <si>
    <t>1、清理施工表面；
2、素水泥结合层一道
3、40-60厚1:3干硬性水泥砂浆结合层；
3、砖充分浸水                               
4、ct5瓷砖铺贴(开防滑槽)，同色填料剂处理;
5、计算规则：按水平投影面积计算
6、满足施工规范及设计图纸要求；</t>
  </si>
  <si>
    <t xml:space="preserve">楼梯踢脚线 </t>
  </si>
  <si>
    <t>三</t>
  </si>
  <si>
    <t>1. 5~7厚面砖,白水泥擦缝或填缝剂填缝CT04
2. 4~5厚1∶1水泥砂浆加水重20%%%建筑胶(或配套专用胶粘剂)粘结层
3. 素水泥浆一道(用专用胶粘剂粘贴时无此道工序)
4. 详见施工图及节点详图TD-03/01图；</t>
  </si>
  <si>
    <t>石膏线</t>
  </si>
  <si>
    <t>1、成品石膏线
2、部位：侯梯厅</t>
  </si>
  <si>
    <t xml:space="preserve">金属线条 </t>
  </si>
  <si>
    <t>1、成品金属线条造型
2、部位：墙砖收口</t>
  </si>
  <si>
    <t>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</si>
</sst>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3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Microsoft YaHei"/>
      <charset val="134"/>
    </font>
    <font>
      <sz val="10"/>
      <color rgb="FFFF0000"/>
      <name val="Microsoft YaHei"/>
      <charset val="134"/>
    </font>
    <font>
      <sz val="11"/>
      <color rgb="FFFF0000"/>
      <name val="Microsoft YaHei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0" fillId="12" borderId="5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4" fillId="16" borderId="8" applyNumberFormat="0" applyAlignment="0" applyProtection="0">
      <alignment vertical="center"/>
    </xf>
    <xf numFmtId="0" fontId="35" fillId="16" borderId="4" applyNumberFormat="0" applyAlignment="0" applyProtection="0">
      <alignment vertical="center"/>
    </xf>
    <xf numFmtId="0" fontId="36" fillId="17" borderId="9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1" fillId="0" borderId="0"/>
    <xf numFmtId="0" fontId="42" fillId="0" borderId="0"/>
  </cellStyleXfs>
  <cellXfs count="98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51" applyNumberFormat="1" applyFont="1" applyFill="1" applyBorder="1" applyAlignment="1" applyProtection="1">
      <alignment horizontal="center" vertical="center" wrapText="1"/>
    </xf>
    <xf numFmtId="176" fontId="3" fillId="2" borderId="1" xfId="51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51" applyNumberFormat="1" applyFont="1" applyFill="1" applyBorder="1" applyAlignment="1" applyProtection="1">
      <alignment horizontal="center" vertical="center" wrapText="1"/>
    </xf>
    <xf numFmtId="0" fontId="5" fillId="2" borderId="1" xfId="51" applyNumberFormat="1" applyFont="1" applyFill="1" applyBorder="1" applyAlignment="1" applyProtection="1">
      <alignment horizontal="left" vertical="center" wrapText="1"/>
    </xf>
    <xf numFmtId="0" fontId="4" fillId="2" borderId="1" xfId="51" applyNumberFormat="1" applyFont="1" applyFill="1" applyBorder="1" applyAlignment="1" applyProtection="1">
      <alignment horizontal="center" vertical="center" wrapText="1"/>
    </xf>
    <xf numFmtId="176" fontId="4" fillId="2" borderId="1" xfId="51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2" borderId="3" xfId="51" applyNumberFormat="1" applyFont="1" applyFill="1" applyBorder="1" applyAlignment="1" applyProtection="1">
      <alignment horizontal="center" vertical="center" wrapText="1"/>
    </xf>
    <xf numFmtId="0" fontId="3" fillId="2" borderId="2" xfId="51" applyNumberFormat="1" applyFont="1" applyFill="1" applyBorder="1" applyAlignment="1" applyProtection="1">
      <alignment horizontal="center" vertical="center" wrapText="1"/>
    </xf>
    <xf numFmtId="176" fontId="3" fillId="2" borderId="1" xfId="51" applyNumberFormat="1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 applyProtection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76" fontId="3" fillId="4" borderId="1" xfId="51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0" fontId="13" fillId="5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 wrapText="1"/>
    </xf>
    <xf numFmtId="176" fontId="14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6" fillId="0" borderId="1" xfId="50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10" fontId="10" fillId="0" borderId="1" xfId="11" applyNumberFormat="1" applyFont="1" applyFill="1" applyBorder="1" applyAlignment="1">
      <alignment horizontal="center" vertical="center"/>
    </xf>
    <xf numFmtId="9" fontId="10" fillId="0" borderId="1" xfId="1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0" fontId="17" fillId="0" borderId="0" xfId="0" applyNumberFormat="1" applyFont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10" fontId="18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right" vertical="center" wrapText="1"/>
    </xf>
    <xf numFmtId="176" fontId="12" fillId="0" borderId="0" xfId="11" applyNumberFormat="1" applyFont="1" applyAlignment="1">
      <alignment horizontal="center" vertical="center"/>
    </xf>
    <xf numFmtId="176" fontId="13" fillId="5" borderId="1" xfId="11" applyNumberFormat="1" applyFont="1" applyFill="1" applyBorder="1" applyAlignment="1">
      <alignment horizontal="center" vertical="center" wrapText="1"/>
    </xf>
    <xf numFmtId="9" fontId="14" fillId="6" borderId="1" xfId="0" applyNumberFormat="1" applyFont="1" applyFill="1" applyBorder="1" applyAlignment="1">
      <alignment horizontal="center" vertical="center" wrapText="1"/>
    </xf>
    <xf numFmtId="176" fontId="14" fillId="6" borderId="1" xfId="11" applyNumberFormat="1" applyFont="1" applyFill="1" applyBorder="1" applyAlignment="1">
      <alignment horizontal="center" vertical="center" wrapText="1"/>
    </xf>
    <xf numFmtId="10" fontId="14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/>
    </xf>
    <xf numFmtId="176" fontId="20" fillId="0" borderId="1" xfId="11" applyNumberFormat="1" applyFont="1" applyFill="1" applyBorder="1" applyAlignment="1">
      <alignment horizontal="center" vertical="center"/>
    </xf>
    <xf numFmtId="10" fontId="20" fillId="0" borderId="1" xfId="0" applyNumberFormat="1" applyFont="1" applyFill="1" applyBorder="1" applyAlignment="1">
      <alignment horizontal="center" vertical="center"/>
    </xf>
    <xf numFmtId="176" fontId="17" fillId="0" borderId="0" xfId="11" applyNumberFormat="1" applyFont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176" fontId="18" fillId="0" borderId="0" xfId="11" applyNumberFormat="1" applyFont="1" applyFill="1" applyAlignment="1">
      <alignment horizontal="center" vertical="center"/>
    </xf>
    <xf numFmtId="10" fontId="18" fillId="0" borderId="0" xfId="0" applyNumberFormat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176" fontId="18" fillId="0" borderId="0" xfId="11" applyNumberFormat="1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4" xfId="51"/>
  </cellStyles>
  <dxfs count="1">
    <dxf>
      <font>
        <b val="0"/>
        <i val="0"/>
        <strike val="0"/>
        <u val="none"/>
        <sz val="12"/>
        <color theme="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M8" sqref="M8"/>
    </sheetView>
  </sheetViews>
  <sheetFormatPr defaultColWidth="9" defaultRowHeight="13.5"/>
  <cols>
    <col min="1" max="1" width="4.375" style="53" customWidth="1"/>
    <col min="2" max="2" width="21.875" style="53" customWidth="1"/>
    <col min="3" max="3" width="11" style="53" customWidth="1"/>
    <col min="4" max="4" width="8.125" style="53" customWidth="1"/>
    <col min="5" max="5" width="7.5" style="53" customWidth="1"/>
    <col min="6" max="6" width="10.875" style="55" customWidth="1"/>
    <col min="7" max="7" width="7.125" style="53" customWidth="1"/>
    <col min="8" max="8" width="9.5" style="53" customWidth="1"/>
    <col min="9" max="9" width="9.625" style="53" customWidth="1"/>
    <col min="10" max="10" width="11.125" style="53" customWidth="1"/>
    <col min="11" max="11" width="7.25" style="56" customWidth="1"/>
    <col min="12" max="12" width="8.875" style="55" customWidth="1"/>
    <col min="13" max="13" width="7.25" style="53" customWidth="1"/>
    <col min="14" max="14" width="6.5" style="53" customWidth="1"/>
    <col min="15" max="15" width="8.625" style="53" customWidth="1"/>
    <col min="16" max="16384" width="9" style="53"/>
  </cols>
  <sheetData>
    <row r="1" s="53" customFormat="1" ht="43" customHeight="1" spans="1:15">
      <c r="A1" s="57" t="s">
        <v>0</v>
      </c>
      <c r="B1" s="58"/>
      <c r="C1" s="58"/>
      <c r="D1" s="58"/>
      <c r="E1" s="58"/>
      <c r="F1" s="59"/>
      <c r="G1" s="58"/>
      <c r="H1" s="58"/>
      <c r="I1" s="58"/>
      <c r="J1" s="58"/>
      <c r="K1" s="82"/>
      <c r="L1" s="59"/>
      <c r="M1" s="58"/>
      <c r="N1" s="58"/>
      <c r="O1" s="58"/>
    </row>
    <row r="2" s="53" customFormat="1" ht="38" customHeight="1" spans="1:15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1" t="s">
        <v>6</v>
      </c>
      <c r="G2" s="60"/>
      <c r="H2" s="60" t="s">
        <v>7</v>
      </c>
      <c r="I2" s="60"/>
      <c r="J2" s="60"/>
      <c r="K2" s="83" t="s">
        <v>8</v>
      </c>
      <c r="L2" s="61"/>
      <c r="M2" s="60" t="s">
        <v>9</v>
      </c>
      <c r="N2" s="60" t="s">
        <v>10</v>
      </c>
      <c r="O2" s="60" t="s">
        <v>11</v>
      </c>
    </row>
    <row r="3" s="53" customFormat="1" ht="28" customHeight="1" spans="1:15">
      <c r="A3" s="60"/>
      <c r="B3" s="60"/>
      <c r="C3" s="60"/>
      <c r="D3" s="60"/>
      <c r="E3" s="60"/>
      <c r="F3" s="61" t="s">
        <v>12</v>
      </c>
      <c r="G3" s="60" t="s">
        <v>13</v>
      </c>
      <c r="H3" s="60" t="s">
        <v>14</v>
      </c>
      <c r="I3" s="60" t="s">
        <v>15</v>
      </c>
      <c r="J3" s="60" t="s">
        <v>16</v>
      </c>
      <c r="K3" s="83" t="s">
        <v>17</v>
      </c>
      <c r="L3" s="61" t="s">
        <v>18</v>
      </c>
      <c r="M3" s="60"/>
      <c r="N3" s="60"/>
      <c r="O3" s="60"/>
    </row>
    <row r="4" s="53" customFormat="1" ht="24" customHeight="1" spans="1:15">
      <c r="A4" s="62"/>
      <c r="B4" s="62"/>
      <c r="C4" s="63" t="s">
        <v>19</v>
      </c>
      <c r="D4" s="64" t="s">
        <v>20</v>
      </c>
      <c r="E4" s="64" t="s">
        <v>20</v>
      </c>
      <c r="F4" s="65" t="s">
        <v>21</v>
      </c>
      <c r="G4" s="66" t="s">
        <v>22</v>
      </c>
      <c r="H4" s="65" t="s">
        <v>23</v>
      </c>
      <c r="I4" s="84" t="s">
        <v>24</v>
      </c>
      <c r="J4" s="66" t="s">
        <v>25</v>
      </c>
      <c r="K4" s="85" t="s">
        <v>26</v>
      </c>
      <c r="L4" s="86" t="s">
        <v>27</v>
      </c>
      <c r="M4" s="66" t="s">
        <v>28</v>
      </c>
      <c r="N4" s="66" t="s">
        <v>29</v>
      </c>
      <c r="O4" s="87" t="s">
        <v>30</v>
      </c>
    </row>
    <row r="5" s="53" customFormat="1" ht="24" customHeight="1" spans="1:15">
      <c r="A5" s="67">
        <v>1</v>
      </c>
      <c r="B5" s="68" t="s">
        <v>31</v>
      </c>
      <c r="C5" s="69">
        <f>(产值!N24+产值!N43)*2</f>
        <v>79310.046336436</v>
      </c>
      <c r="D5" s="70"/>
      <c r="E5" s="67"/>
      <c r="F5" s="69"/>
      <c r="G5" s="71"/>
      <c r="H5" s="71"/>
      <c r="I5" s="88">
        <v>0.8</v>
      </c>
      <c r="J5" s="73">
        <f>C5*I5</f>
        <v>63448.0370691488</v>
      </c>
      <c r="K5" s="71"/>
      <c r="L5" s="89"/>
      <c r="M5" s="71"/>
      <c r="N5" s="71"/>
      <c r="O5" s="67"/>
    </row>
    <row r="6" s="53" customFormat="1" ht="24" customHeight="1" spans="1:15">
      <c r="A6" s="67">
        <v>2</v>
      </c>
      <c r="B6" s="68" t="s">
        <v>32</v>
      </c>
      <c r="C6" s="70">
        <f>产值!N56</f>
        <v>142301.566039959</v>
      </c>
      <c r="D6" s="70"/>
      <c r="E6" s="67"/>
      <c r="F6" s="69"/>
      <c r="G6" s="71"/>
      <c r="H6" s="71"/>
      <c r="I6" s="88">
        <v>0.8</v>
      </c>
      <c r="J6" s="73">
        <f>C6*I6-F6</f>
        <v>113841.252831968</v>
      </c>
      <c r="K6" s="71"/>
      <c r="L6" s="89"/>
      <c r="M6" s="71"/>
      <c r="N6" s="71"/>
      <c r="O6" s="67"/>
    </row>
    <row r="7" s="53" customFormat="1" ht="24" customHeight="1" spans="1:15">
      <c r="A7" s="67">
        <v>3</v>
      </c>
      <c r="B7" s="72" t="s">
        <v>33</v>
      </c>
      <c r="C7" s="71"/>
      <c r="D7" s="70"/>
      <c r="E7" s="67"/>
      <c r="F7" s="71"/>
      <c r="G7" s="71"/>
      <c r="H7" s="73"/>
      <c r="I7" s="88"/>
      <c r="J7" s="73">
        <f>SUM(J5:J6)</f>
        <v>177289.289901116</v>
      </c>
      <c r="K7" s="90"/>
      <c r="L7" s="91"/>
      <c r="M7" s="69"/>
      <c r="N7" s="71"/>
      <c r="O7" s="67"/>
    </row>
    <row r="8" s="54" customFormat="1" ht="22.5" spans="1:15">
      <c r="A8" s="67">
        <v>4</v>
      </c>
      <c r="B8" s="67" t="s">
        <v>34</v>
      </c>
      <c r="C8" s="67"/>
      <c r="D8" s="67"/>
      <c r="E8" s="67"/>
      <c r="F8" s="74"/>
      <c r="G8" s="71"/>
      <c r="H8" s="75"/>
      <c r="I8" s="88"/>
      <c r="J8" s="69">
        <v>177000</v>
      </c>
      <c r="K8" s="71"/>
      <c r="L8" s="89"/>
      <c r="M8" s="69" t="s">
        <v>35</v>
      </c>
      <c r="N8" s="69" t="s">
        <v>36</v>
      </c>
      <c r="O8" s="70" t="s">
        <v>37</v>
      </c>
    </row>
    <row r="9" s="53" customFormat="1" ht="59" customHeight="1" spans="1:15">
      <c r="A9" s="76" t="s">
        <v>38</v>
      </c>
      <c r="B9" s="76"/>
      <c r="C9" s="76"/>
      <c r="D9" s="76"/>
      <c r="E9" s="76"/>
      <c r="F9" s="77"/>
      <c r="G9" s="76"/>
      <c r="H9" s="76"/>
      <c r="I9" s="76"/>
      <c r="J9" s="76"/>
      <c r="K9" s="92"/>
      <c r="L9" s="77"/>
      <c r="M9" s="76"/>
      <c r="N9" s="76"/>
      <c r="O9" s="76"/>
    </row>
    <row r="10" s="53" customFormat="1" ht="24.95" customHeight="1" spans="1:15">
      <c r="A10" s="76" t="s">
        <v>39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="53" customFormat="1" ht="26.25" customHeight="1" spans="1:15">
      <c r="A11" s="78"/>
      <c r="B11" s="79"/>
      <c r="C11" s="79"/>
      <c r="D11" s="79"/>
      <c r="E11" s="79"/>
      <c r="F11" s="80"/>
      <c r="G11" s="81" t="s">
        <v>40</v>
      </c>
      <c r="H11" s="81"/>
      <c r="I11" s="81"/>
      <c r="J11" s="93"/>
      <c r="K11" s="94"/>
      <c r="L11" s="95" t="s">
        <v>41</v>
      </c>
      <c r="M11" s="96"/>
      <c r="N11" s="79"/>
      <c r="O11" s="79"/>
    </row>
    <row r="12" s="53" customFormat="1" ht="28.5" customHeight="1" spans="1:15">
      <c r="A12" s="78"/>
      <c r="B12" s="79"/>
      <c r="C12" s="79"/>
      <c r="D12" s="79"/>
      <c r="E12" s="79"/>
      <c r="F12" s="80"/>
      <c r="J12" s="79"/>
      <c r="K12" s="97"/>
      <c r="L12" s="80"/>
      <c r="M12" s="79"/>
      <c r="N12" s="79"/>
      <c r="O12" s="79"/>
    </row>
  </sheetData>
  <mergeCells count="18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6"/>
  <sheetViews>
    <sheetView zoomScale="73" zoomScaleNormal="73" topLeftCell="A25" workbookViewId="0">
      <selection activeCell="C45" sqref="C45"/>
    </sheetView>
  </sheetViews>
  <sheetFormatPr defaultColWidth="9" defaultRowHeight="13.5"/>
  <cols>
    <col min="1" max="1" width="7.34166666666667" customWidth="1"/>
    <col min="2" max="2" width="33.0083333333333" customWidth="1"/>
    <col min="3" max="3" width="50.625" customWidth="1"/>
    <col min="4" max="4" width="7.50833333333333" customWidth="1"/>
    <col min="5" max="5" width="10.8416666666667" customWidth="1"/>
    <col min="6" max="6" width="11.8416666666667" customWidth="1"/>
    <col min="7" max="7" width="16.3416666666667" customWidth="1"/>
    <col min="8" max="8" width="16.0083333333333" customWidth="1"/>
    <col min="9" max="9" width="17.8416666666667" customWidth="1"/>
    <col min="10" max="10" width="10.8416666666667" customWidth="1"/>
    <col min="11" max="11" width="21.175" customWidth="1"/>
    <col min="12" max="12" width="23.5083333333333" customWidth="1"/>
    <col min="13" max="13" width="11.8416666666667" customWidth="1"/>
    <col min="14" max="14" width="15.3416666666667" customWidth="1"/>
    <col min="15" max="15" width="22.0083333333333" customWidth="1"/>
    <col min="16" max="16" width="3.625" customWidth="1"/>
    <col min="17" max="17" width="6.675" customWidth="1"/>
    <col min="18" max="18" width="29.0083333333333" customWidth="1"/>
    <col min="19" max="19" width="22.0083333333333" customWidth="1"/>
    <col min="20" max="20" width="5.63333333333333" customWidth="1"/>
    <col min="21" max="22" width="7.00833333333333" customWidth="1"/>
    <col min="23" max="23" width="15.175" customWidth="1"/>
    <col min="24" max="24" width="15.0083333333333" customWidth="1"/>
    <col min="25" max="25" width="16.675" customWidth="1"/>
    <col min="26" max="26" width="8.4" customWidth="1"/>
    <col min="27" max="27" width="17.5083333333333" customWidth="1"/>
    <col min="28" max="28" width="21.675" customWidth="1"/>
    <col min="29" max="29" width="7.4" customWidth="1"/>
    <col min="30" max="30" width="6.06666666666667" customWidth="1"/>
    <col min="31" max="31" width="6.65" customWidth="1"/>
  </cols>
  <sheetData>
    <row r="1" ht="28.5" customHeight="1" spans="1:31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2"/>
      <c r="Q1" s="1" t="s">
        <v>42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22.5" customHeight="1" spans="1:31">
      <c r="A2" s="2" t="s">
        <v>1</v>
      </c>
      <c r="B2" s="2" t="s">
        <v>43</v>
      </c>
      <c r="C2" s="2" t="s">
        <v>44</v>
      </c>
      <c r="D2" s="2" t="s">
        <v>45</v>
      </c>
      <c r="E2" s="3" t="s">
        <v>46</v>
      </c>
      <c r="F2" s="4" t="s">
        <v>47</v>
      </c>
      <c r="G2" s="4"/>
      <c r="H2" s="4"/>
      <c r="I2" s="4"/>
      <c r="J2" s="4"/>
      <c r="K2" s="4"/>
      <c r="L2" s="4"/>
      <c r="M2" s="4" t="s">
        <v>48</v>
      </c>
      <c r="N2" s="4" t="s">
        <v>49</v>
      </c>
      <c r="O2" s="4" t="s">
        <v>50</v>
      </c>
      <c r="P2" s="42"/>
      <c r="Q2" s="5" t="s">
        <v>1</v>
      </c>
      <c r="R2" s="5" t="s">
        <v>43</v>
      </c>
      <c r="S2" s="5" t="s">
        <v>44</v>
      </c>
      <c r="T2" s="5" t="s">
        <v>45</v>
      </c>
      <c r="U2" s="52" t="s">
        <v>46</v>
      </c>
      <c r="V2" s="10" t="s">
        <v>47</v>
      </c>
      <c r="W2" s="10"/>
      <c r="X2" s="10"/>
      <c r="Y2" s="10"/>
      <c r="Z2" s="10"/>
      <c r="AA2" s="10"/>
      <c r="AB2" s="10"/>
      <c r="AC2" s="10" t="s">
        <v>48</v>
      </c>
      <c r="AD2" s="10" t="s">
        <v>49</v>
      </c>
      <c r="AE2" s="10" t="s">
        <v>50</v>
      </c>
    </row>
    <row r="3" ht="39" customHeight="1" spans="1:31">
      <c r="A3" s="2"/>
      <c r="B3" s="2"/>
      <c r="C3" s="2"/>
      <c r="D3" s="2"/>
      <c r="E3" s="3"/>
      <c r="F3" s="4" t="s">
        <v>51</v>
      </c>
      <c r="G3" s="4" t="s">
        <v>52</v>
      </c>
      <c r="H3" s="4" t="s">
        <v>53</v>
      </c>
      <c r="I3" s="4" t="s">
        <v>54</v>
      </c>
      <c r="J3" s="4" t="s">
        <v>55</v>
      </c>
      <c r="K3" s="4" t="s">
        <v>56</v>
      </c>
      <c r="L3" s="4" t="s">
        <v>57</v>
      </c>
      <c r="M3" s="4"/>
      <c r="N3" s="4"/>
      <c r="O3" s="4"/>
      <c r="P3" s="42"/>
      <c r="Q3" s="5"/>
      <c r="R3" s="5"/>
      <c r="S3" s="5"/>
      <c r="T3" s="5"/>
      <c r="U3" s="52"/>
      <c r="V3" s="10" t="s">
        <v>51</v>
      </c>
      <c r="W3" s="10" t="s">
        <v>52</v>
      </c>
      <c r="X3" s="10" t="s">
        <v>53</v>
      </c>
      <c r="Y3" s="10" t="s">
        <v>54</v>
      </c>
      <c r="Z3" s="10" t="s">
        <v>55</v>
      </c>
      <c r="AA3" s="10" t="s">
        <v>56</v>
      </c>
      <c r="AB3" s="10" t="s">
        <v>57</v>
      </c>
      <c r="AC3" s="10"/>
      <c r="AD3" s="10"/>
      <c r="AE3" s="10"/>
    </row>
    <row r="4" ht="22.5" customHeight="1" spans="1:31">
      <c r="A4" s="2"/>
      <c r="B4" s="2"/>
      <c r="C4" s="2"/>
      <c r="D4" s="2"/>
      <c r="E4" s="3"/>
      <c r="F4" s="4"/>
      <c r="G4" s="4" t="s">
        <v>58</v>
      </c>
      <c r="H4" s="4" t="s">
        <v>59</v>
      </c>
      <c r="I4" s="4" t="s">
        <v>60</v>
      </c>
      <c r="J4" s="4"/>
      <c r="K4" s="4" t="s">
        <v>61</v>
      </c>
      <c r="L4" s="4" t="s">
        <v>61</v>
      </c>
      <c r="M4" s="4"/>
      <c r="N4" s="4"/>
      <c r="O4" s="4"/>
      <c r="P4" s="42"/>
      <c r="Q4" s="5"/>
      <c r="R4" s="5"/>
      <c r="S4" s="5"/>
      <c r="T4" s="5"/>
      <c r="U4" s="52"/>
      <c r="V4" s="10"/>
      <c r="W4" s="10" t="s">
        <v>58</v>
      </c>
      <c r="X4" s="10" t="s">
        <v>59</v>
      </c>
      <c r="Y4" s="10" t="s">
        <v>60</v>
      </c>
      <c r="Z4" s="10"/>
      <c r="AA4" s="10" t="s">
        <v>61</v>
      </c>
      <c r="AB4" s="10" t="s">
        <v>61</v>
      </c>
      <c r="AC4" s="10"/>
      <c r="AD4" s="10"/>
      <c r="AE4" s="10"/>
    </row>
    <row r="5" ht="22.5" customHeight="1" spans="1:31">
      <c r="A5" s="5"/>
      <c r="B5" s="6" t="s">
        <v>62</v>
      </c>
      <c r="C5" s="7" t="s">
        <v>63</v>
      </c>
      <c r="D5" s="8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42"/>
      <c r="Q5" s="5" t="s">
        <v>64</v>
      </c>
      <c r="R5" s="6" t="s">
        <v>65</v>
      </c>
      <c r="S5" s="5" t="s">
        <v>63</v>
      </c>
      <c r="T5" s="8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ht="22.5" customHeight="1" spans="1:31">
      <c r="A6" s="11">
        <v>1</v>
      </c>
      <c r="B6" s="11" t="s">
        <v>66</v>
      </c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</row>
    <row r="7" ht="81" spans="1:31">
      <c r="A7" s="11">
        <v>1.1</v>
      </c>
      <c r="B7" s="14" t="s">
        <v>67</v>
      </c>
      <c r="C7" s="15" t="s">
        <v>68</v>
      </c>
      <c r="D7" s="11" t="s">
        <v>69</v>
      </c>
      <c r="E7" s="12">
        <v>24.5</v>
      </c>
      <c r="F7" s="13">
        <v>55</v>
      </c>
      <c r="G7" s="13">
        <f t="shared" ref="G7:G14" si="0">H7*(1+I7)</f>
        <v>84.66</v>
      </c>
      <c r="H7" s="13">
        <v>83</v>
      </c>
      <c r="I7" s="43">
        <v>0.02</v>
      </c>
      <c r="J7" s="13">
        <v>25</v>
      </c>
      <c r="K7" s="13">
        <f t="shared" ref="K7:K14" si="1">(F7+G7+J7)*0.06</f>
        <v>9.8796</v>
      </c>
      <c r="L7" s="13">
        <f t="shared" ref="L7:L14" si="2">(F7+G7+J7+K7)*0.09</f>
        <v>15.708564</v>
      </c>
      <c r="M7" s="13">
        <f t="shared" ref="M7:M14" si="3">F7+G7+J7+K7+L7</f>
        <v>190.248164</v>
      </c>
      <c r="N7" s="13">
        <f t="shared" ref="N7:N14" si="4">E7*M7</f>
        <v>4661.080018</v>
      </c>
      <c r="O7" s="13" t="s">
        <v>70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</row>
    <row r="8" ht="105" customHeight="1" spans="1:31">
      <c r="A8" s="11">
        <v>1.2</v>
      </c>
      <c r="B8" s="14" t="s">
        <v>71</v>
      </c>
      <c r="C8" s="15" t="s">
        <v>72</v>
      </c>
      <c r="D8" s="11" t="s">
        <v>69</v>
      </c>
      <c r="E8" s="12">
        <f>0.45+0.239+0.246</f>
        <v>0.935</v>
      </c>
      <c r="F8" s="13">
        <v>70</v>
      </c>
      <c r="G8" s="13">
        <f t="shared" si="0"/>
        <v>85.49</v>
      </c>
      <c r="H8" s="13">
        <v>83</v>
      </c>
      <c r="I8" s="43">
        <v>0.03</v>
      </c>
      <c r="J8" s="13">
        <v>25</v>
      </c>
      <c r="K8" s="13">
        <f t="shared" si="1"/>
        <v>10.8294</v>
      </c>
      <c r="L8" s="13">
        <f t="shared" si="2"/>
        <v>17.218746</v>
      </c>
      <c r="M8" s="13">
        <f t="shared" si="3"/>
        <v>208.538146</v>
      </c>
      <c r="N8" s="13">
        <f t="shared" si="4"/>
        <v>194.98316651</v>
      </c>
      <c r="O8" s="13" t="s">
        <v>70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ht="22.5" customHeight="1" spans="1:31">
      <c r="A9" s="11">
        <v>2</v>
      </c>
      <c r="B9" s="14" t="s">
        <v>73</v>
      </c>
      <c r="C9" s="14"/>
      <c r="D9" s="11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ht="67.5" spans="1:31">
      <c r="A10" s="11">
        <v>2.1</v>
      </c>
      <c r="B10" s="16" t="s">
        <v>74</v>
      </c>
      <c r="C10" s="17" t="s">
        <v>75</v>
      </c>
      <c r="D10" s="11" t="s">
        <v>69</v>
      </c>
      <c r="E10" s="12">
        <v>59.57</v>
      </c>
      <c r="F10" s="13">
        <v>55</v>
      </c>
      <c r="G10" s="13">
        <f t="shared" si="0"/>
        <v>66.3</v>
      </c>
      <c r="H10" s="13">
        <v>65</v>
      </c>
      <c r="I10" s="43">
        <v>0.02</v>
      </c>
      <c r="J10" s="13">
        <v>25</v>
      </c>
      <c r="K10" s="13">
        <f t="shared" si="1"/>
        <v>8.778</v>
      </c>
      <c r="L10" s="13">
        <f t="shared" si="2"/>
        <v>13.95702</v>
      </c>
      <c r="M10" s="13">
        <f t="shared" si="3"/>
        <v>169.03502</v>
      </c>
      <c r="N10" s="13">
        <f t="shared" si="4"/>
        <v>10069.4161414</v>
      </c>
      <c r="O10" s="13" t="s">
        <v>76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ht="40.5" spans="1:31">
      <c r="A11" s="11">
        <v>2.2</v>
      </c>
      <c r="B11" s="14" t="s">
        <v>77</v>
      </c>
      <c r="C11" s="15" t="s">
        <v>78</v>
      </c>
      <c r="D11" s="11" t="s">
        <v>69</v>
      </c>
      <c r="E11" s="12">
        <f>2*2.9+1.1*2.1</f>
        <v>8.11</v>
      </c>
      <c r="F11" s="13">
        <v>200</v>
      </c>
      <c r="G11" s="13">
        <f t="shared" si="0"/>
        <v>432.6</v>
      </c>
      <c r="H11" s="13">
        <v>420</v>
      </c>
      <c r="I11" s="43">
        <v>0.03</v>
      </c>
      <c r="J11" s="13">
        <v>15</v>
      </c>
      <c r="K11" s="13">
        <f t="shared" si="1"/>
        <v>38.856</v>
      </c>
      <c r="L11" s="13">
        <f t="shared" si="2"/>
        <v>61.78104</v>
      </c>
      <c r="M11" s="13">
        <f t="shared" si="3"/>
        <v>748.23704</v>
      </c>
      <c r="N11" s="13">
        <f t="shared" si="4"/>
        <v>6068.2023944</v>
      </c>
      <c r="O11" s="13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ht="54" spans="1:31">
      <c r="A12" s="11">
        <v>2.3</v>
      </c>
      <c r="B12" s="18" t="s">
        <v>79</v>
      </c>
      <c r="C12" s="19" t="s">
        <v>80</v>
      </c>
      <c r="D12" s="20" t="s">
        <v>69</v>
      </c>
      <c r="E12" s="21">
        <f>1.6*1.07</f>
        <v>1.712</v>
      </c>
      <c r="F12" s="13">
        <v>200</v>
      </c>
      <c r="G12" s="13">
        <f t="shared" si="0"/>
        <v>315</v>
      </c>
      <c r="H12" s="13">
        <v>300</v>
      </c>
      <c r="I12" s="43">
        <v>0.05</v>
      </c>
      <c r="J12" s="13">
        <v>15</v>
      </c>
      <c r="K12" s="13">
        <f t="shared" si="1"/>
        <v>31.8</v>
      </c>
      <c r="L12" s="13">
        <f t="shared" si="2"/>
        <v>50.562</v>
      </c>
      <c r="M12" s="13">
        <f t="shared" si="3"/>
        <v>612.362</v>
      </c>
      <c r="N12" s="13">
        <f t="shared" si="4"/>
        <v>1048.363744</v>
      </c>
      <c r="O12" s="13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ht="55.5" customHeight="1" spans="1:31">
      <c r="A13" s="11">
        <v>2.4</v>
      </c>
      <c r="B13" s="14" t="s">
        <v>81</v>
      </c>
      <c r="C13" s="15" t="s">
        <v>82</v>
      </c>
      <c r="D13" s="11" t="s">
        <v>83</v>
      </c>
      <c r="E13" s="12">
        <v>2</v>
      </c>
      <c r="F13" s="13">
        <v>155</v>
      </c>
      <c r="G13" s="13">
        <f t="shared" si="0"/>
        <v>459</v>
      </c>
      <c r="H13" s="13">
        <v>450</v>
      </c>
      <c r="I13" s="43">
        <v>0.02</v>
      </c>
      <c r="J13" s="13">
        <v>15</v>
      </c>
      <c r="K13" s="13">
        <f t="shared" si="1"/>
        <v>37.74</v>
      </c>
      <c r="L13" s="13">
        <f t="shared" si="2"/>
        <v>60.0066</v>
      </c>
      <c r="M13" s="13">
        <f t="shared" si="3"/>
        <v>726.7466</v>
      </c>
      <c r="N13" s="13">
        <f t="shared" si="4"/>
        <v>1453.4932</v>
      </c>
      <c r="O13" s="13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ht="22.5" customHeight="1" spans="1:31">
      <c r="A14" s="11">
        <v>2.5</v>
      </c>
      <c r="B14" s="14" t="s">
        <v>84</v>
      </c>
      <c r="C14" s="15" t="s">
        <v>85</v>
      </c>
      <c r="D14" s="11" t="s">
        <v>86</v>
      </c>
      <c r="E14" s="12">
        <f>2.35*2</f>
        <v>4.7</v>
      </c>
      <c r="F14" s="13">
        <v>5</v>
      </c>
      <c r="G14" s="13">
        <f t="shared" si="0"/>
        <v>10.1</v>
      </c>
      <c r="H14" s="13">
        <v>10</v>
      </c>
      <c r="I14" s="43">
        <v>0.01</v>
      </c>
      <c r="J14" s="13">
        <v>0.1</v>
      </c>
      <c r="K14" s="13">
        <f t="shared" si="1"/>
        <v>0.912</v>
      </c>
      <c r="L14" s="13">
        <f t="shared" si="2"/>
        <v>1.45008</v>
      </c>
      <c r="M14" s="13">
        <f t="shared" si="3"/>
        <v>17.56208</v>
      </c>
      <c r="N14" s="13">
        <f t="shared" si="4"/>
        <v>82.541776</v>
      </c>
      <c r="O14" s="13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>
      <c r="A15" s="11">
        <v>3</v>
      </c>
      <c r="B15" s="14" t="s">
        <v>87</v>
      </c>
      <c r="C15" s="14"/>
      <c r="D15" s="11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ht="55.5" customHeight="1" spans="1:31">
      <c r="A16" s="11">
        <v>3.1</v>
      </c>
      <c r="B16" s="14" t="s">
        <v>88</v>
      </c>
      <c r="C16" s="15" t="s">
        <v>89</v>
      </c>
      <c r="D16" s="11" t="s">
        <v>90</v>
      </c>
      <c r="E16" s="12">
        <v>6.92</v>
      </c>
      <c r="F16" s="13">
        <v>115</v>
      </c>
      <c r="G16" s="13">
        <f t="shared" ref="G16:G23" si="5">H16*(1+I16)</f>
        <v>61.2</v>
      </c>
      <c r="H16" s="13">
        <v>60</v>
      </c>
      <c r="I16" s="43">
        <v>0.02</v>
      </c>
      <c r="J16" s="13">
        <v>5</v>
      </c>
      <c r="K16" s="13">
        <f t="shared" ref="K16:K23" si="6">(F16+G16+J16)*0.06</f>
        <v>10.872</v>
      </c>
      <c r="L16" s="13">
        <f t="shared" ref="L16:L23" si="7">(F16+G16+J16+K16)*0.09</f>
        <v>17.28648</v>
      </c>
      <c r="M16" s="13">
        <f t="shared" ref="M16:M23" si="8">F16+G16+J16+K16+L16</f>
        <v>209.35848</v>
      </c>
      <c r="N16" s="13">
        <f t="shared" ref="N16:N23" si="9">E16*M16</f>
        <v>1448.7606816</v>
      </c>
      <c r="O16" s="44" t="s">
        <v>91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ht="72" customHeight="1" spans="1:31">
      <c r="A17" s="11">
        <v>3.2</v>
      </c>
      <c r="B17" s="14" t="s">
        <v>92</v>
      </c>
      <c r="C17" s="15" t="s">
        <v>93</v>
      </c>
      <c r="D17" s="11" t="s">
        <v>86</v>
      </c>
      <c r="E17" s="12">
        <v>7.66</v>
      </c>
      <c r="F17" s="13">
        <v>20</v>
      </c>
      <c r="G17" s="13">
        <f t="shared" si="5"/>
        <v>20.4</v>
      </c>
      <c r="H17" s="13">
        <v>20</v>
      </c>
      <c r="I17" s="43">
        <v>0.02</v>
      </c>
      <c r="J17" s="13">
        <v>5</v>
      </c>
      <c r="K17" s="13">
        <f t="shared" si="6"/>
        <v>2.724</v>
      </c>
      <c r="L17" s="13">
        <f t="shared" si="7"/>
        <v>4.33116</v>
      </c>
      <c r="M17" s="13">
        <f t="shared" si="8"/>
        <v>52.45516</v>
      </c>
      <c r="N17" s="13">
        <f t="shared" si="9"/>
        <v>401.8065256</v>
      </c>
      <c r="O17" s="13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ht="121.5" customHeight="1" spans="1:31">
      <c r="A18" s="11">
        <v>3.3</v>
      </c>
      <c r="B18" s="14" t="s">
        <v>94</v>
      </c>
      <c r="C18" s="15" t="s">
        <v>95</v>
      </c>
      <c r="D18" s="11" t="s">
        <v>90</v>
      </c>
      <c r="E18" s="12">
        <v>6.92</v>
      </c>
      <c r="F18" s="13">
        <v>20</v>
      </c>
      <c r="G18" s="13">
        <f t="shared" si="5"/>
        <v>12.524</v>
      </c>
      <c r="H18" s="13">
        <v>12.4</v>
      </c>
      <c r="I18" s="43">
        <v>0.01</v>
      </c>
      <c r="J18" s="13">
        <v>2</v>
      </c>
      <c r="K18" s="13">
        <f t="shared" si="6"/>
        <v>2.07144</v>
      </c>
      <c r="L18" s="13">
        <f t="shared" si="7"/>
        <v>3.2935896</v>
      </c>
      <c r="M18" s="13">
        <f t="shared" si="8"/>
        <v>39.8890296</v>
      </c>
      <c r="N18" s="13">
        <f t="shared" si="9"/>
        <v>276.032084832</v>
      </c>
      <c r="O18" s="13" t="s">
        <v>96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ht="72" customHeight="1" spans="1:31">
      <c r="A19" s="11">
        <v>3.4</v>
      </c>
      <c r="B19" s="14" t="s">
        <v>97</v>
      </c>
      <c r="C19" s="15" t="s">
        <v>98</v>
      </c>
      <c r="D19" s="11" t="s">
        <v>69</v>
      </c>
      <c r="E19" s="12">
        <v>9.56</v>
      </c>
      <c r="F19" s="13">
        <v>115</v>
      </c>
      <c r="G19" s="13">
        <f t="shared" si="5"/>
        <v>66.3</v>
      </c>
      <c r="H19" s="13">
        <v>65</v>
      </c>
      <c r="I19" s="43">
        <v>0.02</v>
      </c>
      <c r="J19" s="13">
        <v>5</v>
      </c>
      <c r="K19" s="13">
        <f t="shared" si="6"/>
        <v>11.178</v>
      </c>
      <c r="L19" s="13">
        <f t="shared" si="7"/>
        <v>17.77302</v>
      </c>
      <c r="M19" s="13">
        <f t="shared" si="8"/>
        <v>215.25102</v>
      </c>
      <c r="N19" s="13">
        <f t="shared" si="9"/>
        <v>2057.7997512</v>
      </c>
      <c r="O19" s="44" t="s">
        <v>91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ht="54" spans="1:31">
      <c r="A20" s="11">
        <v>3.5</v>
      </c>
      <c r="B20" s="22" t="s">
        <v>99</v>
      </c>
      <c r="C20" s="23" t="s">
        <v>100</v>
      </c>
      <c r="D20" s="11" t="s">
        <v>69</v>
      </c>
      <c r="E20" s="12">
        <v>9.56</v>
      </c>
      <c r="F20" s="13">
        <v>20</v>
      </c>
      <c r="G20" s="13">
        <f t="shared" si="5"/>
        <v>12.524</v>
      </c>
      <c r="H20" s="13">
        <v>12.4</v>
      </c>
      <c r="I20" s="43">
        <v>0.01</v>
      </c>
      <c r="J20" s="13">
        <v>2</v>
      </c>
      <c r="K20" s="13">
        <f t="shared" si="6"/>
        <v>2.07144</v>
      </c>
      <c r="L20" s="13">
        <f t="shared" si="7"/>
        <v>3.2935896</v>
      </c>
      <c r="M20" s="13">
        <f t="shared" si="8"/>
        <v>39.8890296</v>
      </c>
      <c r="N20" s="13">
        <f t="shared" si="9"/>
        <v>381.339122976</v>
      </c>
      <c r="O20" s="13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ht="67.5" spans="1:31">
      <c r="A21" s="11">
        <v>3.6</v>
      </c>
      <c r="B21" s="22" t="s">
        <v>101</v>
      </c>
      <c r="C21" s="23" t="s">
        <v>102</v>
      </c>
      <c r="D21" s="11" t="s">
        <v>69</v>
      </c>
      <c r="E21" s="12">
        <v>1.59</v>
      </c>
      <c r="F21" s="13">
        <v>20</v>
      </c>
      <c r="G21" s="13">
        <f t="shared" si="5"/>
        <v>12.524</v>
      </c>
      <c r="H21" s="13">
        <v>12.4</v>
      </c>
      <c r="I21" s="43">
        <v>0.01</v>
      </c>
      <c r="J21" s="13">
        <v>2</v>
      </c>
      <c r="K21" s="13">
        <f t="shared" si="6"/>
        <v>2.07144</v>
      </c>
      <c r="L21" s="13">
        <f t="shared" si="7"/>
        <v>3.2935896</v>
      </c>
      <c r="M21" s="13">
        <f t="shared" si="8"/>
        <v>39.8890296</v>
      </c>
      <c r="N21" s="13">
        <f t="shared" si="9"/>
        <v>63.423557064</v>
      </c>
      <c r="O21" s="13" t="s">
        <v>96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ht="88.5" customHeight="1" spans="1:31">
      <c r="A22" s="11">
        <v>3.7</v>
      </c>
      <c r="B22" s="22" t="s">
        <v>101</v>
      </c>
      <c r="C22" s="23" t="s">
        <v>103</v>
      </c>
      <c r="D22" s="11" t="s">
        <v>69</v>
      </c>
      <c r="E22" s="12">
        <f>3.54+2.92</f>
        <v>6.46</v>
      </c>
      <c r="F22" s="13">
        <v>20</v>
      </c>
      <c r="G22" s="13">
        <f t="shared" si="5"/>
        <v>12.524</v>
      </c>
      <c r="H22" s="13">
        <v>12.4</v>
      </c>
      <c r="I22" s="43">
        <v>0.01</v>
      </c>
      <c r="J22" s="13">
        <v>2</v>
      </c>
      <c r="K22" s="13">
        <f t="shared" si="6"/>
        <v>2.07144</v>
      </c>
      <c r="L22" s="13">
        <f t="shared" si="7"/>
        <v>3.2935896</v>
      </c>
      <c r="M22" s="13">
        <f t="shared" si="8"/>
        <v>39.8890296</v>
      </c>
      <c r="N22" s="13">
        <f t="shared" si="9"/>
        <v>257.683131216</v>
      </c>
      <c r="O22" s="13" t="s">
        <v>96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ht="22.5" customHeight="1" spans="1:31">
      <c r="A23" s="11">
        <v>3.8</v>
      </c>
      <c r="B23" s="14" t="s">
        <v>104</v>
      </c>
      <c r="C23" s="15" t="s">
        <v>105</v>
      </c>
      <c r="D23" s="11" t="s">
        <v>86</v>
      </c>
      <c r="E23" s="12">
        <f>(7.62+7.02)</f>
        <v>14.64</v>
      </c>
      <c r="F23" s="13">
        <v>120</v>
      </c>
      <c r="G23" s="13">
        <f t="shared" si="5"/>
        <v>76.5</v>
      </c>
      <c r="H23" s="13">
        <v>75</v>
      </c>
      <c r="I23" s="43">
        <v>0.02</v>
      </c>
      <c r="J23" s="13">
        <v>5</v>
      </c>
      <c r="K23" s="13">
        <f t="shared" si="6"/>
        <v>12.09</v>
      </c>
      <c r="L23" s="13">
        <f t="shared" si="7"/>
        <v>19.2231</v>
      </c>
      <c r="M23" s="13">
        <f t="shared" si="8"/>
        <v>232.8131</v>
      </c>
      <c r="N23" s="13">
        <f t="shared" si="9"/>
        <v>3408.383784</v>
      </c>
      <c r="O23" s="44" t="s">
        <v>91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ht="22.5" customHeight="1" spans="1:31">
      <c r="A24" s="11">
        <v>4</v>
      </c>
      <c r="B24" s="14" t="s">
        <v>106</v>
      </c>
      <c r="C24" s="14"/>
      <c r="D24" s="11" t="s">
        <v>107</v>
      </c>
      <c r="E24" s="12"/>
      <c r="F24" s="13"/>
      <c r="G24" s="13"/>
      <c r="H24" s="13"/>
      <c r="I24" s="13"/>
      <c r="J24" s="13"/>
      <c r="K24" s="13"/>
      <c r="L24" s="13"/>
      <c r="M24" s="13"/>
      <c r="N24" s="45">
        <f>SUM(N7:N23)</f>
        <v>31873.309078798</v>
      </c>
      <c r="O24" s="46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ht="72" customHeight="1" spans="1:31">
      <c r="A25" s="24" t="s">
        <v>108</v>
      </c>
      <c r="B25" s="25" t="s">
        <v>109</v>
      </c>
      <c r="C25" s="26" t="s">
        <v>63</v>
      </c>
      <c r="D25" s="24" t="s">
        <v>110</v>
      </c>
      <c r="E25" s="27"/>
      <c r="F25" s="27"/>
      <c r="G25" s="27"/>
      <c r="H25" s="27"/>
      <c r="I25" s="47"/>
      <c r="J25" s="27"/>
      <c r="K25" s="27"/>
      <c r="L25" s="27"/>
      <c r="M25" s="27"/>
      <c r="N25" s="27"/>
      <c r="O25" s="27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ht="55.5" customHeight="1" spans="1:31">
      <c r="A26" s="24">
        <v>1</v>
      </c>
      <c r="B26" s="25" t="s">
        <v>111</v>
      </c>
      <c r="C26" s="26" t="s">
        <v>112</v>
      </c>
      <c r="D26" s="24" t="s">
        <v>113</v>
      </c>
      <c r="E26" s="27">
        <v>2</v>
      </c>
      <c r="F26" s="27">
        <v>15</v>
      </c>
      <c r="G26" s="27">
        <v>85</v>
      </c>
      <c r="H26" s="27">
        <v>85</v>
      </c>
      <c r="I26" s="47">
        <v>0</v>
      </c>
      <c r="J26" s="27">
        <v>2</v>
      </c>
      <c r="K26" s="27">
        <v>6.12</v>
      </c>
      <c r="L26" s="27">
        <v>9.7308</v>
      </c>
      <c r="M26" s="27">
        <v>117.8508</v>
      </c>
      <c r="N26" s="27">
        <v>235.7016</v>
      </c>
      <c r="O26" s="27" t="s">
        <v>114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ht="55.5" customHeight="1" spans="1:31">
      <c r="A27" s="24">
        <v>2</v>
      </c>
      <c r="B27" s="25" t="s">
        <v>115</v>
      </c>
      <c r="C27" s="26" t="s">
        <v>116</v>
      </c>
      <c r="D27" s="24" t="s">
        <v>113</v>
      </c>
      <c r="E27" s="28">
        <v>8</v>
      </c>
      <c r="F27" s="27">
        <v>15</v>
      </c>
      <c r="G27" s="27">
        <v>35</v>
      </c>
      <c r="H27" s="27">
        <v>35</v>
      </c>
      <c r="I27" s="47">
        <v>0</v>
      </c>
      <c r="J27" s="27">
        <v>2</v>
      </c>
      <c r="K27" s="27">
        <v>3.12</v>
      </c>
      <c r="L27" s="27">
        <v>4.9608</v>
      </c>
      <c r="M27" s="27">
        <v>60.0808</v>
      </c>
      <c r="N27" s="27">
        <v>480.6464</v>
      </c>
      <c r="O27" s="27" t="s">
        <v>114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ht="55.5" customHeight="1" spans="1:31">
      <c r="A28" s="24">
        <v>3</v>
      </c>
      <c r="B28" s="29" t="s">
        <v>117</v>
      </c>
      <c r="C28" s="26" t="s">
        <v>118</v>
      </c>
      <c r="D28" s="24" t="s">
        <v>113</v>
      </c>
      <c r="E28" s="28">
        <v>5</v>
      </c>
      <c r="F28" s="27">
        <v>15</v>
      </c>
      <c r="G28" s="27">
        <v>35</v>
      </c>
      <c r="H28" s="27">
        <v>35</v>
      </c>
      <c r="I28" s="47">
        <v>0</v>
      </c>
      <c r="J28" s="27">
        <v>2</v>
      </c>
      <c r="K28" s="27">
        <v>3.12</v>
      </c>
      <c r="L28" s="27">
        <v>4.9608</v>
      </c>
      <c r="M28" s="27">
        <v>60.0808</v>
      </c>
      <c r="N28" s="27">
        <v>300.404</v>
      </c>
      <c r="O28" s="27" t="s">
        <v>114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ht="55.5" customHeight="1" spans="1:31">
      <c r="A29" s="24">
        <v>4</v>
      </c>
      <c r="B29" s="25" t="s">
        <v>119</v>
      </c>
      <c r="C29" s="26" t="s">
        <v>120</v>
      </c>
      <c r="D29" s="24" t="s">
        <v>113</v>
      </c>
      <c r="E29" s="28">
        <v>1</v>
      </c>
      <c r="F29" s="27">
        <v>200</v>
      </c>
      <c r="G29" s="27">
        <v>2000</v>
      </c>
      <c r="H29" s="27">
        <v>2000</v>
      </c>
      <c r="I29" s="47">
        <v>0</v>
      </c>
      <c r="J29" s="27">
        <v>2</v>
      </c>
      <c r="K29" s="27">
        <v>132.12</v>
      </c>
      <c r="L29" s="27">
        <v>210.0708</v>
      </c>
      <c r="M29" s="27">
        <v>2544.1908</v>
      </c>
      <c r="N29" s="27">
        <v>2544.1908</v>
      </c>
      <c r="O29" s="27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ht="22.5" customHeight="1" spans="1:31">
      <c r="A30" s="30">
        <v>5</v>
      </c>
      <c r="B30" s="31" t="s">
        <v>121</v>
      </c>
      <c r="C30" s="32"/>
      <c r="D30" s="30" t="s">
        <v>113</v>
      </c>
      <c r="E30" s="33">
        <v>1</v>
      </c>
      <c r="F30" s="34">
        <v>15</v>
      </c>
      <c r="G30" s="34">
        <v>50</v>
      </c>
      <c r="H30" s="34">
        <v>50</v>
      </c>
      <c r="I30" s="48">
        <v>0</v>
      </c>
      <c r="J30" s="34">
        <v>2</v>
      </c>
      <c r="K30" s="34">
        <v>4.02</v>
      </c>
      <c r="L30" s="34">
        <v>6.3918</v>
      </c>
      <c r="M30" s="34">
        <v>77.4118</v>
      </c>
      <c r="N30" s="34">
        <v>77.4118</v>
      </c>
      <c r="O30" s="34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ht="55.5" customHeight="1" spans="1:31">
      <c r="A31" s="24">
        <v>6</v>
      </c>
      <c r="B31" s="29" t="s">
        <v>122</v>
      </c>
      <c r="C31" s="26" t="s">
        <v>123</v>
      </c>
      <c r="D31" s="24" t="s">
        <v>113</v>
      </c>
      <c r="E31" s="28">
        <v>2</v>
      </c>
      <c r="F31" s="27">
        <v>120</v>
      </c>
      <c r="G31" s="27">
        <v>600</v>
      </c>
      <c r="H31" s="27">
        <v>600</v>
      </c>
      <c r="I31" s="47">
        <v>0</v>
      </c>
      <c r="J31" s="27">
        <v>5</v>
      </c>
      <c r="K31" s="27">
        <v>43.5</v>
      </c>
      <c r="L31" s="27">
        <v>69.165</v>
      </c>
      <c r="M31" s="27">
        <v>837.665</v>
      </c>
      <c r="N31" s="27">
        <v>1675.33</v>
      </c>
      <c r="O31" s="27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ht="55.5" customHeight="1" spans="1:31">
      <c r="A32" s="24">
        <v>7</v>
      </c>
      <c r="B32" s="29" t="s">
        <v>124</v>
      </c>
      <c r="C32" s="26" t="s">
        <v>125</v>
      </c>
      <c r="D32" s="24" t="s">
        <v>86</v>
      </c>
      <c r="E32" s="27">
        <v>8.655</v>
      </c>
      <c r="F32" s="27">
        <v>8</v>
      </c>
      <c r="G32" s="27">
        <v>25</v>
      </c>
      <c r="H32" s="27">
        <v>25</v>
      </c>
      <c r="I32" s="47">
        <v>0</v>
      </c>
      <c r="J32" s="27">
        <v>2</v>
      </c>
      <c r="K32" s="27">
        <v>2.1</v>
      </c>
      <c r="L32" s="27">
        <v>3.339</v>
      </c>
      <c r="M32" s="27">
        <v>40.439</v>
      </c>
      <c r="N32" s="27">
        <v>349.999545</v>
      </c>
      <c r="O32" s="27" t="s">
        <v>126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ht="55.5" customHeight="1" spans="1:31">
      <c r="A33" s="24">
        <v>8</v>
      </c>
      <c r="B33" s="25" t="s">
        <v>127</v>
      </c>
      <c r="C33" s="26" t="s">
        <v>128</v>
      </c>
      <c r="D33" s="24" t="s">
        <v>113</v>
      </c>
      <c r="E33" s="28">
        <v>1</v>
      </c>
      <c r="F33" s="27">
        <v>8</v>
      </c>
      <c r="G33" s="27">
        <v>30</v>
      </c>
      <c r="H33" s="27">
        <v>30</v>
      </c>
      <c r="I33" s="47">
        <v>0</v>
      </c>
      <c r="J33" s="27">
        <v>2</v>
      </c>
      <c r="K33" s="27">
        <v>2.4</v>
      </c>
      <c r="L33" s="27">
        <v>3.816</v>
      </c>
      <c r="M33" s="27">
        <v>46.216</v>
      </c>
      <c r="N33" s="27">
        <v>46.216</v>
      </c>
      <c r="O33" s="24" t="s">
        <v>129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ht="55.5" customHeight="1" spans="1:31">
      <c r="A34" s="24">
        <v>9</v>
      </c>
      <c r="B34" s="25" t="s">
        <v>130</v>
      </c>
      <c r="C34" s="26" t="s">
        <v>131</v>
      </c>
      <c r="D34" s="24" t="s">
        <v>113</v>
      </c>
      <c r="E34" s="28">
        <v>1</v>
      </c>
      <c r="F34" s="27">
        <v>8</v>
      </c>
      <c r="G34" s="27">
        <v>20</v>
      </c>
      <c r="H34" s="27">
        <v>20</v>
      </c>
      <c r="I34" s="47">
        <v>0</v>
      </c>
      <c r="J34" s="27">
        <v>2</v>
      </c>
      <c r="K34" s="27">
        <v>1.8</v>
      </c>
      <c r="L34" s="27">
        <v>2.862</v>
      </c>
      <c r="M34" s="27">
        <v>34.662</v>
      </c>
      <c r="N34" s="27">
        <v>34.662</v>
      </c>
      <c r="O34" s="24" t="s">
        <v>129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t="72" customHeight="1" spans="1:31">
      <c r="A35" s="24">
        <v>10</v>
      </c>
      <c r="B35" s="25" t="s">
        <v>132</v>
      </c>
      <c r="C35" s="26" t="s">
        <v>133</v>
      </c>
      <c r="D35" s="24" t="s">
        <v>113</v>
      </c>
      <c r="E35" s="24">
        <v>2</v>
      </c>
      <c r="F35" s="27">
        <v>10</v>
      </c>
      <c r="G35" s="27">
        <v>13</v>
      </c>
      <c r="H35" s="27">
        <v>13</v>
      </c>
      <c r="I35" s="47">
        <v>0</v>
      </c>
      <c r="J35" s="27">
        <v>2</v>
      </c>
      <c r="K35" s="27">
        <v>1.5</v>
      </c>
      <c r="L35" s="27">
        <v>2.385</v>
      </c>
      <c r="M35" s="27">
        <v>28.885</v>
      </c>
      <c r="N35" s="27">
        <v>57.77</v>
      </c>
      <c r="O35" s="24" t="s">
        <v>129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t="55.5" customHeight="1" spans="1:31">
      <c r="A36" s="24">
        <v>11</v>
      </c>
      <c r="B36" s="25" t="s">
        <v>134</v>
      </c>
      <c r="C36" s="26" t="s">
        <v>135</v>
      </c>
      <c r="D36" s="24" t="s">
        <v>113</v>
      </c>
      <c r="E36" s="27">
        <v>2</v>
      </c>
      <c r="F36" s="27">
        <v>10</v>
      </c>
      <c r="G36" s="27">
        <v>22</v>
      </c>
      <c r="H36" s="27">
        <v>22</v>
      </c>
      <c r="I36" s="47">
        <v>0</v>
      </c>
      <c r="J36" s="27">
        <v>2</v>
      </c>
      <c r="K36" s="27">
        <v>2.04</v>
      </c>
      <c r="L36" s="27">
        <v>3.2436</v>
      </c>
      <c r="M36" s="27">
        <v>39.2836</v>
      </c>
      <c r="N36" s="27">
        <v>78.5672</v>
      </c>
      <c r="O36" s="24" t="s">
        <v>129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t="72" customHeight="1" spans="1:31">
      <c r="A37" s="24">
        <v>12</v>
      </c>
      <c r="B37" s="25" t="s">
        <v>136</v>
      </c>
      <c r="C37" s="26" t="s">
        <v>137</v>
      </c>
      <c r="D37" s="27" t="s">
        <v>86</v>
      </c>
      <c r="E37" s="27">
        <v>13.1</v>
      </c>
      <c r="F37" s="27">
        <v>10</v>
      </c>
      <c r="G37" s="27">
        <v>8.08</v>
      </c>
      <c r="H37" s="27">
        <v>8</v>
      </c>
      <c r="I37" s="47">
        <v>0.01</v>
      </c>
      <c r="J37" s="27">
        <v>2</v>
      </c>
      <c r="K37" s="27">
        <v>1.2048</v>
      </c>
      <c r="L37" s="27">
        <v>1.915632</v>
      </c>
      <c r="M37" s="27">
        <v>23.200432</v>
      </c>
      <c r="N37" s="27">
        <v>303.9256592</v>
      </c>
      <c r="O37" s="24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ht="72" customHeight="1" spans="1:31">
      <c r="A38" s="24">
        <v>13</v>
      </c>
      <c r="B38" s="25" t="s">
        <v>136</v>
      </c>
      <c r="C38" s="26" t="s">
        <v>138</v>
      </c>
      <c r="D38" s="27" t="s">
        <v>86</v>
      </c>
      <c r="E38" s="27">
        <v>30.355</v>
      </c>
      <c r="F38" s="27">
        <v>10</v>
      </c>
      <c r="G38" s="27">
        <v>6.06</v>
      </c>
      <c r="H38" s="27">
        <v>6</v>
      </c>
      <c r="I38" s="47">
        <v>0.01</v>
      </c>
      <c r="J38" s="27">
        <v>2</v>
      </c>
      <c r="K38" s="27">
        <v>1.0836</v>
      </c>
      <c r="L38" s="27">
        <v>1.722924</v>
      </c>
      <c r="M38" s="27">
        <v>20.866524</v>
      </c>
      <c r="N38" s="27">
        <v>633.40333602</v>
      </c>
      <c r="O38" s="24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t="72" customHeight="1" spans="1:31">
      <c r="A39" s="24">
        <v>14</v>
      </c>
      <c r="B39" s="25" t="s">
        <v>136</v>
      </c>
      <c r="C39" s="26" t="s">
        <v>139</v>
      </c>
      <c r="D39" s="27" t="s">
        <v>86</v>
      </c>
      <c r="E39" s="27">
        <v>13.16</v>
      </c>
      <c r="F39" s="27">
        <v>12</v>
      </c>
      <c r="G39" s="27">
        <v>10.1</v>
      </c>
      <c r="H39" s="27">
        <v>10</v>
      </c>
      <c r="I39" s="47">
        <v>0.01</v>
      </c>
      <c r="J39" s="27">
        <v>2</v>
      </c>
      <c r="K39" s="27">
        <v>1.446</v>
      </c>
      <c r="L39" s="27">
        <v>2.29914</v>
      </c>
      <c r="M39" s="27">
        <v>27.84514</v>
      </c>
      <c r="N39" s="27">
        <v>366.4420424</v>
      </c>
      <c r="O39" s="24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ht="55.5" customHeight="1" spans="1:31">
      <c r="A40" s="24">
        <v>15</v>
      </c>
      <c r="B40" s="25" t="s">
        <v>140</v>
      </c>
      <c r="C40" s="26" t="s">
        <v>141</v>
      </c>
      <c r="D40" s="27" t="s">
        <v>86</v>
      </c>
      <c r="E40" s="27">
        <v>14.1</v>
      </c>
      <c r="F40" s="27">
        <v>1.5</v>
      </c>
      <c r="G40" s="27">
        <v>2</v>
      </c>
      <c r="H40" s="27">
        <v>2</v>
      </c>
      <c r="I40" s="47">
        <v>0</v>
      </c>
      <c r="J40" s="27">
        <v>1</v>
      </c>
      <c r="K40" s="27">
        <v>0.27</v>
      </c>
      <c r="L40" s="27">
        <v>0.4293</v>
      </c>
      <c r="M40" s="27">
        <v>5.1993</v>
      </c>
      <c r="N40" s="27">
        <v>73.31013</v>
      </c>
      <c r="O40" s="27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ht="55.5" customHeight="1" spans="1:31">
      <c r="A41" s="24">
        <v>16</v>
      </c>
      <c r="B41" s="25" t="s">
        <v>142</v>
      </c>
      <c r="C41" s="26" t="s">
        <v>143</v>
      </c>
      <c r="D41" s="27" t="s">
        <v>86</v>
      </c>
      <c r="E41" s="27">
        <v>39.48</v>
      </c>
      <c r="F41" s="27">
        <v>1</v>
      </c>
      <c r="G41" s="27">
        <v>3</v>
      </c>
      <c r="H41" s="27">
        <v>3</v>
      </c>
      <c r="I41" s="47">
        <v>0</v>
      </c>
      <c r="J41" s="27">
        <v>0.1</v>
      </c>
      <c r="K41" s="27">
        <v>0.246</v>
      </c>
      <c r="L41" s="27">
        <v>0.39114</v>
      </c>
      <c r="M41" s="27">
        <v>4.73714</v>
      </c>
      <c r="N41" s="27">
        <v>187.0222872</v>
      </c>
      <c r="O41" s="27" t="s">
        <v>144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ht="55.5" customHeight="1" spans="1:31">
      <c r="A42" s="24">
        <v>17</v>
      </c>
      <c r="B42" s="25" t="s">
        <v>142</v>
      </c>
      <c r="C42" s="26" t="s">
        <v>145</v>
      </c>
      <c r="D42" s="27" t="s">
        <v>86</v>
      </c>
      <c r="E42" s="27">
        <v>91.07</v>
      </c>
      <c r="F42" s="27">
        <v>1</v>
      </c>
      <c r="G42" s="27">
        <v>2.1</v>
      </c>
      <c r="H42" s="27">
        <v>2.1</v>
      </c>
      <c r="I42" s="47">
        <v>0</v>
      </c>
      <c r="J42" s="27">
        <v>0.1</v>
      </c>
      <c r="K42" s="27">
        <v>0.192</v>
      </c>
      <c r="L42" s="27">
        <v>0.30528</v>
      </c>
      <c r="M42" s="27">
        <v>3.69728</v>
      </c>
      <c r="N42" s="27">
        <v>336.7112896</v>
      </c>
      <c r="O42" s="27" t="s">
        <v>144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ht="22.5" customHeight="1" spans="1:31">
      <c r="A43" s="24">
        <v>18</v>
      </c>
      <c r="B43" s="25" t="s">
        <v>106</v>
      </c>
      <c r="C43" s="26"/>
      <c r="D43" s="24" t="s">
        <v>107</v>
      </c>
      <c r="E43" s="24"/>
      <c r="F43" s="24"/>
      <c r="G43" s="24"/>
      <c r="H43" s="24"/>
      <c r="I43" s="24"/>
      <c r="J43" s="24"/>
      <c r="K43" s="24"/>
      <c r="L43" s="24"/>
      <c r="M43" s="24"/>
      <c r="N43" s="49">
        <v>7781.71408942</v>
      </c>
      <c r="O43" s="24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ht="22.5" customHeight="1" spans="1:31">
      <c r="A44" s="8" t="s">
        <v>108</v>
      </c>
      <c r="B44" s="35" t="s">
        <v>146</v>
      </c>
      <c r="C44" s="36"/>
      <c r="D44" s="8"/>
      <c r="E44" s="9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ht="105" customHeight="1" spans="1:31">
      <c r="A45" s="8">
        <v>1</v>
      </c>
      <c r="B45" s="8" t="s">
        <v>67</v>
      </c>
      <c r="C45" s="38" t="s">
        <v>147</v>
      </c>
      <c r="D45" s="8" t="s">
        <v>69</v>
      </c>
      <c r="E45" s="39">
        <f>109.76+3.54816+21.9+2.024+21.61+19.66+1.518</f>
        <v>180.02016</v>
      </c>
      <c r="F45" s="10">
        <v>55</v>
      </c>
      <c r="G45" s="10">
        <f t="shared" ref="G45:G50" si="10">H45*(1+I45)</f>
        <v>63.24</v>
      </c>
      <c r="H45" s="10">
        <v>62</v>
      </c>
      <c r="I45" s="50">
        <v>0.02</v>
      </c>
      <c r="J45" s="10">
        <v>25</v>
      </c>
      <c r="K45" s="10">
        <f t="shared" ref="K45:K50" si="11">(F45+G45+J45)*0.06</f>
        <v>8.5944</v>
      </c>
      <c r="L45" s="10">
        <f t="shared" ref="L45:L50" si="12">(F45+G45+J45+K45)*0.09</f>
        <v>13.665096</v>
      </c>
      <c r="M45" s="10">
        <f t="shared" ref="M45:M50" si="13">F45+G45+J45+K45+L45</f>
        <v>165.499496</v>
      </c>
      <c r="N45" s="37">
        <f t="shared" ref="N45:N50" si="14">M45*E45</f>
        <v>29793.2457498394</v>
      </c>
      <c r="O45" s="10" t="s">
        <v>148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ht="105" customHeight="1" spans="1:31">
      <c r="A46" s="8">
        <v>2</v>
      </c>
      <c r="B46" s="8" t="s">
        <v>71</v>
      </c>
      <c r="C46" s="38" t="s">
        <v>149</v>
      </c>
      <c r="D46" s="8" t="s">
        <v>69</v>
      </c>
      <c r="E46" s="9"/>
      <c r="F46" s="10">
        <v>70</v>
      </c>
      <c r="G46" s="10">
        <f t="shared" si="10"/>
        <v>63.24</v>
      </c>
      <c r="H46" s="10">
        <v>62</v>
      </c>
      <c r="I46" s="50">
        <v>0.02</v>
      </c>
      <c r="J46" s="10">
        <v>25</v>
      </c>
      <c r="K46" s="10">
        <f t="shared" si="11"/>
        <v>9.4944</v>
      </c>
      <c r="L46" s="10">
        <f t="shared" si="12"/>
        <v>15.096096</v>
      </c>
      <c r="M46" s="10">
        <f t="shared" si="13"/>
        <v>182.830496</v>
      </c>
      <c r="N46" s="37">
        <f t="shared" si="14"/>
        <v>0</v>
      </c>
      <c r="O46" s="10" t="s">
        <v>148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ht="22.5" customHeight="1" spans="1:31">
      <c r="A47" s="8" t="s">
        <v>64</v>
      </c>
      <c r="B47" s="35" t="s">
        <v>150</v>
      </c>
      <c r="C47" s="36"/>
      <c r="D47" s="8"/>
      <c r="E47" s="9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ht="105" customHeight="1" spans="1:31">
      <c r="A48" s="8">
        <v>1</v>
      </c>
      <c r="B48" s="8" t="s">
        <v>151</v>
      </c>
      <c r="C48" s="38" t="s">
        <v>147</v>
      </c>
      <c r="D48" s="8" t="s">
        <v>69</v>
      </c>
      <c r="E48" s="9">
        <f>45.85+7.08+12.48</f>
        <v>65.41</v>
      </c>
      <c r="F48" s="10">
        <v>55</v>
      </c>
      <c r="G48" s="10">
        <f t="shared" si="10"/>
        <v>66.3</v>
      </c>
      <c r="H48" s="10">
        <v>65</v>
      </c>
      <c r="I48" s="50">
        <v>0.02</v>
      </c>
      <c r="J48" s="10">
        <v>25</v>
      </c>
      <c r="K48" s="10">
        <f t="shared" si="11"/>
        <v>8.778</v>
      </c>
      <c r="L48" s="10">
        <f t="shared" si="12"/>
        <v>13.95702</v>
      </c>
      <c r="M48" s="10">
        <f t="shared" si="13"/>
        <v>169.03502</v>
      </c>
      <c r="N48" s="37">
        <f t="shared" si="14"/>
        <v>11056.5806582</v>
      </c>
      <c r="O48" s="10" t="s">
        <v>148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ht="121.5" customHeight="1" spans="1:31">
      <c r="A49" s="8">
        <v>2</v>
      </c>
      <c r="B49" s="8" t="s">
        <v>152</v>
      </c>
      <c r="C49" s="38" t="s">
        <v>153</v>
      </c>
      <c r="D49" s="8" t="s">
        <v>69</v>
      </c>
      <c r="E49" s="9">
        <f>80.85+10.18+18.2</f>
        <v>109.23</v>
      </c>
      <c r="F49" s="10">
        <v>65</v>
      </c>
      <c r="G49" s="10">
        <f t="shared" si="10"/>
        <v>86.7</v>
      </c>
      <c r="H49" s="10">
        <v>85</v>
      </c>
      <c r="I49" s="50">
        <v>0.02</v>
      </c>
      <c r="J49" s="10">
        <v>25</v>
      </c>
      <c r="K49" s="10">
        <f t="shared" si="11"/>
        <v>10.602</v>
      </c>
      <c r="L49" s="10">
        <f t="shared" si="12"/>
        <v>16.85718</v>
      </c>
      <c r="M49" s="10">
        <f t="shared" si="13"/>
        <v>204.15918</v>
      </c>
      <c r="N49" s="37">
        <f t="shared" si="14"/>
        <v>22300.3072314</v>
      </c>
      <c r="O49" s="10" t="s">
        <v>148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ht="105" customHeight="1" spans="1:31">
      <c r="A50" s="8">
        <v>3</v>
      </c>
      <c r="B50" s="8" t="s">
        <v>154</v>
      </c>
      <c r="C50" s="38" t="s">
        <v>147</v>
      </c>
      <c r="D50" s="8" t="s">
        <v>69</v>
      </c>
      <c r="E50" s="9"/>
      <c r="F50" s="10">
        <v>80</v>
      </c>
      <c r="G50" s="10">
        <f t="shared" si="10"/>
        <v>90.9</v>
      </c>
      <c r="H50" s="10">
        <v>90</v>
      </c>
      <c r="I50" s="50">
        <v>0.01</v>
      </c>
      <c r="J50" s="10">
        <v>25</v>
      </c>
      <c r="K50" s="10">
        <f t="shared" si="11"/>
        <v>11.754</v>
      </c>
      <c r="L50" s="10">
        <f t="shared" si="12"/>
        <v>18.68886</v>
      </c>
      <c r="M50" s="10">
        <f t="shared" si="13"/>
        <v>226.34286</v>
      </c>
      <c r="N50" s="37">
        <f t="shared" si="14"/>
        <v>0</v>
      </c>
      <c r="O50" s="10" t="s">
        <v>148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ht="22.5" customHeight="1" spans="1:31">
      <c r="A51" s="8" t="s">
        <v>155</v>
      </c>
      <c r="B51" s="35" t="s">
        <v>73</v>
      </c>
      <c r="C51" s="36"/>
      <c r="D51" s="8"/>
      <c r="E51" s="9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ht="88.5" customHeight="1" spans="1:31">
      <c r="A52" s="8">
        <v>1</v>
      </c>
      <c r="B52" s="40" t="s">
        <v>74</v>
      </c>
      <c r="C52" s="41" t="s">
        <v>156</v>
      </c>
      <c r="D52" s="8" t="s">
        <v>69</v>
      </c>
      <c r="E52" s="9">
        <f>244.566+66.96+54.6</f>
        <v>366.126</v>
      </c>
      <c r="F52" s="10">
        <v>55</v>
      </c>
      <c r="G52" s="10">
        <f t="shared" ref="G52:G55" si="15">H52*(1+I52)</f>
        <v>66.3</v>
      </c>
      <c r="H52" s="10">
        <v>65</v>
      </c>
      <c r="I52" s="50">
        <v>0.02</v>
      </c>
      <c r="J52" s="10">
        <v>25</v>
      </c>
      <c r="K52" s="10">
        <f t="shared" ref="K52:K55" si="16">(F52+G52+J52)*0.06</f>
        <v>8.778</v>
      </c>
      <c r="L52" s="10">
        <f t="shared" ref="L52:L55" si="17">(F52+G52+J52+K52)*0.09</f>
        <v>13.95702</v>
      </c>
      <c r="M52" s="10">
        <f t="shared" ref="M52:M55" si="18">F52+G52+J52+K52+L52</f>
        <v>169.03502</v>
      </c>
      <c r="N52" s="37">
        <f t="shared" ref="N52:N55" si="19">M52*E52</f>
        <v>61888.11573252</v>
      </c>
      <c r="O52" s="10" t="s">
        <v>148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ht="72" customHeight="1" spans="1:31">
      <c r="A53" s="8">
        <v>2</v>
      </c>
      <c r="B53" s="8" t="s">
        <v>81</v>
      </c>
      <c r="C53" s="38" t="s">
        <v>82</v>
      </c>
      <c r="D53" s="8" t="s">
        <v>83</v>
      </c>
      <c r="E53" s="9">
        <f>14+2+2</f>
        <v>18</v>
      </c>
      <c r="F53" s="10">
        <v>155</v>
      </c>
      <c r="G53" s="10">
        <f t="shared" si="15"/>
        <v>459</v>
      </c>
      <c r="H53" s="10">
        <v>450</v>
      </c>
      <c r="I53" s="50">
        <v>0.02</v>
      </c>
      <c r="J53" s="10">
        <v>15</v>
      </c>
      <c r="K53" s="10">
        <f t="shared" si="16"/>
        <v>37.74</v>
      </c>
      <c r="L53" s="10">
        <f t="shared" si="17"/>
        <v>60.0066</v>
      </c>
      <c r="M53" s="10">
        <f t="shared" si="18"/>
        <v>726.7466</v>
      </c>
      <c r="N53" s="37">
        <f t="shared" si="19"/>
        <v>13081.4388</v>
      </c>
      <c r="O53" s="37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ht="39" customHeight="1" spans="1:31">
      <c r="A54" s="8">
        <v>3</v>
      </c>
      <c r="B54" s="8" t="s">
        <v>157</v>
      </c>
      <c r="C54" s="38" t="s">
        <v>158</v>
      </c>
      <c r="D54" s="8" t="s">
        <v>86</v>
      </c>
      <c r="E54" s="9">
        <f>184.24+39.12+35.17</f>
        <v>258.53</v>
      </c>
      <c r="F54" s="10">
        <v>6</v>
      </c>
      <c r="G54" s="10">
        <f t="shared" si="15"/>
        <v>6</v>
      </c>
      <c r="H54" s="10">
        <v>6</v>
      </c>
      <c r="I54" s="50">
        <v>0</v>
      </c>
      <c r="J54" s="10">
        <v>2</v>
      </c>
      <c r="K54" s="10">
        <f t="shared" si="16"/>
        <v>0.84</v>
      </c>
      <c r="L54" s="10">
        <f t="shared" si="17"/>
        <v>1.3356</v>
      </c>
      <c r="M54" s="10">
        <f t="shared" si="18"/>
        <v>16.1756</v>
      </c>
      <c r="N54" s="37">
        <f t="shared" si="19"/>
        <v>4181.877868</v>
      </c>
      <c r="O54" s="37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ht="39" customHeight="1" spans="1:31">
      <c r="A55" s="8">
        <v>4</v>
      </c>
      <c r="B55" s="8" t="s">
        <v>159</v>
      </c>
      <c r="C55" s="38" t="s">
        <v>160</v>
      </c>
      <c r="D55" s="8" t="s">
        <v>86</v>
      </c>
      <c r="E55" s="9"/>
      <c r="F55" s="10">
        <v>5</v>
      </c>
      <c r="G55" s="10">
        <f t="shared" si="15"/>
        <v>10.1</v>
      </c>
      <c r="H55" s="10">
        <v>10</v>
      </c>
      <c r="I55" s="50">
        <v>0.01</v>
      </c>
      <c r="J55" s="10">
        <v>0.1</v>
      </c>
      <c r="K55" s="10">
        <f t="shared" si="16"/>
        <v>0.912</v>
      </c>
      <c r="L55" s="10">
        <f t="shared" si="17"/>
        <v>1.45008</v>
      </c>
      <c r="M55" s="10">
        <f t="shared" si="18"/>
        <v>17.56208</v>
      </c>
      <c r="N55" s="37">
        <f t="shared" si="19"/>
        <v>0</v>
      </c>
      <c r="O55" s="37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ht="22.5" customHeight="1" spans="1:31">
      <c r="A56" s="8" t="s">
        <v>161</v>
      </c>
      <c r="B56" s="8" t="s">
        <v>106</v>
      </c>
      <c r="C56" s="8"/>
      <c r="D56" s="8" t="s">
        <v>107</v>
      </c>
      <c r="E56" s="9"/>
      <c r="F56" s="37"/>
      <c r="G56" s="37"/>
      <c r="H56" s="37"/>
      <c r="I56" s="37"/>
      <c r="J56" s="37"/>
      <c r="K56" s="37"/>
      <c r="L56" s="37"/>
      <c r="M56" s="37"/>
      <c r="N56" s="51">
        <f>SUM(N45:N55)</f>
        <v>142301.566039959</v>
      </c>
      <c r="O56" s="37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</sheetData>
  <mergeCells count="29">
    <mergeCell ref="A1:O1"/>
    <mergeCell ref="Q1:AE1"/>
    <mergeCell ref="F2:L2"/>
    <mergeCell ref="V2:AB2"/>
    <mergeCell ref="B24:C24"/>
    <mergeCell ref="B44:C44"/>
    <mergeCell ref="B47:C47"/>
    <mergeCell ref="B51:C51"/>
    <mergeCell ref="B56:C56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  <mergeCell ref="Q2:Q4"/>
    <mergeCell ref="R2:R4"/>
    <mergeCell ref="S2:S4"/>
    <mergeCell ref="T2:T4"/>
    <mergeCell ref="U2:U4"/>
    <mergeCell ref="V3:V4"/>
    <mergeCell ref="Z3:Z4"/>
    <mergeCell ref="AC2:AC4"/>
    <mergeCell ref="AD2:AD4"/>
    <mergeCell ref="AE2:AE4"/>
  </mergeCells>
  <conditionalFormatting sqref="D25">
    <cfRule type="cellIs" dxfId="0" priority="10" operator="equal">
      <formula>0</formula>
    </cfRule>
  </conditionalFormatting>
  <conditionalFormatting sqref="D26">
    <cfRule type="cellIs" dxfId="0" priority="9" operator="equal">
      <formula>0</formula>
    </cfRule>
  </conditionalFormatting>
  <conditionalFormatting sqref="D27">
    <cfRule type="cellIs" dxfId="0" priority="8" operator="equal">
      <formula>0</formula>
    </cfRule>
  </conditionalFormatting>
  <conditionalFormatting sqref="D28">
    <cfRule type="cellIs" dxfId="0" priority="7" operator="equal">
      <formula>0</formula>
    </cfRule>
  </conditionalFormatting>
  <conditionalFormatting sqref="D29">
    <cfRule type="cellIs" dxfId="0" priority="5" operator="equal">
      <formula>0</formula>
    </cfRule>
  </conditionalFormatting>
  <conditionalFormatting sqref="D30">
    <cfRule type="cellIs" dxfId="0" priority="4" operator="equal">
      <formula>0</formula>
    </cfRule>
  </conditionalFormatting>
  <conditionalFormatting sqref="D31">
    <cfRule type="cellIs" dxfId="0" priority="3" operator="equal">
      <formula>0</formula>
    </cfRule>
  </conditionalFormatting>
  <conditionalFormatting sqref="D32">
    <cfRule type="cellIs" dxfId="0" priority="6" operator="equal">
      <formula>0</formula>
    </cfRule>
  </conditionalFormatting>
  <conditionalFormatting sqref="D33">
    <cfRule type="cellIs" dxfId="0" priority="2" operator="equal">
      <formula>0</formula>
    </cfRule>
  </conditionalFormatting>
  <conditionalFormatting sqref="D34">
    <cfRule type="cellIs" dxfId="0" priority="1" operator="equal">
      <formula>0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进度款费用计算明细表（第2次）</vt:lpstr>
      <vt:lpstr>产值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2023-04-12T08:51:34Z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