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090" tabRatio="745"/>
  </bookViews>
  <sheets>
    <sheet name="进度款汇总" sheetId="23" r:id="rId1"/>
    <sheet name="清单明细" sheetId="21" r:id="rId2"/>
    <sheet name="汇总表0" sheetId="18" state="hidden" r:id="rId3"/>
    <sheet name="Sheet2" sheetId="20" state="hidden" r:id="rId4"/>
    <sheet name="清单报价说明" sheetId="7" state="hidden" r:id="rId5"/>
    <sheet name="汇总表" sheetId="9" state="hidden" r:id="rId6"/>
    <sheet name="Sheet1" sheetId="19" state="hidden" r:id="rId7"/>
    <sheet name="装饰工程" sheetId="12" state="hidden" r:id="rId8"/>
    <sheet name="安装工程" sheetId="11" state="hidden" r:id="rId9"/>
    <sheet name="04、增加示范区弱电工程" sheetId="22" state="hidden" r:id="rId10"/>
    <sheet name="门头钢结构工程量计算" sheetId="13" state="hidden" r:id="rId11"/>
  </sheets>
  <externalReferences>
    <externalReference r:id="rId12"/>
    <externalReference r:id="rId13"/>
  </externalReferences>
  <definedNames>
    <definedName name="_xlnm._FilterDatabase" localSheetId="1" hidden="1">清单明细!$A$3:$Q$501</definedName>
    <definedName name="_xlnm._FilterDatabase" localSheetId="7" hidden="1">装饰工程!$A$5:$Q$350</definedName>
    <definedName name="_xlnm._FilterDatabase" localSheetId="8" hidden="1">安装工程!$A$5:$P$239</definedName>
    <definedName name="_xlnm._FilterDatabase" localSheetId="10" hidden="1">门头钢结构工程量计算!$A$2:$G$22</definedName>
    <definedName name="_xlnm.Print_Area" localSheetId="4">清单报价说明!$A$1:$B$22</definedName>
    <definedName name="_xlnm.Print_Titles" localSheetId="7">装饰工程!$1:$5</definedName>
    <definedName name="_xlnm.Print_Titles" localSheetId="8">安装工程!$1:$5</definedName>
    <definedName name="_xlnm.Print_Area" localSheetId="7">装饰工程!$A$1:$P$350</definedName>
    <definedName name="_xlnm.Print_Area" localSheetId="5">汇总表!$A$1:$F$15</definedName>
    <definedName name="_xlnm.Print_Area" localSheetId="2">汇总表0!$A$1:$D$6</definedName>
    <definedName name="_xlnm.Print_Area" localSheetId="8">安装工程!$A$1:$P$239</definedName>
    <definedName name="_xlnm.Print_Area" localSheetId="6">Sheet1!$A$1:$I$53</definedName>
    <definedName name="_xlnm.Print_Area" localSheetId="3">Sheet2!$A$1:$I$55</definedName>
    <definedName name="_xlnm.Print_Area" localSheetId="9">'04、增加示范区弱电工程'!$A$1:$O$26</definedName>
  </definedNames>
  <calcPr calcId="144525"/>
</workbook>
</file>

<file path=xl/sharedStrings.xml><?xml version="1.0" encoding="utf-8"?>
<sst xmlns="http://schemas.openxmlformats.org/spreadsheetml/2006/main" count="1798" uniqueCount="631">
  <si>
    <t>工程进度款费用计算明细表-售楼部精装修浩德装饰</t>
  </si>
  <si>
    <t>序号</t>
  </si>
  <si>
    <t>分项名称</t>
  </si>
  <si>
    <t>暂定/固定合同价
(元)</t>
  </si>
  <si>
    <t>合同总工程量</t>
  </si>
  <si>
    <t>合同单价</t>
  </si>
  <si>
    <t>累计已审批进度款（元）</t>
  </si>
  <si>
    <t>本次申请应付款（元）</t>
  </si>
  <si>
    <t>累计应付款（含本次申请，元)</t>
  </si>
  <si>
    <t>累计实付款
(元)</t>
  </si>
  <si>
    <t>累计已批未付 (不含本次申请，元)</t>
  </si>
  <si>
    <t>本次付款形象进度简述</t>
  </si>
  <si>
    <t>累计已审批工程量</t>
  </si>
  <si>
    <t>累计已审批款</t>
  </si>
  <si>
    <t>本次应付工程量</t>
  </si>
  <si>
    <t>合同节点比例</t>
  </si>
  <si>
    <t>本次应付款</t>
  </si>
  <si>
    <t>应申请总金额</t>
  </si>
  <si>
    <t>累计申请比例</t>
  </si>
  <si>
    <t>装饰工程</t>
  </si>
  <si>
    <t>安装工程</t>
  </si>
  <si>
    <t>进度款合计</t>
  </si>
  <si>
    <t>工程进度款费用计算明细表</t>
  </si>
  <si>
    <t>项目特征描述</t>
  </si>
  <si>
    <t>按中标清单填写</t>
  </si>
  <si>
    <t>填写累计已审批的量</t>
  </si>
  <si>
    <t>按已审批金额填写</t>
  </si>
  <si>
    <t>根据形象进度填写</t>
  </si>
  <si>
    <t>按合同节点填写比例</t>
  </si>
  <si>
    <t>按合同付款节点计算</t>
  </si>
  <si>
    <t>自动计算</t>
  </si>
  <si>
    <t>截至付款计算时，按财务实际支付金额填写</t>
  </si>
  <si>
    <t>已审批-实付</t>
  </si>
  <si>
    <t>隐藏该行</t>
  </si>
  <si>
    <t xml:space="preserve">   </t>
  </si>
  <si>
    <t>吊顶天棚</t>
  </si>
  <si>
    <t>1.白色乳胶漆天棚（各种颜色）
2.部位：储藏室、总监办公室、经理办公室、按揭办公室、休息室、会议室、男、女更衣室
3.膨胀螺栓,10钢筋吊杆,双向吊点,900~1200
4.轻钢主龙骨(金属吊件连接)
5.轻钢次龙骨、收边轻钢龙骨(专用连接挂件)转换层可以取消，采用反支撑
6.12mm阻燃板基层+9.5mm厚石膏板基层
7.钉眼防锈处理,石膏板接缝处理,阴、阳角护角收边
8.刮白胶腻子找平二遍、打磨
9.刷抗碱度漆一道
10.刷乳胶漆一道
11.喷乳胶漆一道
12.含风口、灯孔等
13.作法详见-1F-TH-04节点05、11
14.其它说明：满足规范和设计图纸要求</t>
  </si>
  <si>
    <t>1.米白色防水乳胶漆吊顶（各种颜色）
2.部位：保洁室
3.膨胀螺栓,10钢筋吊杆,双向吊点,900~1200
4.轻钢主龙骨(金属吊件连接)
5.轻钢次龙骨、收边轻钢龙骨(专用连接挂件)
6.9.5mm厚防水石膏板基层+12mm阻燃板基层
7.钉眼防锈处理,石膏板接缝处理,阴、阳角护角收边
8.刮白胶腻子找平二遍、打磨
9.刷抗碱度漆一道
10.刷乳胶漆一道
11.喷乳胶漆一道
12.含风口、灯孔等
13.作法详见-1F-TH-04节点12
14.其它说明：满足规范和设计图纸要求</t>
  </si>
  <si>
    <t>增加示范区弱电工程</t>
  </si>
  <si>
    <t>约谈记录钢结构楼梯</t>
  </si>
  <si>
    <t>·</t>
  </si>
  <si>
    <t>洛阳市洛龙区伊河湾项目售楼部室内精装及外幕墙工程造价汇总表</t>
  </si>
  <si>
    <t>序 号</t>
  </si>
  <si>
    <t>项目名称</t>
  </si>
  <si>
    <t>金额 (元)</t>
  </si>
  <si>
    <t>备注</t>
  </si>
  <si>
    <t>伊河湾项目售楼部室内精装饰工程</t>
  </si>
  <si>
    <t>伊河湾项目售楼部外幕墙工程</t>
  </si>
  <si>
    <t>合计</t>
  </si>
  <si>
    <t>工程量清单报价说明</t>
  </si>
  <si>
    <t>一、工程概况:</t>
  </si>
  <si>
    <t>工程概况:河南省洛阳市浩德地产伊河湾营销中心装饰工程</t>
  </si>
  <si>
    <t>其他事项：
（1）施工现场的实际情况：投标单位自行勘察。
（2）交通运输情况：投标单位自行勘察。
（3）自然地理条件及环境保护要求：见招标文件中合同条款。
（4）施工工期：见招标文件/合同文件。
（5）水电接口：甲方现场提供水电接驳点，自行接驳、水电费在综合单价内已包括。</t>
  </si>
  <si>
    <t>二、投标报价说明:</t>
  </si>
  <si>
    <t>投标人应对本工程招标范围、内容、技术说明、采用规范要求、合同条件、质量标准、工期进度要求、施工现场情况、工程所在地的周围环境、交通等与工程施工有关的所有情况进行详细了解和研究,自行组织现场踏勘了解施工现场实际情况并调查市场价格及工程所在地相关建筑市场管理政策、法律和规定，根据自行编制的施工组织设计或施工方案，结合本企业的自身技术资质情况、经济物质资源情况、经营能力、组织管理能力，或参考项目所在地有关计价规则、技术装备水平、管理水平，工程实际情况、风险程度等自主报价，投标报价被认为能够全面履行应尽的义务和应承担的责任。</t>
  </si>
  <si>
    <t>工地周围环境、交通道路、现场地质资料、周围地下管网、现场条件、招标文件、承包范围、施工组织设计、施工技术措施、施工场地硬化、安全维护、文明工地施工措施，或参考郑州市有关地方性技术、安全、文明施工要求规定（如商品混凝土、预拌砂浆、扬尘治理、防霾治霾等），投标人作为一个有经验的承包商可以预见的与工程施工有关的一切因素，均应在投标报价中统一考虑，不再另外计取任何其他费用。</t>
  </si>
  <si>
    <t>投标人的投标报价必须在合理范围内，不允许不平衡报价，不允许对相同的清单项报不同的价格。如投标人的某些综合单价与市场价格相差较大，招标人有权要求投标人对其作出澄清说明，并且招标人有权在中标后对其单价进行平衡调整；如出现相同清单项报不同单价，招标人有权按照最低价格执行。</t>
  </si>
  <si>
    <t>工程量清单投标报价表中列明的所有需要填报的单价和总价，投标人均应填报。投标报价清单上，无论工程量是否列明，有无填写单价或合价项目，没有列出的费用，固定总价包干部分视为已分配到有关项目的单价或合价中（不得以图纸设计深度不足、图纸设计与规范矛盾等理由在合同承包范围内提出因工程量的增减而调整合同总价），如工程中确实发生,招标人视为该项费用已全部包含在工程量清单的其它项目单价或总价中。综合单价包干部分工程量据实结算。投标人应仔细检查投标总报价各部分的金额合计应等于总金额。</t>
  </si>
  <si>
    <t>清单项目特征描述中对其基层、面层的做法及节点要求仅为概括描述，详细内容均以施工图纸、规范技术要求、现场技术、施工工艺为准，投标人作为一个有经验的承包商已充分考虑完成本工程所需的全部施工及措施费用，若清单特征中无列项的，视为已包含在其他费中。</t>
  </si>
  <si>
    <t>投标人应认真阅读招标文件的全部内容，如有错误和疑义，请以书面形式提出，如没有提出，则表明对招标文件的全部内容已理解并且接受，对此产生的全部责任由投标人承担。投标人必须按招标文件要求进行报价，不得对招标文件内容进行实质性改变，如出现投标文件同招标文件不一致的地方以招标文件为准，表格中的数字均有公式链接关系，请投标人自行检查，保证其正确性，否则因数据链接导致的错误责任由投标人承担。</t>
  </si>
  <si>
    <t>本招标清单所列清单项各投标人不得调整，招标人提供参考清单工程量，投标人根据招标人提供的招标范围、承包内容、施工图纸等资料対参考工程量进行复核，投标人对投标工程量的准确性负责，投标工程量偏差的风险在包干总价范围内不予调整；招标人提供的表格格式、序号、清单项目等投标人如确认有明显错误或漏项时需在投标答疑时以书面形式提出，经招标人确认书面回复后统一调整。</t>
  </si>
  <si>
    <t>投标人填报的综合单价包含人工费、材料费、机械费、管理费、利润、规费、措施费、风险、增值税等不含增值税的一切费用，并考虑合同文件中明示或暗示的所有责任、义务因素涉及的费用，详见合同文件模板；若承包范围发生变化，合同内有相同或相似综合单价的项目仍需执行原合同约定的综合单价。</t>
  </si>
  <si>
    <t>招标文件中的合同条款将作为中标后的施工合同，请仔细阅读并在报价中充分考虑，一切以合同条款为准。</t>
  </si>
  <si>
    <t>三、工程量清单编制依据及计算规则</t>
  </si>
  <si>
    <t>本清单工程量依据招标文件、招标图纸计算，采用含增值税综合单价格式报价，增值税率在投标报价报价表中单独列出，计入投标总报价。增值税税率若发生调整时按不含增值税单价不变的原则进行调整单价和总价；</t>
  </si>
  <si>
    <t>清单中涉及以面积计量的项目，按建筑套内(内墙皮)计算面积为准。</t>
  </si>
  <si>
    <t>工程量计算规则除另有说明外,执行《建设工程工程量清单计算规范》GB 50854-2013。</t>
  </si>
  <si>
    <t>四、其他计价说明</t>
  </si>
  <si>
    <t>精装修施工范围：一层及负一层墙面地面天棚装修，不含成品装饰摆件</t>
  </si>
  <si>
    <r>
      <rPr>
        <sz val="10"/>
        <color rgb="FFFF0000"/>
        <rFont val="宋体"/>
        <charset val="134"/>
      </rPr>
      <t>精装修安装部分施工范围：
1</t>
    </r>
    <r>
      <rPr>
        <b/>
        <sz val="10"/>
        <color rgb="FFFF0000"/>
        <rFont val="宋体"/>
        <charset val="134"/>
      </rPr>
      <t>、总配电箱ZAP-10#进线不在本次招标范围，总配电箱及N1、N2、N4、N7回路配管及电缆在本次招标范围
2、强电部分包含精装电气图纸范围内的照明配电箱（含）出线回路配管、配线、接线盒、灯具、开关、插座、温控开关以及营销中心所有强电线槽</t>
    </r>
    <r>
      <rPr>
        <sz val="10"/>
        <color rgb="FFFF0000"/>
        <rFont val="宋体"/>
        <charset val="134"/>
      </rPr>
      <t xml:space="preserve">
3、弱电部分包含相应图纸范围内的弱电箱（含）之后综合布线系统、监控门禁系统、背景音乐系统全部配管、配线、设备以及营销中心所有弱电线槽
4、给排水部分包含相应图纸范围内的给排水管线及洁具，图中注明原土建预留部分不在本次招标范围
5、通风空调部分包含相应图纸范围内的空调室内外机、冷媒管系统、冷凝管系统以及卫生间排气扇、挡烟垂壁等
6、火灾报警与应急照明系统不在本次招标范围</t>
    </r>
  </si>
  <si>
    <t>以下内容为空白。</t>
  </si>
  <si>
    <t>河南省洛阳市浩德地产伊河湾营销中心装饰工程造价汇总表</t>
  </si>
  <si>
    <t>单位</t>
  </si>
  <si>
    <t>合计(元)</t>
  </si>
  <si>
    <t>一</t>
  </si>
  <si>
    <t>一层</t>
  </si>
  <si>
    <t>一层地面</t>
  </si>
  <si>
    <t>项</t>
  </si>
  <si>
    <t>一层天棚</t>
  </si>
  <si>
    <t>一层墙面</t>
  </si>
  <si>
    <t>二</t>
  </si>
  <si>
    <t>负一层</t>
  </si>
  <si>
    <t>负一层地面</t>
  </si>
  <si>
    <t>负一层天棚</t>
  </si>
  <si>
    <t>负一层墙面</t>
  </si>
  <si>
    <t>三</t>
  </si>
  <si>
    <t>四</t>
  </si>
  <si>
    <t>示范区弱电工程</t>
  </si>
  <si>
    <t>价格清单（伊河湾项目售楼部室内精装工程）（装饰部分）</t>
  </si>
  <si>
    <t>工程名称：河南省洛阳市浩德地产伊河湾营销中心装饰工程--装饰工程</t>
  </si>
  <si>
    <t>工程项目名称</t>
  </si>
  <si>
    <t>工程内容</t>
  </si>
  <si>
    <t>工程量
g</t>
  </si>
  <si>
    <t>其中：各子项构成（元）</t>
  </si>
  <si>
    <t>含税综合单价(元)
f=(a+b+c+d+e)</t>
  </si>
  <si>
    <t>合价(元)=g*f</t>
  </si>
  <si>
    <t>备 注
（品牌/厂家）</t>
  </si>
  <si>
    <t>人工费
a</t>
  </si>
  <si>
    <t>含损耗主材费小计</t>
  </si>
  <si>
    <t>主材费</t>
  </si>
  <si>
    <t>主材损耗率</t>
  </si>
  <si>
    <t>机械、辅材及其他c</t>
  </si>
  <si>
    <t>管理费及利润
d=(a+b+c)*费率</t>
  </si>
  <si>
    <t>税金
e=(a+b+c+d)*费率</t>
  </si>
  <si>
    <t>b=x*（1+y）</t>
  </si>
  <si>
    <t>x</t>
  </si>
  <si>
    <t xml:space="preserve"> y</t>
  </si>
  <si>
    <t>1层地面</t>
  </si>
  <si>
    <t>平面砂浆找平层</t>
  </si>
  <si>
    <r>
      <rPr>
        <sz val="9"/>
        <color rgb="FFFF0000"/>
        <rFont val="宋体"/>
        <charset val="134"/>
      </rPr>
      <t>1.30mm厚（最薄处）M20水泥砂浆找坡兼找平层。</t>
    </r>
    <r>
      <rPr>
        <sz val="9"/>
        <rFont val="宋体"/>
        <charset val="134"/>
      </rPr>
      <t xml:space="preserve">
2.部位：景观区一、景观区二
3.其它说明：满足规范和设计图纸要求</t>
    </r>
  </si>
  <si>
    <t>m2</t>
  </si>
  <si>
    <t>按答疑修改了清单描述，工程量未变。</t>
  </si>
  <si>
    <t>石材楼地面</t>
  </si>
  <si>
    <t>1.ST01石材地面
2.石材背面刷胶封闭（石材六面防护）
3.5-8mm厚石材专用粘结剂/水泥砂浆粘贴层(根据项目需求)
4.20mm厚1:3干硬性水泥砂浆调平层
5.界面剂、水泥砂浆一道
6.10mm厚1:2.5水泥砂浆找平层
7.钢筋混凝土楼板
8.部位：大堂、景观区一、景观区二
9.其它说明：满足规范和设计图纸要求</t>
  </si>
  <si>
    <t>1.ST02石材地面
2.石材背面刷胶封闭（石材六面防护）
3.5-8mm厚石材专用粘结剂/水泥砂浆粘贴层(根据项目需求)
4.20mm厚1:3干硬性水泥砂浆调平层
5.界面剂、水泥砂浆一道
6.10mm厚1:2.5水泥砂浆找平层
7.钢筋混凝土楼板
8.部位：大堂
9.其它说明：满足规范和设计图纸要求</t>
  </si>
  <si>
    <t>瓷砖楼地面（无防水）</t>
  </si>
  <si>
    <t>1.CT04瓷砖地面
2.瓷砖填缝剂处理
3.瓷砖(低吸水率硬质砖石需要背覆胶处理)
4.5mm专用瓷砖胶泥粘结层/水泥砂浆粘贴层
5.20mm厚1:3干硬性水泥砂浆调平层
6.界面剂、水泥砂浆一道
7.15mm厚1:2.5水泥砂浆找平层
8.钢筋混凝土楼板
9.部位：景观区一
10.其它说明：满足规范和设计图纸要求</t>
  </si>
  <si>
    <t>广东产</t>
  </si>
  <si>
    <t>1.50*50*5镀锌方钢龙骨
2.9mm厚阻燃板基层
3.ST02+ST07石材地面+MT03不锈钢饰面
4.部位：大堂、景观区一
5.详见1F-DT-06节点10、11
6.其它满足规范和设计图纸要求</t>
  </si>
  <si>
    <t>1层天棚</t>
  </si>
  <si>
    <t>1.木饰面天棚
2.钢筋混凝土楼板
3.膨胀螺栓,∅10钢筋吊杆,双向吊点,900~1200
4.轻钢主龙骨(金属吊件连接)
5.轻钢次龙骨、收边轻钢龙骨(专用连接挂件)
6.9.5mm厚石膏板基层
7.12mm厚阻燃夹板基层
8.木饰面
9.含风口、灯孔等
10.部位：景观区一、景观区二
11.作法详见1F-TH-01节点01、02
12.其它说明：满足规范和设计图纸要求</t>
  </si>
  <si>
    <t>龙骨驰龙、石膏板泰山</t>
  </si>
  <si>
    <t>吊顶天棚（跌级）</t>
  </si>
  <si>
    <t>1.木饰面天棚
2.钢筋混凝土楼板
3.膨胀螺栓,∅10钢筋吊杆,双向吊点,900~1200
4.轻钢主龙骨(金属吊件连接)
5.轻钢次龙骨、收边轻钢龙骨(专用连接挂件)
6.9.5mm厚石膏板基层
7.12mm厚阻燃夹板基层
8.木饰面
9.含风口、灯孔等
10.部位：大厅
11.作法详见1F-TH-01节点01、02
12.其它说明：满足规范和设计图纸要求</t>
  </si>
  <si>
    <t>格栅吊顶</t>
  </si>
  <si>
    <t>1.木纹铝格栅
2.部位：景观区一、景观区二
3.作法详见1F-TH-01节点03
4.其它说明：满足规范和设计图纸要求</t>
  </si>
  <si>
    <t>1层墙面</t>
  </si>
  <si>
    <t>东立面</t>
  </si>
  <si>
    <t>墙面装饰板</t>
  </si>
  <si>
    <t>1.50*50*5镀锌方钢龙骨+20*40*3镀锌方钢龙骨@600*600
2.12厚阻燃板基层
3.WD-01木饰面面层
4.作法详见1F-DT-0节点01
5.其它说明：满足规范和设计图纸要求</t>
  </si>
  <si>
    <t>厂家定制</t>
  </si>
  <si>
    <t>1.45*25*4镀锌方钢龙骨+30*10*4镀锌方钢龙骨@600*600
2.12厚阻燃板基层
3.WD-01木饰面面层
4.作法详见1F-DT-02节点03
5.其它说明：满足规范和设计图纸要求</t>
  </si>
  <si>
    <t>1.12厚阻燃板基层
2.MT-03不锈钢饰面面层
3.作法详见1F-DT-02节点02
4.其它说明：满足规范和设计图纸要求</t>
  </si>
  <si>
    <t>1.9.5mm厚石膏板基层
2.12厚阻燃板基层
3.WD-01木饰面面层
4.作法详见详见MB-07/08
5.其它说明：满足规范和设计图纸要求</t>
  </si>
  <si>
    <t>石材踢脚线</t>
  </si>
  <si>
    <t>1.12mm厚阻燃板基层
2.ST-05踢脚线
3.作法详见1F-DT-03节点05
4.其它说明：满足规范和设计图纸要求</t>
  </si>
  <si>
    <t>金属字</t>
  </si>
  <si>
    <t>1.发光字
2.详见1F-DT-02节点02
3.其它满足规范和设计图纸要求</t>
  </si>
  <si>
    <t>个</t>
  </si>
  <si>
    <t>钢化玻璃双开门</t>
  </si>
  <si>
    <t>1.GL-01钢化玻璃双开门
2.作法详见MB-07/08
3.含定制不锈钢拉手、五金配件
4.其它说明：满足规范和设计图纸要求</t>
  </si>
  <si>
    <t>樘</t>
  </si>
  <si>
    <t>玻璃栏板</t>
  </si>
  <si>
    <t>1.楼梯玻璃栏杆，含五金配件
2.作法详见1F-DT-08
3.其它说明：满足规范和设计图纸要求</t>
  </si>
  <si>
    <t>m</t>
  </si>
  <si>
    <t>西立面</t>
  </si>
  <si>
    <t>屏风</t>
  </si>
  <si>
    <t>1.屏风
2.部位：大堂西侧
3.作法详见1F-DT-05节点07
4.其它说明：满足规范和设计图纸要求</t>
  </si>
  <si>
    <t>1.50*50*5镀锌方钢龙骨@600*600
2.12厚双层阻燃板基层
3.WD-01木饰面面层
4.作法详见1F-DT-03节点04
5.其它说明：满足规范和设计图纸要求</t>
  </si>
  <si>
    <t>1.45*25*4镀锌方钢龙骨+30*10*4镀锌方钢龙骨@600*600
2.12厚双层阻燃板基层
3.WD-01木饰面面层
4.作法详见1F-DT-02节点03
5.其它说明：满足规范和设计图纸要求</t>
  </si>
  <si>
    <t>1.50*50*5镀锌方钢龙骨+30*40*4镀锌方钢龙骨@600*600
2.12厚双层阻燃板基层
3.WD-01木饰面面层
4.作法详见1F-DT-03节点04a
5.其它说明：满足规范和设计图纸要求</t>
  </si>
  <si>
    <t>南立面</t>
  </si>
  <si>
    <t>1.屏风
2.部位：大堂南侧
3.做法详见1F-DT-05节点08
4.其它说明：满足规范和设计图纸要求</t>
  </si>
  <si>
    <t>1.50*50*5镀锌方钢竖向龙骨，@600*600
2.12厚阻燃板基层
3.WD-01木饰面面层
4.作法详见1F-DT-03节点04
5.其它说明：满足规范和设计图纸要求</t>
  </si>
  <si>
    <t>1.12mm厚阻燃板基层
2.ST-05踢脚线
3.作法详见1F-DT-03节点05
3.其它说明：满足规范和设计图纸要求</t>
  </si>
  <si>
    <t>北立面</t>
  </si>
  <si>
    <t>1.45*25*4镀锌方钢竖向龙骨+30*10*4横向龙骨，@600*600
2.12厚阻燃板基层
3.WD-01木饰面面层
4.作法详见1F-DT-02节点03
5.其它说明：满足规范和设计图纸要求</t>
  </si>
  <si>
    <t>1.屏风
2.部位：大堂北侧
3.做法详见1F-DT-04节点06
4.其它说明：满足规范和设计图纸要求</t>
  </si>
  <si>
    <t>电动卷帘</t>
  </si>
  <si>
    <t>1.成品电动卷帘
2.含电动装置
3.其它说明：满足规范和设计图纸要求</t>
  </si>
  <si>
    <t>景观区一</t>
  </si>
  <si>
    <t>1.GL-01钢化玻璃双开门
2.详见MB-07/08
3.含定制不锈钢拉手，五金配件
4.其它说明：满足规范和设计图纸要求</t>
  </si>
  <si>
    <t>1.50*50*5镀锌方钢龙骨，@600*600
2.双层12厚阻燃板基层
3.WD-01木饰面面层
4.其它说明：满足规范和设计图纸要求</t>
  </si>
  <si>
    <t>1.屏风
2.部位：景观区一
3.做法详见1F-DT-07节点12
4.其它说明：满足规范和设计图纸要求</t>
  </si>
  <si>
    <t>1.ST-01踢脚线
2.其它说明：满足规范和设计图纸要求</t>
  </si>
  <si>
    <t>景观区二</t>
  </si>
  <si>
    <t>1.屏风
2.部位：景观区二
3.做法详见1F-DT-07
4.其它说明：满足规范和设计图纸要求</t>
  </si>
  <si>
    <t>1.GL-01钢化玻璃双开门
2.详见MB-07/08
3.含定制不锈钢拉手、五金配件
4.其它说明：满足规范和设计图纸要求</t>
  </si>
  <si>
    <t>1.50*50*5镀锌方钢龙骨/45*25*4镀锌方钢龙骨，@600*600
2.12厚阻燃板基层
3.WD-01木饰面面层
4.其它说明：满足规范和设计图纸要求</t>
  </si>
  <si>
    <t>石材墙面</t>
  </si>
  <si>
    <t>1.ST-03 石材
2.50*50*5镀锌角铁（预埋件）+M12膨胀螺栓+不锈钢石材干挂件+石材
3.作法详见1F-DT-08节点13
4.其它说明：满足规范和设计图纸要求</t>
  </si>
  <si>
    <t>金属扶手、栏杆、栏板</t>
  </si>
  <si>
    <t>1.不锈钢扶手，含五金配件
2.作法详见1F-DT-08节点13
3.其它说明：满足规范和设计图纸要求</t>
  </si>
  <si>
    <t>1.12mm厚阻燃板基层
2.ST-01踢脚线
3.其它说明：满足规范和设计图纸要求</t>
  </si>
  <si>
    <t>1.GL-01钢化玻璃
2.热镀锌U型槽+MT-03不锈钢（间距1600一根不锈钢立柱）+钢化玻璃+不锈钢扶手
3.其它说明：满足规范和设计图纸要求</t>
  </si>
  <si>
    <t>MT-03不锈钢线条</t>
  </si>
  <si>
    <t>1.MT-03不锈钢线条
2.其它满足规范和设计图纸要求</t>
  </si>
  <si>
    <t>1.ST-01石材
2.其它说明：详见相关设计、要求及规范</t>
  </si>
  <si>
    <t>1层家具</t>
  </si>
  <si>
    <t>服务台</t>
  </si>
  <si>
    <t>1.接待前台
2.部位：大堂南侧
3.做法详见01/1F-JJ-01
4.其它说明：满足规范和设计图纸要求</t>
  </si>
  <si>
    <t>-1层地面</t>
  </si>
  <si>
    <t>1.ST01石材地面
2.石材背面刷胶封闭（石材六面防护）
3.5-8mm厚石材专用粘结剂/水泥砂浆粘贴层(根据项目需求)
4.20mm厚1:3干硬性水泥砂浆调平层
5.界面剂、水泥砂浆一道
6.10mm厚1:2.5水泥砂浆找平层
7.钢筋混凝土楼板
8.部位：VIP室、财务签约室、沙盘区、3D影音室、台球室、乒乓球室、走道
9.其它说明：满足规范和设计图纸要求</t>
  </si>
  <si>
    <t>过门石</t>
  </si>
  <si>
    <t>1.ST01石材地面
2.石材背面刷胶封闭（石材六面防护）
3.5-8mm厚石材专用粘结剂/水泥砂浆粘贴层(根据项目需求)
4.20mm厚1:3干硬性水泥砂浆调平层
5.界面剂、水泥砂浆一道
6.10mm厚1:2.5水泥砂浆找平层
7.钢筋混凝土楼板
8.部位：过门石
9.其它说明：满足规范和设计图纸要求</t>
  </si>
  <si>
    <t>1.ST01石材地面
2.石材背面刷胶封闭（石材六面防护）
3.5-8mm厚石材专用粘结剂/水泥砂浆粘贴层(根据项目需求)
4.20mm厚1:3干硬性水泥砂浆调平层
5.界面剂、水泥砂浆一道
6.10mm厚1:2.5水泥砂浆找平层
7.钢筋混凝土楼板
8.部位：楼梯
9.其它说明：满足规范和设计图纸要求</t>
  </si>
  <si>
    <t>1.CT01瓷砖地面
2.瓷砖填缝剂处理
3.瓷砖(低吸水率硬质砖石需要背覆胶处理)
4.5mm专用瓷砖胶泥粘结层/水泥砂浆粘贴层
5.20mm厚1:3干硬性水泥砂浆调平层
6.界面剂、水泥砂浆一道
7.15mm厚1:2.5水泥砂浆找平层
8.钢筋混凝土楼板
9.部位：总监办公室、经理办公室、按揭办公室、休息室、会议室、储藏室、麻将室、更衣间、工具室、走道
10.其它说明：满足规范和设计图纸要求</t>
  </si>
  <si>
    <t>瓷砖楼地面（有防水）</t>
  </si>
  <si>
    <t>1.CT02瓷砖地面
2.瓷砖填缝剂处理
3.瓷砖(低吸水率硬质砖石需要背覆胶处理)
4.5mm专用瓷砖胶泥粘结层/水泥砂浆粘贴层
5.20mm厚(最薄处)M20聚合物水泥砂浆保护兼找坡层(向地漏位置找坡)
6.1.5mm厚JS-Ⅱ防水涂料(附加层(内贴玻璃纤维布))
7.界面剂、水泥砂浆一道,四周墙角水泥砂浆做圆角
8.15mm厚1:2.5水泥砂浆找平层
9.钢筋混凝土楼板
10.部位：卫生间、保洁工具室
11.其它说明：满足规范和设计图纸要求</t>
  </si>
  <si>
    <t>1.CT04瓷砖地面
2.瓷砖填缝剂处理
3.瓷砖(低吸水率硬质砖石需要背覆胶处理)
4.5mm专用瓷砖胶泥粘结层/水泥砂浆粘贴层
5.20mm厚(最薄处)M20聚合物水泥砂浆保护兼找坡层(向地漏位置找坡)
6.1.5mm厚JS-Ⅱ防水涂料(附加层(内贴玻璃纤维布))
7.界面剂、水泥砂浆一道,四周墙角水泥砂浆做圆角
8.15mm厚1:2.5水泥砂浆找平层
9.钢筋混凝土楼板
10.部位：水景区
11.其它说明：满足规范和设计图纸要求</t>
  </si>
  <si>
    <t>细石楼地面</t>
  </si>
  <si>
    <t>1.细石楼地面
2.细石
2.20mm厚(最薄处)M20聚合物水泥砂浆保护兼找坡层(向地漏位置找坡)
3.1.5mm厚JS-Ⅱ防水涂料(附加层(内贴玻璃纤维布))
4.界面剂、水泥砂浆一道,四周墙角水泥砂浆做圆角
5.15mm厚1:2.5水泥砂浆找平层
6.钢筋混凝土楼板
7.部位：卫生间
8.其它说明：满足规范和设计图纸要求</t>
  </si>
  <si>
    <t>鹅卵石楼地面</t>
  </si>
  <si>
    <t>1.鹅卵石楼地面
2.鹅卵石
3.20mm厚1:3干硬性水泥砂浆调平层
4.界面剂、水泥砂浆一道
5.15mm厚1:2.5水泥砂浆找平层
6.钢筋混凝土楼板
7.部位：休息区、儿童区一侧
8.其它说明：满足规范和设计图纸要求</t>
  </si>
  <si>
    <t>实木地板楼地面</t>
  </si>
  <si>
    <t>1.FL01木地板
2.双层9mm阻燃板（防火涂料三度）
3.40*40*2镀锌方通，双层，1000*1000间距
4.3mm厚铝膜防潮层
5.10mm厚1:2.5水泥砂浆找平层
6.钢筋混凝土楼板
7.部位：健身区
8.其它说明：满足规范和设计图纸要求</t>
  </si>
  <si>
    <t>木饰面地板楼地面</t>
  </si>
  <si>
    <t>1.WD01木饰面
2.双层12mm阻燃板
3.40*40*2镀锌方通，双层
4.10mm厚1:2.5水泥砂浆找平层
5.钢筋混凝土楼板
6.部位：水吧总台
7.其它说明：满足规范和设计图纸要求</t>
  </si>
  <si>
    <t>1.FL01木地板(含3mm金属条）
2.3厚铝膜防潮垫
3.5mm自流平面层
4.20mm厚1:3水泥沙浆找平
5.界面剂、水泥砂浆一道
6.10mm厚1:2.5水泥砂浆找平层
7.钢筋混凝土楼板
8.部位：展示区
9.其它说明：满足规范和设计图纸要求</t>
  </si>
  <si>
    <t>绿植皮楼地面</t>
  </si>
  <si>
    <t>1.SP01绿植皮
2.20mm厚1:3干硬性水泥砂浆调平层
3.界面剂、水泥砂浆一道
5.10mm厚1:2.5水泥砂浆找平层
6.钢筋混凝土楼板
7.部位：沙盘区一侧
8.其它说明：满足规范和设计图纸要求</t>
  </si>
  <si>
    <t>皮革楼地面</t>
  </si>
  <si>
    <t>1.UP01 皮革地面
2.双层9mm阻燃板
3.40*40*2镀锌方通，双层，1000*1000间距
4.10mm厚1:2.5水泥砂浆找平层
5.钢筋混凝土楼板
6.部位：泡泡池
7.其它说明：满足规范和设计图纸要求</t>
  </si>
  <si>
    <t>-1层天棚</t>
  </si>
  <si>
    <r>
      <rPr>
        <sz val="9"/>
        <rFont val="宋体"/>
        <charset val="134"/>
      </rPr>
      <t>1.米白色防水肌理漆吊顶</t>
    </r>
    <r>
      <rPr>
        <sz val="9"/>
        <color rgb="FFFF0000"/>
        <rFont val="宋体"/>
        <charset val="134"/>
      </rPr>
      <t>（各种颜色）</t>
    </r>
    <r>
      <rPr>
        <sz val="9"/>
        <rFont val="宋体"/>
        <charset val="134"/>
      </rPr>
      <t xml:space="preserve">
2.部位：卫生间
3.膨胀螺栓,10钢筋吊杆,双向吊点,900~1200
4.轻钢主龙骨(金属吊件连接)
5.轻钢次龙骨、收边轻钢龙骨(专用连接挂件)
6.9.5mm厚防水石膏板基层+12mm阻燃板基层
7.钉眼防锈处理,石膏板接缝处理,阴、阳角护角收边
</t>
    </r>
    <r>
      <rPr>
        <sz val="9"/>
        <color rgb="FFFF0000"/>
        <rFont val="宋体"/>
        <charset val="134"/>
      </rPr>
      <t>8.刮专用腻子找平二遍、打磨
9.刷抗碱度漆一道
10.刷肌理漆一道
11.喷肌理漆一道</t>
    </r>
    <r>
      <rPr>
        <sz val="9"/>
        <rFont val="宋体"/>
        <charset val="134"/>
      </rPr>
      <t xml:space="preserve">
12.含风口、灯孔等
13.作法详见-1F-TH-04节点12
14.其它说明：满足规范和设计图纸要求</t>
    </r>
  </si>
  <si>
    <r>
      <rPr>
        <sz val="9"/>
        <color theme="1"/>
        <rFont val="宋体"/>
        <charset val="134"/>
        <scheme val="minor"/>
      </rPr>
      <t>按答疑，更衣室、储藏室及办公室等非展示区改为乳胶漆。原肌理漆部分工程量减小。乳胶漆在清单最后进行了增加分项。</t>
    </r>
    <r>
      <rPr>
        <sz val="9"/>
        <color rgb="FFFF0000"/>
        <rFont val="宋体"/>
        <charset val="134"/>
        <scheme val="minor"/>
      </rPr>
      <t>工程量有修改</t>
    </r>
  </si>
  <si>
    <r>
      <rPr>
        <sz val="9"/>
        <rFont val="宋体"/>
        <charset val="134"/>
      </rPr>
      <t>1.木饰面吊顶
2.部位：休息区
3.膨胀螺栓,10钢筋吊杆,双向吊点,900~1200
4.轻钢主龙骨(金属吊件连接)
5.轻钢次龙骨、收边轻钢龙骨(专用连接挂件)</t>
    </r>
    <r>
      <rPr>
        <sz val="9"/>
        <color rgb="FFFF0000"/>
        <rFont val="宋体"/>
        <charset val="134"/>
      </rPr>
      <t>转换层可以取消，采用反支撑</t>
    </r>
    <r>
      <rPr>
        <sz val="9"/>
        <rFont val="宋体"/>
        <charset val="134"/>
      </rPr>
      <t xml:space="preserve">
6.双层12mm厚阻燃板基层
7.木饰面
8.含风口、灯孔等
9.作法详见-1F-TH-04节点09、10、15
10.其它说明：满足规范和设计图纸要求</t>
    </r>
  </si>
  <si>
    <t>按答疑回复修改了描述，工程量未修改。</t>
  </si>
  <si>
    <r>
      <rPr>
        <sz val="9"/>
        <rFont val="宋体"/>
        <charset val="134"/>
      </rPr>
      <t>1.木饰面吊顶
2.部位：水吧台、休闲区
3.膨胀螺栓,10钢筋吊杆,双向吊点,900~1200
4.轻钢主龙骨(金属吊件连接)
5.轻钢次龙骨、收边轻钢龙骨(专用连接挂件)</t>
    </r>
    <r>
      <rPr>
        <sz val="9"/>
        <color rgb="FFFF0000"/>
        <rFont val="宋体"/>
        <charset val="134"/>
      </rPr>
      <t>转换层可以取消，采用反支撑</t>
    </r>
    <r>
      <rPr>
        <sz val="9"/>
        <rFont val="宋体"/>
        <charset val="134"/>
      </rPr>
      <t xml:space="preserve">
6.双层12mm厚阻燃板基层
7.木饰面
8.含风口、灯孔等
9.作法详见-1F-TH-02节点03、04
10.其它说明：满足规范和设计图纸要求</t>
    </r>
  </si>
  <si>
    <r>
      <rPr>
        <sz val="9"/>
        <rFont val="宋体"/>
        <charset val="134"/>
      </rPr>
      <t>1.哑光色铝板+</t>
    </r>
    <r>
      <rPr>
        <sz val="9"/>
        <color rgb="FFFF0000"/>
        <rFont val="宋体"/>
        <charset val="134"/>
      </rPr>
      <t>米白色肌理漆（各种颜色）</t>
    </r>
    <r>
      <rPr>
        <sz val="9"/>
        <rFont val="宋体"/>
        <charset val="134"/>
      </rPr>
      <t xml:space="preserve">+木饰面
2.部位：健身区
3.40*40*2镀锌方通骨架
</t>
    </r>
    <r>
      <rPr>
        <sz val="9"/>
        <color theme="1"/>
        <rFont val="宋体"/>
        <charset val="134"/>
      </rPr>
      <t>4.12mm厚阻燃板基层+9.5mm石膏板基层，</t>
    </r>
    <r>
      <rPr>
        <sz val="9"/>
        <color rgb="FFFF0000"/>
        <rFont val="宋体"/>
        <charset val="134"/>
      </rPr>
      <t>含专用腻子等</t>
    </r>
    <r>
      <rPr>
        <sz val="9"/>
        <rFont val="宋体"/>
        <charset val="134"/>
      </rPr>
      <t xml:space="preserve">
5.哑光色铝板+米白色肌理漆+木饰面
6.含风口、灯孔等
7.作法详见-1F-TH-03节点07、08
8.其它说明：满足规范和设计图纸要求</t>
    </r>
  </si>
  <si>
    <t>按图纸对描述进行了完善，工程量未修改。</t>
  </si>
  <si>
    <r>
      <rPr>
        <sz val="9"/>
        <rFont val="宋体"/>
        <charset val="134"/>
      </rPr>
      <t>1.深橙色肌理漆天棚
2.部位：休息区
3.膨胀螺栓,10钢筋吊杆,双向吊点,900~1200
4.轻钢主龙骨(金属吊件连接)
5.轻钢次龙骨、收边轻钢龙骨(专用连接挂件)</t>
    </r>
    <r>
      <rPr>
        <sz val="9"/>
        <color rgb="FFFF0000"/>
        <rFont val="宋体"/>
        <charset val="134"/>
      </rPr>
      <t>转换层可以取消，采用反支撑</t>
    </r>
    <r>
      <rPr>
        <sz val="9"/>
        <rFont val="宋体"/>
        <charset val="134"/>
      </rPr>
      <t xml:space="preserve">
6.12mm厚阻燃板基层+9.5mm厚石膏板基层
7.钉眼防锈处理,石膏板接缝处理,阴、阳角护角收边
</t>
    </r>
    <r>
      <rPr>
        <sz val="9"/>
        <color rgb="FFFF0000"/>
        <rFont val="宋体"/>
        <charset val="134"/>
      </rPr>
      <t>8.刮专用腻子找平二遍、打磨
9.刷抗碱度漆一道
10.刷肌理漆一道</t>
    </r>
    <r>
      <rPr>
        <sz val="9"/>
        <rFont val="宋体"/>
        <charset val="134"/>
      </rPr>
      <t xml:space="preserve">
</t>
    </r>
    <r>
      <rPr>
        <sz val="9"/>
        <color rgb="FFFF0000"/>
        <rFont val="宋体"/>
        <charset val="134"/>
      </rPr>
      <t>11.喷肌理漆一道</t>
    </r>
    <r>
      <rPr>
        <sz val="9"/>
        <rFont val="宋体"/>
        <charset val="134"/>
      </rPr>
      <t xml:space="preserve">
12.作法详见-1F-TH-04节点10
13.其它说明：满足规范和设计图纸要求</t>
    </r>
  </si>
  <si>
    <r>
      <rPr>
        <sz val="9"/>
        <rFont val="宋体"/>
        <charset val="134"/>
      </rPr>
      <t>1.深橙色肌理漆天棚
2.部位：走廊
3.膨胀螺栓,10钢筋吊杆,双向吊点,900~1200
4.轻钢主龙骨(金属吊件连接)
5.轻钢次龙骨、收边轻钢龙骨(专用连接挂件)</t>
    </r>
    <r>
      <rPr>
        <sz val="9"/>
        <color rgb="FFFF0000"/>
        <rFont val="宋体"/>
        <charset val="134"/>
      </rPr>
      <t>转换层可以取消，采用反支撑</t>
    </r>
    <r>
      <rPr>
        <sz val="9"/>
        <rFont val="宋体"/>
        <charset val="134"/>
      </rPr>
      <t xml:space="preserve">
6.双层9.5mm厚石膏板基层
7.钉眼防锈处理,石膏板接缝处理,阴、阳角护角收边
</t>
    </r>
    <r>
      <rPr>
        <sz val="9"/>
        <color rgb="FFFF0000"/>
        <rFont val="宋体"/>
        <charset val="134"/>
      </rPr>
      <t>8.刮专用腻子找平二遍、打磨
9.刷抗碱度漆一道
10.刷肌理漆一道
11.喷肌理漆一道</t>
    </r>
    <r>
      <rPr>
        <sz val="9"/>
        <rFont val="宋体"/>
        <charset val="134"/>
      </rPr>
      <t xml:space="preserve">
12.含风口、灯孔等
13.其它说明：满足规范和设计图纸要求</t>
    </r>
  </si>
  <si>
    <r>
      <rPr>
        <sz val="9"/>
        <rFont val="宋体"/>
        <charset val="134"/>
      </rPr>
      <t>1.红色夯土肌理漆天棚
2.部位：走廊
3.膨胀螺栓,10钢筋吊杆,双向吊点,900~1200
4.轻钢主龙骨(金属吊件连接)
5.轻钢次龙骨、收边轻钢龙骨(专用连接挂件)</t>
    </r>
    <r>
      <rPr>
        <sz val="9"/>
        <color rgb="FFFF0000"/>
        <rFont val="宋体"/>
        <charset val="134"/>
      </rPr>
      <t>转换层可以取消，采用反支撑</t>
    </r>
    <r>
      <rPr>
        <sz val="9"/>
        <rFont val="宋体"/>
        <charset val="134"/>
      </rPr>
      <t xml:space="preserve">
6.12mm厚阻燃板基层+9.5mm厚石膏板基层
7.钉眼防锈处理,石膏板接缝处理,阴、阳角护角收边
</t>
    </r>
    <r>
      <rPr>
        <sz val="9"/>
        <color rgb="FFFF0000"/>
        <rFont val="宋体"/>
        <charset val="134"/>
      </rPr>
      <t>8.刮专用腻子找平二遍、打磨
9.刷抗碱度漆一道
10.刷肌理漆一道
11.喷肌理漆一道</t>
    </r>
    <r>
      <rPr>
        <sz val="9"/>
        <rFont val="宋体"/>
        <charset val="134"/>
      </rPr>
      <t xml:space="preserve">
12.含风口、灯孔等
13.作法详见-1F-TH-03节点06
14.其它说明：满足规范和设计图纸要求</t>
    </r>
  </si>
  <si>
    <r>
      <rPr>
        <sz val="9"/>
        <rFont val="宋体"/>
        <charset val="134"/>
      </rPr>
      <t>1.米白色肌理漆天棚</t>
    </r>
    <r>
      <rPr>
        <sz val="9"/>
        <color rgb="FFFF0000"/>
        <rFont val="宋体"/>
        <charset val="134"/>
      </rPr>
      <t>（各种颜色）</t>
    </r>
    <r>
      <rPr>
        <sz val="9"/>
        <rFont val="宋体"/>
        <charset val="134"/>
      </rPr>
      <t xml:space="preserve">
2.部位：</t>
    </r>
    <r>
      <rPr>
        <sz val="9"/>
        <color rgb="FFFF0000"/>
        <rFont val="宋体"/>
        <charset val="134"/>
      </rPr>
      <t>走廊、麻将室、乒乓球室、台球室、3D影音室、VIP室、签约财务室</t>
    </r>
    <r>
      <rPr>
        <sz val="9"/>
        <rFont val="宋体"/>
        <charset val="134"/>
      </rPr>
      <t xml:space="preserve">
3.膨胀螺栓,10钢筋吊杆,双向吊点,900~1200
4.轻钢主龙骨(金属吊件连接)
5.轻钢次龙骨、收边轻钢龙骨(专用连接挂件)</t>
    </r>
    <r>
      <rPr>
        <sz val="9"/>
        <color rgb="FFFF0000"/>
        <rFont val="宋体"/>
        <charset val="134"/>
      </rPr>
      <t>转换层可以取消，采用反支撑</t>
    </r>
    <r>
      <rPr>
        <sz val="9"/>
        <rFont val="宋体"/>
        <charset val="134"/>
      </rPr>
      <t xml:space="preserve">
6.12mm阻燃板基层+9.5mm厚石膏板基层
7.钉眼防锈处理,石膏板接缝处理,阴、阳角护角收边
</t>
    </r>
    <r>
      <rPr>
        <sz val="9"/>
        <color rgb="FFFF0000"/>
        <rFont val="宋体"/>
        <charset val="134"/>
      </rPr>
      <t>8.刮专用腻子找平二遍、打磨
9.刷抗碱度漆一道
10.刷肌理漆一道
11.喷肌理漆一道</t>
    </r>
    <r>
      <rPr>
        <sz val="9"/>
        <rFont val="宋体"/>
        <charset val="134"/>
      </rPr>
      <t xml:space="preserve">
12.含风口、灯孔等
13.作法详见-1F-TH-04节点05、11
14.其它说明：满足规范和设计图纸要求</t>
    </r>
  </si>
  <si>
    <r>
      <rPr>
        <sz val="9"/>
        <color theme="1"/>
        <rFont val="宋体"/>
        <charset val="134"/>
        <scheme val="minor"/>
      </rPr>
      <t>按答疑回复修改了描述，</t>
    </r>
    <r>
      <rPr>
        <sz val="9"/>
        <color rgb="FFFF0000"/>
        <rFont val="宋体"/>
        <charset val="134"/>
        <scheme val="minor"/>
      </rPr>
      <t>工程量有修改</t>
    </r>
    <r>
      <rPr>
        <sz val="9"/>
        <color theme="1"/>
        <rFont val="宋体"/>
        <charset val="134"/>
        <scheme val="minor"/>
      </rPr>
      <t>。</t>
    </r>
  </si>
  <si>
    <t>楼梯踏步天棚</t>
  </si>
  <si>
    <t>1.MT02 金属天棚+ST01 石材
2.部位：楼梯踏步底面天棚
3.作法详见-1F-DF-02节点07
4.其它说明：满足规范和设计图纸要求</t>
  </si>
  <si>
    <t>1.白色哑光漆铝板检修口
2.40*40*2镀锌角钢骨架
3.白色哑光漆铝板
4.做法详见-1F-TH-04节点14、15
5.其它说明：满足规范和设计图纸要求</t>
  </si>
  <si>
    <t>-1层墙面</t>
  </si>
  <si>
    <t>健身区</t>
  </si>
  <si>
    <t>木门窗套</t>
  </si>
  <si>
    <t>1.WD-01木饰面
2.具体做法详见-1F-DT-06节点17
3.其它说明：满足规范和设计图纸要求</t>
  </si>
  <si>
    <t>玻璃隔断</t>
  </si>
  <si>
    <t>1.GL01 玻璃隔断
2.详见-1F-DT-10节点27
3.其它说明：满足规范和设计图纸要求</t>
  </si>
  <si>
    <t>隔墙</t>
  </si>
  <si>
    <t>1.40*40*2镀锌方通骨架
2.12厚阻燃板基层
3.WD-01木饰面+AL-01哑光铝材面层
4.作法详见-1F-DT-06节点17
5.其它说明：满足规范和设计图纸要求</t>
  </si>
  <si>
    <t>杜邦纸木饰面隔墙</t>
  </si>
  <si>
    <t>1.40*40*2镀锌方通骨架
2.12厚阻燃板基层
3.WC杜邦纸+木饰面+木装饰条
4.作法详见-1F-DT-08节点20
5.其它说明：满足规范和设计图纸要求</t>
  </si>
  <si>
    <t>木质装饰线</t>
  </si>
  <si>
    <t>1.30*30木质装饰条
2.详见-1F-DT-04节点10 
3.其它说明：满足规范和设计图纸要求</t>
  </si>
  <si>
    <t>1.30*15木质装饰条
2.详见-1F-DT-05节点10
3.其它说明：满足规范和设计图纸要求</t>
  </si>
  <si>
    <t>休息区</t>
  </si>
  <si>
    <t>儿童区18/-1F-DT-07</t>
  </si>
  <si>
    <t>科技区造型隔墙</t>
  </si>
  <si>
    <r>
      <rPr>
        <sz val="9"/>
        <rFont val="宋体"/>
        <charset val="134"/>
      </rPr>
      <t>1.</t>
    </r>
    <r>
      <rPr>
        <sz val="9"/>
        <color rgb="FFFF0000"/>
        <rFont val="宋体"/>
        <charset val="134"/>
      </rPr>
      <t>75系列轻钢龙骨，壁厚1.2mm骨架</t>
    </r>
    <r>
      <rPr>
        <sz val="9"/>
        <rFont val="宋体"/>
        <charset val="134"/>
      </rPr>
      <t xml:space="preserve">
</t>
    </r>
    <r>
      <rPr>
        <sz val="9"/>
        <color rgb="FFFF0000"/>
        <rFont val="宋体"/>
        <charset val="134"/>
      </rPr>
      <t>2.12厚阻燃板基层+9厚石膏板基层，含专用腻子等</t>
    </r>
    <r>
      <rPr>
        <sz val="9"/>
        <rFont val="宋体"/>
        <charset val="134"/>
      </rPr>
      <t xml:space="preserve">
3.UP02软包+PT05 深橙色肌理漆+WD-01木饰面
4.作法详见-1F-DT-07节点18
5.其它说明：满足规范和设计图纸要求</t>
    </r>
  </si>
  <si>
    <t>泡泡池19/-1F-DT-06</t>
  </si>
  <si>
    <t>休息区16/-1F-DT-06</t>
  </si>
  <si>
    <t>抹灰面油漆</t>
  </si>
  <si>
    <r>
      <rPr>
        <sz val="9"/>
        <color rgb="FFFF0000"/>
        <rFont val="宋体"/>
        <charset val="134"/>
      </rPr>
      <t>1.米白色肌理漆（各种颜色），含专用腻子、打磨等</t>
    </r>
    <r>
      <rPr>
        <sz val="9"/>
        <rFont val="宋体"/>
        <charset val="134"/>
      </rPr>
      <t xml:space="preserve">
</t>
    </r>
    <r>
      <rPr>
        <sz val="9"/>
        <color rgb="FFFF0000"/>
        <rFont val="宋体"/>
        <charset val="134"/>
      </rPr>
      <t>2</t>
    </r>
    <r>
      <rPr>
        <sz val="9"/>
        <rFont val="宋体"/>
        <charset val="134"/>
      </rPr>
      <t xml:space="preserve">.阴阳角护角收边
3.3-5mm厚薄抹灰砂浆层
</t>
    </r>
    <r>
      <rPr>
        <sz val="9"/>
        <color rgb="FFFF0000"/>
        <rFont val="宋体"/>
        <charset val="134"/>
      </rPr>
      <t>4</t>
    </r>
    <r>
      <rPr>
        <sz val="9"/>
        <rFont val="宋体"/>
        <charset val="134"/>
      </rPr>
      <t xml:space="preserve">.界面剂，接缝处网格布处理
</t>
    </r>
    <r>
      <rPr>
        <sz val="9"/>
        <color rgb="FFFF0000"/>
        <rFont val="宋体"/>
        <charset val="134"/>
      </rPr>
      <t>5</t>
    </r>
    <r>
      <rPr>
        <sz val="9"/>
        <rFont val="宋体"/>
        <charset val="134"/>
      </rPr>
      <t>.其它说明：满足规范和设计图纸要求</t>
    </r>
  </si>
  <si>
    <t>金属踢脚线</t>
  </si>
  <si>
    <t>1.12mm厚阻燃板基层
2.MT01金属（踢脚线）
3.其它说明：满足规范和设计图纸要求</t>
  </si>
  <si>
    <r>
      <rPr>
        <sz val="9"/>
        <rFont val="宋体"/>
        <charset val="134"/>
      </rPr>
      <t>1.9mm石膏板基层
2.12mm厚阻燃板基层，</t>
    </r>
    <r>
      <rPr>
        <sz val="9"/>
        <color rgb="FFFF0000"/>
        <rFont val="宋体"/>
        <charset val="134"/>
      </rPr>
      <t>含专用腻子等</t>
    </r>
    <r>
      <rPr>
        <sz val="9"/>
        <rFont val="宋体"/>
        <charset val="134"/>
      </rPr>
      <t xml:space="preserve">
3.PT05 深橙色肌理漆
4.其它说明：满足规范和设计图纸要求</t>
    </r>
  </si>
  <si>
    <t>走廊</t>
  </si>
  <si>
    <t>木饰面隔墙</t>
  </si>
  <si>
    <t>1.40*40*2镀锌方通骨架
2.12厚阻燃板基层
3.WD-01木饰面
4.作法详见-1F-DT-05节点13
5.其它说明：满足规范和设计图纸要求</t>
  </si>
  <si>
    <t>1.40*40*2镀锌方通骨架
2.12厚阻燃板基层
3.WD-01木饰面
4.作法详见-1F-DT-05节点14
5.其它说明：满足规范和设计图纸要求</t>
  </si>
  <si>
    <t>1.40*40*2镀锌方通骨架
2.12厚阻燃板基层
3.WD-01木饰面
4.作法详见-1F-DT-01节点02b
5.其它说明：满足规范和设计图纸要求</t>
  </si>
  <si>
    <r>
      <rPr>
        <sz val="9"/>
        <color rgb="FFFF0000"/>
        <rFont val="宋体"/>
        <charset val="134"/>
      </rPr>
      <t>1.米白色肌理漆（各种颜色），含专用腻子等</t>
    </r>
    <r>
      <rPr>
        <sz val="9"/>
        <rFont val="宋体"/>
        <charset val="134"/>
      </rPr>
      <t xml:space="preserve">
</t>
    </r>
    <r>
      <rPr>
        <sz val="9"/>
        <color rgb="FFFF0000"/>
        <rFont val="宋体"/>
        <charset val="134"/>
      </rPr>
      <t>2</t>
    </r>
    <r>
      <rPr>
        <sz val="9"/>
        <rFont val="宋体"/>
        <charset val="134"/>
      </rPr>
      <t xml:space="preserve">.阴阳角护角收边
</t>
    </r>
    <r>
      <rPr>
        <sz val="9"/>
        <color rgb="FFFF0000"/>
        <rFont val="宋体"/>
        <charset val="134"/>
      </rPr>
      <t>3</t>
    </r>
    <r>
      <rPr>
        <sz val="9"/>
        <rFont val="宋体"/>
        <charset val="134"/>
      </rPr>
      <t xml:space="preserve">.3-5mm厚薄抹灰砂浆层
</t>
    </r>
    <r>
      <rPr>
        <sz val="9"/>
        <color rgb="FFFF0000"/>
        <rFont val="宋体"/>
        <charset val="134"/>
      </rPr>
      <t>4</t>
    </r>
    <r>
      <rPr>
        <sz val="9"/>
        <rFont val="宋体"/>
        <charset val="134"/>
      </rPr>
      <t xml:space="preserve">.界面剂，接缝处网格布处理
</t>
    </r>
    <r>
      <rPr>
        <sz val="9"/>
        <color rgb="FFFF0000"/>
        <rFont val="宋体"/>
        <charset val="134"/>
      </rPr>
      <t>5</t>
    </r>
    <r>
      <rPr>
        <sz val="9"/>
        <rFont val="宋体"/>
        <charset val="134"/>
      </rPr>
      <t>.其它说明：满足规范和设计图纸要求</t>
    </r>
  </si>
  <si>
    <t>1.12mm厚阻燃板基层
2.MT01金属（踢脚线）30高
3.其它说明：满足规范和设计图纸要求</t>
  </si>
  <si>
    <t>1.成品电动卷帘
2.电动装置
3.其它说明：满足规范和设计图纸要求</t>
  </si>
  <si>
    <t>木质门</t>
  </si>
  <si>
    <t>1.M-03
2.具体做法详-1F-MB-03
3.其它说明：满足规范和设计图纸要求</t>
  </si>
  <si>
    <t>总台区</t>
  </si>
  <si>
    <t>南立面04/-1F-1E-02</t>
  </si>
  <si>
    <r>
      <rPr>
        <sz val="9"/>
        <color rgb="FFFF0000"/>
        <rFont val="宋体"/>
        <charset val="134"/>
      </rPr>
      <t>1.米白色肌理漆（各种颜色），含专用腻子等</t>
    </r>
    <r>
      <rPr>
        <sz val="9"/>
        <rFont val="宋体"/>
        <charset val="134"/>
      </rPr>
      <t xml:space="preserve">
</t>
    </r>
    <r>
      <rPr>
        <sz val="9"/>
        <color rgb="FFFF0000"/>
        <rFont val="宋体"/>
        <charset val="134"/>
      </rPr>
      <t>2</t>
    </r>
    <r>
      <rPr>
        <sz val="9"/>
        <rFont val="宋体"/>
        <charset val="134"/>
      </rPr>
      <t xml:space="preserve">.阴阳角护角收边
</t>
    </r>
    <r>
      <rPr>
        <sz val="9"/>
        <color rgb="FFFF0000"/>
        <rFont val="宋体"/>
        <charset val="134"/>
      </rPr>
      <t>3.</t>
    </r>
    <r>
      <rPr>
        <sz val="9"/>
        <rFont val="宋体"/>
        <charset val="134"/>
      </rPr>
      <t xml:space="preserve">3-5mm厚薄抹灰砂浆层
</t>
    </r>
    <r>
      <rPr>
        <sz val="9"/>
        <color rgb="FFFF0000"/>
        <rFont val="宋体"/>
        <charset val="134"/>
      </rPr>
      <t>4</t>
    </r>
    <r>
      <rPr>
        <sz val="9"/>
        <rFont val="宋体"/>
        <charset val="134"/>
      </rPr>
      <t xml:space="preserve">.界面剂，接缝处网格布处理
</t>
    </r>
    <r>
      <rPr>
        <sz val="9"/>
        <color rgb="FFFF0000"/>
        <rFont val="宋体"/>
        <charset val="134"/>
      </rPr>
      <t>5</t>
    </r>
    <r>
      <rPr>
        <sz val="9"/>
        <rFont val="宋体"/>
        <charset val="134"/>
      </rPr>
      <t>.其它说明：满足规范和设计图纸要求</t>
    </r>
  </si>
  <si>
    <t>东立面03/-1F-1E-02</t>
  </si>
  <si>
    <t>1.1:3水泥砂浆找平层
2.12mm厚阻燃板基层
3.WD-01木饰面
4.其它说明：满足规范和设计图纸要求</t>
  </si>
  <si>
    <t>1.30*30木质装饰条
2.详见-1F-DT-04节点10
3.其它说明：满足规范和设计图纸要求</t>
  </si>
  <si>
    <t>1.30*35木质装饰条
2.详见-1F-DT-05节点10
3.其它说明：满足规范和设计图纸要求</t>
  </si>
  <si>
    <t>1.发光字
2.详见-1F-DT-05节点10 
3.其它说明：满足规范和设计图纸要求</t>
  </si>
  <si>
    <t>1.40*40*2镀锌方通骨架
2.12厚阻燃板+12厚埃特板
3.WD-01木饰面+白色乳胶漆
4.作法详见-1F-DT-05节点12
5.其它说明：满足规范和设计图纸要求</t>
  </si>
  <si>
    <t>立邦</t>
  </si>
  <si>
    <t>正立面01/-1F-1E-01</t>
  </si>
  <si>
    <t>1.1:3水泥砂浆找平层
2.9mm厚阻燃夹板基层
3.SP-03毛石饰面板
4.其它说明：满足规范和设计图纸要求</t>
  </si>
  <si>
    <t>1.40*40*2镀锌方通骨架
2.12厚阻燃板基层
3.作法详见-1F-DT-02节点03
4.其它说明：满足规范和设计图纸要求</t>
  </si>
  <si>
    <t>LED显示屏</t>
  </si>
  <si>
    <t>1.LED显示屏
2.参数：P2.5级别
3.其它说明：满足规范和设计图纸要求</t>
  </si>
  <si>
    <t>1.LED显示屏（甲供）
2.参数：P2.5级别 
3.品牌：亮彩
4.其它说明：满足规范和设计图纸要求</t>
  </si>
  <si>
    <t>此项主材为甲供，主材费0，记取其他费用</t>
  </si>
  <si>
    <t>1.40*40*2镀锌方通骨架
2.12厚阻燃板基层
3.WD-01木饰面
4.作法详见-1F-DT-02节点03 
5.其它说明：满足规范和设计图纸要求</t>
  </si>
  <si>
    <t>1.40*40*2镀锌方通骨架
2.12厚阻燃板基层
3.MT01金属饰面
4.作法详见-1F-DT-02节点03 
5.其它说明：满足规范和设计图纸要求</t>
  </si>
  <si>
    <t>沙盘</t>
  </si>
  <si>
    <t>1.LED显示屏
2.LED显示屏金属边
3.其它说明：满足规范和设计图纸要求</t>
  </si>
  <si>
    <t>此项取消招标人另行更换电视机</t>
  </si>
  <si>
    <t>沙盘区造型隔墙</t>
  </si>
  <si>
    <r>
      <rPr>
        <sz val="9"/>
        <rFont val="宋体"/>
        <charset val="134"/>
      </rPr>
      <t>1.</t>
    </r>
    <r>
      <rPr>
        <sz val="9"/>
        <color rgb="FFFF0000"/>
        <rFont val="宋体"/>
        <charset val="134"/>
      </rPr>
      <t>75系列轻钢龙骨，壁厚1.2mm骨架</t>
    </r>
    <r>
      <rPr>
        <sz val="9"/>
        <rFont val="宋体"/>
        <charset val="134"/>
      </rPr>
      <t xml:space="preserve">
</t>
    </r>
    <r>
      <rPr>
        <sz val="9"/>
        <color rgb="FFFF0000"/>
        <rFont val="宋体"/>
        <charset val="134"/>
      </rPr>
      <t>2.12厚阻燃板基层+9厚石膏板基层，含专用腻子等</t>
    </r>
    <r>
      <rPr>
        <sz val="9"/>
        <rFont val="宋体"/>
        <charset val="134"/>
      </rPr>
      <t xml:space="preserve">
3.PT01 米白色肌理漆
4.作法详见-1F-DT-01节点01、02
5.其它说明：满足规范和设计图纸要求</t>
    </r>
  </si>
  <si>
    <r>
      <rPr>
        <sz val="9"/>
        <rFont val="宋体"/>
        <charset val="134"/>
      </rPr>
      <t>1</t>
    </r>
    <r>
      <rPr>
        <sz val="9"/>
        <color rgb="FFFF0000"/>
        <rFont val="宋体"/>
        <charset val="134"/>
      </rPr>
      <t>.75系列轻钢龙骨，壁厚1.2mm骨架</t>
    </r>
    <r>
      <rPr>
        <sz val="9"/>
        <rFont val="宋体"/>
        <charset val="134"/>
      </rPr>
      <t xml:space="preserve">
</t>
    </r>
    <r>
      <rPr>
        <sz val="9"/>
        <color rgb="FFFF0000"/>
        <rFont val="宋体"/>
        <charset val="134"/>
      </rPr>
      <t>2.12厚阻燃板基层+9厚石膏板，含专用腻子等</t>
    </r>
    <r>
      <rPr>
        <sz val="9"/>
        <rFont val="宋体"/>
        <charset val="134"/>
      </rPr>
      <t xml:space="preserve">
3.PT01 米白色肌理漆
4.作法详见-1F-DT-03节点06，-1F-DT-04节点07
5.其它说明：满足规范和设计图纸要求</t>
    </r>
  </si>
  <si>
    <t>1.LED显示屏
2.参数P2级别
3.其它说明：满足规范和设计图纸要求</t>
  </si>
  <si>
    <t>弧形</t>
  </si>
  <si>
    <t>消火栓隔板</t>
  </si>
  <si>
    <r>
      <rPr>
        <sz val="9"/>
        <rFont val="宋体"/>
        <charset val="134"/>
      </rPr>
      <t>1.12厚阻燃板基层
2.9厚石膏板基层，</t>
    </r>
    <r>
      <rPr>
        <sz val="9"/>
        <color rgb="FFFF0000"/>
        <rFont val="宋体"/>
        <charset val="134"/>
      </rPr>
      <t>含专用腻子等</t>
    </r>
    <r>
      <rPr>
        <sz val="9"/>
        <rFont val="宋体"/>
        <charset val="134"/>
      </rPr>
      <t xml:space="preserve">
3.PT-01米白色肌理漆
4.作法详见-1F-DT-01节点2a
5.其它说明：满足规范和设计图纸要求</t>
    </r>
  </si>
  <si>
    <t>科技展示区</t>
  </si>
  <si>
    <r>
      <rPr>
        <sz val="9"/>
        <rFont val="宋体"/>
        <charset val="134"/>
      </rPr>
      <t>1.40*40*2镀锌方通骨架
2.12厚阻燃板基层+9厚石膏板基层
3.MT01金属包台面+PT01 米白色肌理漆+PT05 深橙色肌理漆+SP-01艺术绿植</t>
    </r>
    <r>
      <rPr>
        <sz val="9"/>
        <color rgb="FFFF0000"/>
        <rFont val="宋体"/>
        <charset val="134"/>
      </rPr>
      <t>，含专用腻子等</t>
    </r>
    <r>
      <rPr>
        <sz val="9"/>
        <rFont val="宋体"/>
        <charset val="134"/>
      </rPr>
      <t xml:space="preserve">
4.作法详见-1F-DT-04节点08、09
5.其它说明：满足规范和设计图纸要求</t>
    </r>
  </si>
  <si>
    <t>金属装饰线</t>
  </si>
  <si>
    <t>1.12mm厚阻燃板基层
2.MT01金属30宽
3.其它说明：满足规范和设计图纸要求</t>
  </si>
  <si>
    <t>签约财务室</t>
  </si>
  <si>
    <t>挡板隔墙</t>
  </si>
  <si>
    <t>1.40*40*2镀锌方通骨架
2.12厚阻燃板基层+9厚石膏板基层
3.MT01金属包台面
4.作法详见-1F-DT-08节点21
5.其它说明：满足规范和设计图纸要求</t>
  </si>
  <si>
    <t>柜台顶部</t>
  </si>
  <si>
    <t>1.40*40*2镀锌方通骨架
2.12厚阻燃板/9厚石膏板
3.MT01金属
4.作法详见-1F-DT-09节点22
5.其它说明：满足规范和设计图纸要求</t>
  </si>
  <si>
    <t>柜台</t>
  </si>
  <si>
    <t>1.40*40*2镀锌方通骨架
2.12厚阻燃板/9厚石膏板
3.ST03a石材
4.作法详见-1F-DT-09节点22
5.其它说明：满足规范和设计图纸要求</t>
  </si>
  <si>
    <t>1.尺寸：800*2400
2.门锁及其他五金配件
3.其它说明：满足规范和设计图纸要求</t>
  </si>
  <si>
    <t>1.WD-01木饰面
2.具体做法详见-1F-MB-01
3.其它说明：满足规范和设计图纸要求</t>
  </si>
  <si>
    <t>1.WD-01木饰面
2.具体做法详-1F-MB-01
3.其它说明：满足规范和设计图纸要求</t>
  </si>
  <si>
    <t>VIP室</t>
  </si>
  <si>
    <t>1.双层12厚阻燃板基层
2.WD-01木饰面
3.其它说明：满足规范和设计图纸要求</t>
  </si>
  <si>
    <t>1.双层12厚阻燃板基层
2.UP02硬包
3.其它说明：满足规范和设计图纸要求</t>
  </si>
  <si>
    <t>1.双层12厚阻燃板基层
2.SP-03毛石饰面板
3.其它说明：满足规范和设计图纸要求</t>
  </si>
  <si>
    <t>壁柜</t>
  </si>
  <si>
    <t>1.40*40*2镀锌方通骨架
2. 双层12厚阻燃板基层
3.WD01木饰面
4.作法详见-1F-DT-09节点24
5.其它说明：满足规范和设计图纸要求</t>
  </si>
  <si>
    <t>台面</t>
  </si>
  <si>
    <t>1.40*40*2镀锌方通骨架
2. 双层12厚阻燃板基层
3.MT01金属包台面
4.作法详见-1F-DT-09节点23
5.其它说明：满足规范和设计图纸要求</t>
  </si>
  <si>
    <t>1.M-04
2.具体做法详见门表
3.其它说明：满足规范和设计图纸要求</t>
  </si>
  <si>
    <t>营销休息室/会议室</t>
  </si>
  <si>
    <t>1.喷乳胶漆一道
2.刷乳胶漆一道
3.刷抗碱底漆一道
4.刮白胶腻子找平二遍，打磨
5.阴阳角护角收边
6.3-5mm厚薄抹灰砂浆层
7.界面剂，接缝处网格布处理
8.其它说明：满足规范和设计图纸要求</t>
  </si>
  <si>
    <t>按揭办公室</t>
  </si>
  <si>
    <t>总经理办公室</t>
  </si>
  <si>
    <t>总监办公室</t>
  </si>
  <si>
    <t>储藏室</t>
  </si>
  <si>
    <t>物业储藏室</t>
  </si>
  <si>
    <t>3D影音室</t>
  </si>
  <si>
    <t>1.12mm钢化玻璃，U型玻璃槽钢固定于地面
2.详见-1F-DT-10节点27A
3.其它说明：满足规范和设计图纸要求</t>
  </si>
  <si>
    <r>
      <rPr>
        <sz val="9"/>
        <rFont val="宋体"/>
        <charset val="134"/>
      </rPr>
      <t>1.12厚阻燃板基层
2.9厚石膏板基层，</t>
    </r>
    <r>
      <rPr>
        <sz val="9"/>
        <color rgb="FFFF0000"/>
        <rFont val="宋体"/>
        <charset val="134"/>
      </rPr>
      <t>含专用腻子等</t>
    </r>
    <r>
      <rPr>
        <sz val="9"/>
        <rFont val="宋体"/>
        <charset val="134"/>
      </rPr>
      <t xml:space="preserve">
3.PT-01米白色肌理漆
4.作法详见-1F-DT-01节点02a
5.其它说明：满足规范和设计图纸要求</t>
    </r>
  </si>
  <si>
    <t>投影</t>
  </si>
  <si>
    <t>1.3D影音投影
2.包含投影设备
3.其它说明：满足规范和设计图纸要求</t>
  </si>
  <si>
    <t>套</t>
  </si>
  <si>
    <t>台球室</t>
  </si>
  <si>
    <r>
      <rPr>
        <sz val="9"/>
        <color rgb="FFFF0000"/>
        <rFont val="宋体"/>
        <charset val="134"/>
      </rPr>
      <t>1.米白色肌理漆（各种颜色）</t>
    </r>
    <r>
      <rPr>
        <sz val="9"/>
        <rFont val="宋体"/>
        <charset val="134"/>
      </rPr>
      <t xml:space="preserve">，含专用腻子等
</t>
    </r>
    <r>
      <rPr>
        <sz val="9"/>
        <color rgb="FFFF0000"/>
        <rFont val="宋体"/>
        <charset val="134"/>
      </rPr>
      <t>2</t>
    </r>
    <r>
      <rPr>
        <sz val="9"/>
        <rFont val="宋体"/>
        <charset val="134"/>
      </rPr>
      <t xml:space="preserve">.阴阳角护角收边
</t>
    </r>
    <r>
      <rPr>
        <sz val="9"/>
        <color rgb="FFFF0000"/>
        <rFont val="宋体"/>
        <charset val="134"/>
      </rPr>
      <t>3.</t>
    </r>
    <r>
      <rPr>
        <sz val="9"/>
        <rFont val="宋体"/>
        <charset val="134"/>
      </rPr>
      <t xml:space="preserve">3-5mm厚薄抹灰砂浆层
</t>
    </r>
    <r>
      <rPr>
        <sz val="9"/>
        <color rgb="FFFF0000"/>
        <rFont val="宋体"/>
        <charset val="134"/>
      </rPr>
      <t>4</t>
    </r>
    <r>
      <rPr>
        <sz val="9"/>
        <rFont val="宋体"/>
        <charset val="134"/>
      </rPr>
      <t xml:space="preserve">.界面剂，接缝处网格布处理
</t>
    </r>
    <r>
      <rPr>
        <sz val="9"/>
        <color rgb="FFFF0000"/>
        <rFont val="宋体"/>
        <charset val="134"/>
      </rPr>
      <t>5</t>
    </r>
    <r>
      <rPr>
        <sz val="9"/>
        <rFont val="宋体"/>
        <charset val="134"/>
      </rPr>
      <t>.其它说明：满足规范和设计图纸要求</t>
    </r>
  </si>
  <si>
    <t>木隔断</t>
  </si>
  <si>
    <t>1.M-06
2.具体做法详见-1F-MB-06
3.其它说明：满足规范和设计图纸要求</t>
  </si>
  <si>
    <t>乒乓球室</t>
  </si>
  <si>
    <t>1.M-05
2.具体做法详见-1F-MB-05
3.其它说明：满足规范和设计图纸要求</t>
  </si>
  <si>
    <t>麻将室</t>
  </si>
  <si>
    <t>1.GL01 玻璃隔断
2.详见27/-1F-DT-10
3.其它说明：满足规范和设计图纸要求</t>
  </si>
  <si>
    <t>男更衣室</t>
  </si>
  <si>
    <t>女更衣室</t>
  </si>
  <si>
    <t>1.WD-01木饰面
2.具体做法详见门表
3.其它说明：满足规范和设计图纸要求</t>
  </si>
  <si>
    <t>保洁工作室</t>
  </si>
  <si>
    <t>1.喷乳胶漆一道
2.刷乳胶漆一道
3.刷抗碱底漆一道
4.刮白胶腻子找平二遍，打磨
5.阴阳角护角收边
6.3-5mm厚薄抹灰砂浆层
7.界面剂，接缝处网格布处理
8.其它说明：详见相关设计、要求及规范</t>
  </si>
  <si>
    <t>块料踢脚线</t>
  </si>
  <si>
    <t>1.水泥砂浆找平
2.100高CT02瓷砖踢脚线
3.其它说明：满足规范和设计图纸要求</t>
  </si>
  <si>
    <t>男卫生间</t>
  </si>
  <si>
    <t>块料墙面（卫生间）</t>
  </si>
  <si>
    <t>1.瓷砖填缝剂处理
2.瓷砖(低吸水率硬质砖石需要背覆胶处理)
3.专用瓷砖胶泥粘结层
4.聚氨酯防水层1.5厚（另列项计算）
5.素水泥浆一道(内参建筑胶)
6.1:3水泥砂浆抹灰层
7.界面剂,接缝处网格布处理
8.其它说明：满足规范和设计图纸要求</t>
  </si>
  <si>
    <t>成品隔断</t>
  </si>
  <si>
    <t>1.抗倍特板隔断
2.其它说明：满足规范和设计图纸要求</t>
  </si>
  <si>
    <t>1.40*40*2镀锌方通骨架
2.12厚埃特板基层
3.ST-02石材墙面
4.其它说明：满足规范和设计图纸要求
5.部位：水景区</t>
  </si>
  <si>
    <t>1.40*40*2镀锌方通骨架
2.12厚埃特板基层
3.ST-06石材墙面
4.其它说明：满足规范和设计图纸要求
5.部位：坐便器背部</t>
  </si>
  <si>
    <t>镜面玻璃</t>
  </si>
  <si>
    <t>1.尺寸：1940*600
2.40*40*2镀锌方通骨架
3.12厚埃特板基层
4.MR01镜子
5.MT01金属包边（50宽）
6.其它说明：满足规范和设计图纸要求</t>
  </si>
  <si>
    <t>墙面涂膜防水</t>
  </si>
  <si>
    <t>1.部位：墙面
2.聚氨酯防水层1.5厚
3.其它说明：满足规范和设计图纸要求</t>
  </si>
  <si>
    <t>现场彩绘墙面</t>
  </si>
  <si>
    <t>1.现场预留水泥砂浆找平层
2.刷白色防水乳胶漆
3.其它说明：满足规范和设计图纸要求</t>
  </si>
  <si>
    <t>1.WD-01木饰面
2.具体做法详-1F-MB-02
3.其它说明：满足规范和设计图纸要求</t>
  </si>
  <si>
    <t>1.WD-01木饰面
2.具体做法详见-1F-MB-02
3.其它说明：满足规范和设计图纸要求</t>
  </si>
  <si>
    <t>1.WD-01木饰面（成品木隔断）
2.具体做法详见27/-1F-DT-10
3.其它说明：满足规范和设计图纸要求</t>
  </si>
  <si>
    <t>女卫生间</t>
  </si>
  <si>
    <t>楼梯间</t>
  </si>
  <si>
    <t>1.1:3水泥砂浆找平层
2.12mm厚阻燃夹板
3.WD-01木饰面
4.其它说明：满足规范和设计图纸要求</t>
  </si>
  <si>
    <t>1.1:3水泥砂浆找平层
2.9mm厚阻燃夹板
3.SP-03毛石饰面板
4.其它说明：满足规范和设计图纸要求</t>
  </si>
  <si>
    <t>-1层家具</t>
  </si>
  <si>
    <t>亚克力展示架</t>
  </si>
  <si>
    <t>亚克力置物架</t>
  </si>
  <si>
    <t>1.亚克力置物架
2.其它说明：满足规范和设计图纸要求</t>
  </si>
  <si>
    <t>沙盘底座</t>
  </si>
  <si>
    <r>
      <rPr>
        <sz val="9"/>
        <rFont val="宋体"/>
        <charset val="134"/>
      </rPr>
      <t xml:space="preserve">1.40*40*2镀锌方通骨架
</t>
    </r>
    <r>
      <rPr>
        <sz val="9"/>
        <color rgb="FFFF0000"/>
        <rFont val="宋体"/>
        <charset val="134"/>
      </rPr>
      <t>2.12mm厚阻燃板基层，含专用腻子等</t>
    </r>
    <r>
      <rPr>
        <sz val="9"/>
        <rFont val="宋体"/>
        <charset val="134"/>
      </rPr>
      <t xml:space="preserve">
3.PT-04木饰面油红色夯土肌理漆
4.GL-01玻璃
5.MT-01φ10实心金属
6.作法详见-1F-JJ-01
7.其它说明：满足规范和设计图纸要求</t>
    </r>
  </si>
  <si>
    <t>户模平台-1F-JJ-02节点31</t>
  </si>
  <si>
    <t>展台</t>
  </si>
  <si>
    <r>
      <rPr>
        <sz val="9"/>
        <rFont val="宋体"/>
        <charset val="134"/>
      </rPr>
      <t xml:space="preserve">1.40*40*2镀锌方通骨架
</t>
    </r>
    <r>
      <rPr>
        <sz val="9"/>
        <color rgb="FFFF0000"/>
        <rFont val="宋体"/>
        <charset val="134"/>
      </rPr>
      <t>2.12mm厚阻燃板基层，含专用腻子等</t>
    </r>
    <r>
      <rPr>
        <sz val="9"/>
        <rFont val="宋体"/>
        <charset val="134"/>
      </rPr>
      <t xml:space="preserve">
3.MT02-金属面+木饰面油红色夯土肌理漆+木饰面白色油漆
4.GL-01玻璃
5.作法详见-1F-JJ-02节点31
6.其它说明：满足规范和设计图纸要求</t>
    </r>
  </si>
  <si>
    <t>展示台1 -1F-JJ-02节点32</t>
  </si>
  <si>
    <t>1.40*40*2镀锌方通骨架
2.12mm厚阻燃板基层
3.MT02-金属面+木饰面白色油漆
4.GL-01玻璃
5.作法详见-1F-JJ-02节点32
6.其它说明：满足规范和设计图纸要求</t>
  </si>
  <si>
    <t>展示台2 -1F-JJ-04节点33</t>
  </si>
  <si>
    <t>1.40*40*2镀锌方通骨架
2.12mm厚阻燃板基层
3.MT02-金属面+木饰面白色油漆
4.SP02亚克力+GL01玻璃
5.做法详见-1F-JJ-04节点33
6.其它说明：满足规范和设计图纸要求</t>
  </si>
  <si>
    <t>展示台3 34/-1F-JJ-04</t>
  </si>
  <si>
    <t>1.40*40*2镀锌方通骨架
2.12mm厚阻燃板基层
3.MT02-金属面+木饰面白色油漆
4.SP02亚克力+GL01玻璃
5.作法详见-1F-JJ-04节点34
6.其它说明：满足规范和设计图纸要求</t>
  </si>
  <si>
    <r>
      <rPr>
        <sz val="9"/>
        <rFont val="宋体"/>
        <charset val="134"/>
      </rPr>
      <t>1.40*40*2镀锌方通骨架
2.12mm厚阻燃板基层，</t>
    </r>
    <r>
      <rPr>
        <sz val="9"/>
        <color rgb="FFFF0000"/>
        <rFont val="宋体"/>
        <charset val="134"/>
      </rPr>
      <t>含专用腻子等</t>
    </r>
    <r>
      <rPr>
        <sz val="9"/>
        <rFont val="宋体"/>
        <charset val="134"/>
      </rPr>
      <t xml:space="preserve">
3.MT02-金属面+WD-01木饰面+</t>
    </r>
    <r>
      <rPr>
        <sz val="9"/>
        <color rgb="FFFF0000"/>
        <rFont val="宋体"/>
        <charset val="134"/>
      </rPr>
      <t>肌理漆</t>
    </r>
    <r>
      <rPr>
        <sz val="9"/>
        <rFont val="宋体"/>
        <charset val="134"/>
      </rPr>
      <t>+WD-01实木
4.SP02亚克力+GL01玻璃
5.作法详见-1F-JJ-05、-1F-JJ-06
6.其它说明：满足规范和设计图纸要求</t>
    </r>
  </si>
  <si>
    <r>
      <rPr>
        <sz val="9"/>
        <color rgb="FFFF0000"/>
        <rFont val="宋体"/>
        <charset val="134"/>
      </rPr>
      <t>1.白色乳胶漆天棚（各种颜色）
2.部位：储藏室、总监办公室、经理办公室、按揭办公室、休息室、会议室、男、女更衣室</t>
    </r>
    <r>
      <rPr>
        <sz val="9"/>
        <rFont val="宋体"/>
        <charset val="134"/>
      </rPr>
      <t xml:space="preserve">
3.膨胀螺栓,10钢筋吊杆,双向吊点,900~1200
4.轻钢主龙骨(金属吊件连接)
5.轻钢次龙骨、收边轻钢龙骨(专用连接挂件)</t>
    </r>
    <r>
      <rPr>
        <sz val="9"/>
        <color rgb="FFFF0000"/>
        <rFont val="宋体"/>
        <charset val="134"/>
      </rPr>
      <t>转换层可以取消，采用反支撑</t>
    </r>
    <r>
      <rPr>
        <sz val="9"/>
        <rFont val="宋体"/>
        <charset val="134"/>
      </rPr>
      <t xml:space="preserve">
6.12mm阻燃板基层+9.5mm厚石膏板基层
7.钉眼防锈处理,石膏板接缝处理,阴、阳角护角收边
8.刮白胶腻子找平二遍、打磨
9.刷抗碱度漆一道
10.刷乳胶漆一道
11.喷乳胶漆一道
12.含风口、灯孔等
13.作法详见-1F-TH-04节点05、11
14.其它说明：满足规范和设计图纸要求</t>
    </r>
  </si>
  <si>
    <t>新加项</t>
  </si>
  <si>
    <t>按答疑，更衣室、储藏室及办公室等非展示区改为乳胶漆。原肌理漆部分工程量减小。乳胶漆在清单进行了增加分项。</t>
  </si>
  <si>
    <r>
      <rPr>
        <sz val="9"/>
        <rFont val="宋体"/>
        <charset val="134"/>
      </rPr>
      <t>1.米白色防水乳胶漆吊顶</t>
    </r>
    <r>
      <rPr>
        <sz val="9"/>
        <color rgb="FFFF0000"/>
        <rFont val="宋体"/>
        <charset val="134"/>
      </rPr>
      <t>（各种颜色）</t>
    </r>
    <r>
      <rPr>
        <sz val="9"/>
        <rFont val="宋体"/>
        <charset val="134"/>
      </rPr>
      <t xml:space="preserve">
2.部位：保洁室
3.膨胀螺栓,10钢筋吊杆,双向吊点,900~1200
4.轻钢主龙骨(金属吊件连接)
5.轻钢次龙骨、收边轻钢龙骨(专用连接挂件)
6.9.5mm厚防水石膏板基层+12mm阻燃板基层
7.钉眼防锈处理,石膏板接缝处理,阴、阳角护角收边
8.刮白胶腻子找平二遍、打磨
9.刷抗碱度漆一道
10.刷乳胶漆一道
11.喷乳胶漆一道
12.含风口、灯孔等
13.作法详见-1F-TH-04节点12
14.其它说明：满足规范和设计图纸要求</t>
    </r>
  </si>
  <si>
    <t>备注：</t>
  </si>
  <si>
    <t>1.含税固定综合单价应包括但不限于完成承包范围内所有工程的人工费、材料费、机械费（含进出场费用）、安装费、措施费、窝工费、水电费、垃圾清运费、材料检测检验费、规费（专项费用）、安全文明施工费、扬尘治理增加费、赶工措施、疫情增加费、管理费、利润、税金（增值税专用发票)、调试、验收、质保期服务、风险等所有一切与之相关的所需全部费用。</t>
  </si>
  <si>
    <t>工程名称：河南省洛阳市浩德地产伊河湾营销中心装饰工程--安装工程</t>
  </si>
  <si>
    <t>强电</t>
  </si>
  <si>
    <t>配电箱</t>
  </si>
  <si>
    <t>1.名称:售楼部照明配电箱
2.型号、规格:ZAL1-10#
3.安装方式:暗装,H+1.6m
4.含无端子接线</t>
  </si>
  <si>
    <t>台</t>
  </si>
  <si>
    <t>1.名称:售楼部总配电箱
2.型号、规格:ZAP-10#
3.安装方式:明装,H+1.1m
4.其它说明：满足规范和设计图纸要求</t>
  </si>
  <si>
    <t>桥架</t>
  </si>
  <si>
    <t>1.名称:强电线槽
2.规格:100x50
3.安装位置:室内
4.其它说明：满足规范和设计图纸要求</t>
  </si>
  <si>
    <t>1.名称:强电线槽
2.规格:150x100
3.安装位置:室内
4.其它说明：满足规范和设计图纸要求</t>
  </si>
  <si>
    <t>1.名称:强电线槽
2.规格:250x100
3.安装位置:室内
4.其它说明：满足规范和设计图纸要求</t>
  </si>
  <si>
    <t>1.名称:强电线槽
2.规格:300x150
3.安装位置:室内
4.其它说明：满足规范和设计图纸要求</t>
  </si>
  <si>
    <t>铁构件</t>
  </si>
  <si>
    <t>1.名称:桥架支架
2.材质、规格及除锈刷漆要求:详见图纸设计
3.安装部位:室内
4.其它说明：满足规范和设计图纸要求</t>
  </si>
  <si>
    <t>kg</t>
  </si>
  <si>
    <t>配管</t>
  </si>
  <si>
    <t>1.名称:电气配管
2.规格:JDG20
3.配置形式:吊顶内明敷
4.其它说明：满足规范和设计图纸要求</t>
  </si>
  <si>
    <t>郑州三厂</t>
  </si>
  <si>
    <t>1.名称:电气配管
2.规格:JDG20
3.配置形式:暗敷
4.其它说明：满足规范和设计图纸要求</t>
  </si>
  <si>
    <t>1.名称:电气配管
2.规格:JDG25
3.配置形式:吊顶内明敷
4.其它说明：满足规范和设计图纸要求</t>
  </si>
  <si>
    <t>1.名称:电气配管
2.规格:JDG25
3.配置形式:暗敷
4.其它说明：满足规范和设计图纸要求</t>
  </si>
  <si>
    <t>电力电缆</t>
  </si>
  <si>
    <t>1.名称:电力电缆
2.规格:WDZR-YJY-4X35+1X16
3.敷设方式、部位:综合考虑
4.其它说明：满足规范和设计图纸要求</t>
  </si>
  <si>
    <t>电力电缆头</t>
  </si>
  <si>
    <t>1.名称:电力电缆终端头
2.规格:五芯35mm2
3.材质、类型:铜芯
4.安装部位:室内
5.其它说明：满足规范和设计图纸要求</t>
  </si>
  <si>
    <t>配线</t>
  </si>
  <si>
    <t>1.名称:铜芯导线
2.规格、型号:WDZ-BYJ-1.0
3.敷设方式:穿管敷设
4.其它说明：满足规范和设计图纸要求</t>
  </si>
  <si>
    <t>1.名称:铜芯导线
2.规格、型号:WDZ-BYJ-2.5
3.敷设方式:穿管敷设
4.其它说明：满足规范和设计图纸要求</t>
  </si>
  <si>
    <t>1.名称:铜芯导线
2.规格、型号:WDZ-BYJ-2.5
3.敷设方式:桥架内敷设
4.其它说明：满足规范和设计图纸要求</t>
  </si>
  <si>
    <t>1.名称:铜芯导线
2.规格、型号:WDZ-BYJ-4
3.敷设方式:穿管敷设
4.其它说明：满足规范和设计图纸要求</t>
  </si>
  <si>
    <t>1.名称:铜芯导线
2.规格、型号:WDZ-BYJ-4
3.敷设方式:桥架内敷设
4.其它说明：满足规范和设计图纸要求</t>
  </si>
  <si>
    <t>装饰灯</t>
  </si>
  <si>
    <t>1.名称:石英圆形射灯
2.规格:详见图纸
3.安装方式:吸顶
4.其它说明：满足规范和设计图纸要求</t>
  </si>
  <si>
    <t>雷士或星发现</t>
  </si>
  <si>
    <t>1.名称:筒灯
2.规格:详见图纸
3.安装方式:嵌入式
4.其它说明：满足规范和设计图纸要求</t>
  </si>
  <si>
    <t>1.名称:艺术壁灯
2.规格:详见图纸
3.安装方式:壁装
4.其它说明：满足规范和设计图纸要求</t>
  </si>
  <si>
    <t>属于软装不报价格</t>
  </si>
  <si>
    <t>1.名称:LED灯带
2.规格:详见图纸
3.安装方式:天棚内
4.其它说明：满足规范和设计图纸要求</t>
  </si>
  <si>
    <t>1.名称:艺术吊灯1
2.规格:详见图纸
3.安装方式:吊装
4.其它说明：满足规范和设计图纸要求</t>
  </si>
  <si>
    <t>1.名称:艺术吊灯2
2.规格:详见图纸
3.安装方式:吊装
4.其它说明：满足规范和设计图纸要求</t>
  </si>
  <si>
    <t>照明开关</t>
  </si>
  <si>
    <t>1.名称:一位面板开关
2.规格:250V/10A
3.安装方式:暗装</t>
  </si>
  <si>
    <t>罗格朗</t>
  </si>
  <si>
    <t>1.名称:二位面板开关
2.规格:250V/10A
3.安装方式:暗装</t>
  </si>
  <si>
    <t>1.名称:三位面板开关
2.规格:250V/10A
3.安装方式:暗装</t>
  </si>
  <si>
    <t>1.名称:四位面板开关
2.规格:250V/10A
3.安装方式:暗装</t>
  </si>
  <si>
    <t>控制开关</t>
  </si>
  <si>
    <t>1.名称:温控开关
2.规格:250V/10A
3.安装方式:暗装</t>
  </si>
  <si>
    <t>插座</t>
  </si>
  <si>
    <t>1.名称：单相二、三极插座
2.规格：250V 10A
3.安装方式：暗装</t>
  </si>
  <si>
    <t>1.名称：单相二、三极地面插座
2.规格：250V 10A
3.安装方式：地面暗装</t>
  </si>
  <si>
    <t>1.名称：含开关防溅插座
2.规格：250V 10A
3.安装方式：暗装</t>
  </si>
  <si>
    <t>接线盒</t>
  </si>
  <si>
    <t>1.名称:开关（插座）盒
2.材质:详见图纸
3.安装形式:暗装</t>
  </si>
  <si>
    <t>1.名称:接线盒
2.材质:详见图纸
3.安装形式:暗装</t>
  </si>
  <si>
    <t>送配电装置系统</t>
  </si>
  <si>
    <t>1.名称:送配电装置系统调试</t>
  </si>
  <si>
    <t>系统</t>
  </si>
  <si>
    <t>弱电</t>
  </si>
  <si>
    <t>1.名称:弱电线槽
2.规格:(100+100)x100
3.安装位置:室内
4.其它说明：满足规范和设计图纸要求</t>
  </si>
  <si>
    <t>1.名称:弱电线槽
2.规格:(75+75)x100
3.安装位置:室内
4.其它说明：满足规范和设计图纸要求</t>
  </si>
  <si>
    <t>1.名称:多芯软导线
2.规格、型号:HYV-4x0.5
3.敷设方式:穿管敷设
4.其它说明：满足规范和设计图纸要求</t>
  </si>
  <si>
    <t>1.名称:多芯软导线
2.规格、型号:HYV-4x0.5
3.敷设方式:桥架内敷设
4.其它说明：满足规范和设计图纸要求</t>
  </si>
  <si>
    <t>1.名称:多芯软导线
2.规格、型号:RVV-2x0.75
3.敷设方式:穿管敷设
4.其它说明：满足规范和设计图纸要求</t>
  </si>
  <si>
    <t>1.名称:多芯软导线
2.规格、型号:RVV-2x1.5
3.敷设方式:穿管敷设
4.其它说明：满足规范和设计图纸要求</t>
  </si>
  <si>
    <t>1.名称:多芯软导线
2.规格、型号:RVV-3x1.5
3.敷设方式:桥架内敷设
4.其它说明：满足规范和设计图纸要求</t>
  </si>
  <si>
    <t>1.名称:多芯软导线
2.规格、型号:RVV-4x0.75
3.敷设方式:穿管敷设
4.其它说明：满足规范和设计图纸要求</t>
  </si>
  <si>
    <t>1.名称:多芯软导线
2.规格、型号:RVV-6x0.5
3.敷设方式:穿管敷设
4.其它说明：满足规范和设计图纸要求</t>
  </si>
  <si>
    <t>双绞线缆</t>
  </si>
  <si>
    <t>1.名称:双绞线缆
2.规格:UTP-CAT6
3.敷设方式:穿管敷设
4.其它说明：满足规范和设计图纸要求</t>
  </si>
  <si>
    <t>1.名称:双绞线缆
2.规格:UTP-CAT6
3.敷设方式:桥架内敷设
4.其它说明：满足规范和设计图纸要求</t>
  </si>
  <si>
    <t>机柜、机架</t>
  </si>
  <si>
    <t>1.名称:弱电机柜
2.规格:详见图纸
3.其它说明：满足规范和设计图纸要求</t>
  </si>
  <si>
    <t>背景音乐系统设备</t>
  </si>
  <si>
    <t>1.名称:背景音乐主机
2.规格:详见图纸
3.其它说明：满足规范和设计图纸要求</t>
  </si>
  <si>
    <t>扩声系统设备</t>
  </si>
  <si>
    <t>1.名称:背景音乐
2.规格:详见图纸
3.安装方式:天花安装
4.其它说明：满足规范和设计图纸要求</t>
  </si>
  <si>
    <t>1.名称:音量控制器
2.安装方式:暗装
3.其它说明：满足规范和设计图纸要求</t>
  </si>
  <si>
    <t>电视、电话插座</t>
  </si>
  <si>
    <t>1.名称:一位电视插座
2.安装方式:暗装
3.其它说明：满足规范和设计图纸要求</t>
  </si>
  <si>
    <t>1.名称:一位网络+电话插座
2.安装方式:暗装
3.其它说明：满足规范和设计图纸要求</t>
  </si>
  <si>
    <t>信息插座</t>
  </si>
  <si>
    <t>1.名称:一位网络插座
2.安装方式:暗装
3.其它说明：满足规范和设计图纸要求</t>
  </si>
  <si>
    <t>监控摄像设备</t>
  </si>
  <si>
    <t>1.名称:半球摄像机
2.安装方式:天花安装
3.其它说明：满足规范和设计图纸要求</t>
  </si>
  <si>
    <t>路由器</t>
  </si>
  <si>
    <t>1.名称:无线AP
2.安装方式:天花安装
3.其它说明：满足规范和设计图纸要求</t>
  </si>
  <si>
    <t>出入口目标识别设备</t>
  </si>
  <si>
    <t>1.名称:门禁读卡器
2.规格:详见图纸</t>
  </si>
  <si>
    <t>1.名称:开门按钮
2.规格:详见图纸</t>
  </si>
  <si>
    <t>出入口控制设备</t>
  </si>
  <si>
    <t>1.名称:门禁控制器
2.规格:详见图纸</t>
  </si>
  <si>
    <t>出入口执行机构设备</t>
  </si>
  <si>
    <t>1.名称:门禁锁
2.规格:详见图纸</t>
  </si>
  <si>
    <t>给排水</t>
  </si>
  <si>
    <t>洗脸盆</t>
  </si>
  <si>
    <t>1.名称:台式洗脸盆
2.组装形式:成套
3.附件名称、数量:含五金配件
4.安装后需满足使用要求
5.其它说明：满足规范和设计图纸要求</t>
  </si>
  <si>
    <t>组</t>
  </si>
  <si>
    <t>TOTO</t>
  </si>
  <si>
    <t>大便器</t>
  </si>
  <si>
    <t>1.名称:坐式大便器
2.组装形式:成套
3.附件名称、数量:含五金配件
4.安装后需满足使用要求
5.其它说明：满足规范和设计图纸要求</t>
  </si>
  <si>
    <t>小便器</t>
  </si>
  <si>
    <t>1.名称:小便器
2.组装形式:成套
3.附件名称、数量:含五金配件
4.安装后需满足使用要求
5.其它说明：满足规范和设计图纸要求</t>
  </si>
  <si>
    <t>其他成品卫生器具</t>
  </si>
  <si>
    <t>1.名称:拖布池
2.组装形式:成套
3.附件名称、数量:含五金配件
4.安装后需满足使用要求
5.其它说明：满足规范和设计图纸要求</t>
  </si>
  <si>
    <t>给、排水附(配)件</t>
  </si>
  <si>
    <t>1.名称:地漏
2.型号、规格:De63</t>
  </si>
  <si>
    <t>1.名称:地面清扫口
2.型号、规格:De90</t>
  </si>
  <si>
    <t>塑料管</t>
  </si>
  <si>
    <t>1.安装部位:室内
2.介质:污水
3.材质、规格:UPVC排水管De63
4.连接形式:粘接连接</t>
  </si>
  <si>
    <t>1.安装部位:室内
2.介质:污水
3.材质、规格:UPVC排水管De90
4.连接形式:粘接连接</t>
  </si>
  <si>
    <t>1.安装部位:室内
2.介质:污水
3.材质、规格:UPVC排水管De110
4.连接形式:粘接连接</t>
  </si>
  <si>
    <t>1.安装部位:室内
2.介质:给水
3.材质、规格:PP-R管De20
4.连接形式:热熔连接
5.压力试验及吹、洗设计要求:满足设计要求</t>
  </si>
  <si>
    <t>1.安装部位:室内
2.介质:给水
3.材质、规格:PP-R管De25
4.连接形式:热熔连接
5.压力试验及吹、洗设计要求:满足设计要求</t>
  </si>
  <si>
    <t>1.安装部位:室内
2.介质:给水
3.材质、规格:PP-R管De32
4.连接形式:热熔连接
5.压力试验及吹、洗设计要求:满足设计要求</t>
  </si>
  <si>
    <t>1.安装部位:室内
2.介质:给水
3.材质、规格:PP-R管De50
4.连接形式:热熔连接
5.压力试验及吹、洗设计要求:满足设计要求</t>
  </si>
  <si>
    <t>螺纹阀门</t>
  </si>
  <si>
    <t>1.名称:铜球阀
2.规格、压力等级:DN25
3.连接形式:螺纹连接</t>
  </si>
  <si>
    <t>1.名称:铜球阀
2.规格、压力等级:DN40
3.连接形式:螺纹连接</t>
  </si>
  <si>
    <t>通风空调</t>
  </si>
  <si>
    <t>小电器</t>
  </si>
  <si>
    <t>1.名称：BLD-1200
2.规格型号：Q=1200m3/h，P=115Pa， N=70W
3.备注：PQ-1，带止回装置
4.其它说明：满足规范和设计图纸要求</t>
  </si>
  <si>
    <t>防火玻璃挡烟垂壁</t>
  </si>
  <si>
    <t>1.名称:防火玻璃挡烟垂壁
2.安装方式:底距地3.0m
3.其它说明：满足规范和设计图纸要求</t>
  </si>
  <si>
    <t>空调器</t>
  </si>
  <si>
    <t>1.名称:室内机标准型薄型风管机 KF系列
2.型号、规格:HVR-71KF/G2FZBp 制冷量:7.1KW,制热量:8KW 输入功率:0.12KW
3.外形尺寸：1180x447x192
3.其它说明：满足规范和设计图纸要求</t>
  </si>
  <si>
    <t>海信</t>
  </si>
  <si>
    <t>1.名称:室内机标准型薄型风管机 KF系列
2.型号、规格:HVR-63KF/G2FZBp 制冷量:6.3KW,制热量:7.1KW 输入功率:0.12KW
3.外形尺寸：1180x447x192
4.其它说明：满足规范和设计图纸要求</t>
  </si>
  <si>
    <t>1.名称:室内机标准型薄型风管机 KF系列
2.型号、规格:HVR-50KF/G2FZBp 制冷量:5KW,制热量:5.6KW 输入功率:0.08KW
3.外形尺寸：910x447x192
4.其它说明：满足规范和设计图纸要求</t>
  </si>
  <si>
    <t>1.名称:室内机标准型薄型风管机 KF系列
2.型号、规格:HVR-45KF/G2FZBp 制冷量:4.5KW,制热量:5KW 输入功率:0.08KW
3.外形尺寸：910x447x192
4.其它说明：满足规范和设计图纸要求</t>
  </si>
  <si>
    <t>1.名称:室内机标准型薄型风管机 KF系列
2.型号、规格:HVR-40KF/G2FZBp 制冷量:4KW,制热量:4.5KW 输入功率:0.08KW
3.外形尺寸：910x447x192
4.其它说明：满足规范和设计图纸要求</t>
  </si>
  <si>
    <t>1.名称:室内机标准型薄型风管机 KF系列
2.型号、规格:HVR-32KF/G2FZBp 制冷量:3.2KW,制热量:3.6KW 输入功率:0.07KW
3.外形尺寸：700x447x192
4.其它说明：满足规范和设计图纸要求</t>
  </si>
  <si>
    <t>1.名称:室内机标准型薄型风管机 KF系列
2.型号、规格:HVR-28KF/G2FZBp 制冷量:2.8KW,制热量:3.2KW 输入功率:0.07KW
3.外形尺寸：700x447x192
4.其它说明：满足规范和设计图纸要求</t>
  </si>
  <si>
    <t>1.名称:室内机标准型薄型风管机 KF系列
2.型号、规格:HVR-25KF/G2FZBp 制冷量:2.5KW,制热量:2.8KW 输入功率:0.05KW
3.外形尺寸：700x447x192
4.其它说明：满足规范和设计图纸要求</t>
  </si>
  <si>
    <t>1.名称:室内机标准型薄型风管机 KF系列
2.型号、规格:HVR-22KF/G2FZBp 制冷量:2.2KW,制热量:2.5KW 输入功率:0.05KW
3.外形尺寸：700x447x192
4.其它说明：满足规范和设计图纸要求</t>
  </si>
  <si>
    <t>1.名称:室内机低静压风管机 F系列
2.型号、规格:HVR-36F/G2FZBp 制冷量:3.6KW,制热量:4KW 输入功率:0.11KW
3.外形尺寸：720x650x270
4.其它说明：满足规范和设计图纸要求</t>
  </si>
  <si>
    <t>1.名称:室内机低静压风管机 F系列
2.型号、规格:HVR-160F/G2FZBp 制冷量:2.216KW,制热量:18KW 输入功率:0.36KW
3.外形尺寸：800x1400x300
4.其它说明：满足规范和设计图纸要求</t>
  </si>
  <si>
    <t>复合型风管</t>
  </si>
  <si>
    <t>1.名称:空调管道
2.材质:GK-Ⅱ节能不燃型玻镁复合风管（含保温层）
3.形状:矩形
4.规格:长边长≤2000mm
5.板材厚度:δ=0.5mm
6.其它说明：满足规范和设计图纸要求</t>
  </si>
  <si>
    <t>1.名称:空调管道
2.材质:GK-Ⅱ节能不燃型玻镁复合风管（含保温层）
3.形状:矩形
4.规格:长边长≤1000mm
5.板材厚度:δ=0.5mm
6.其它说明：满足规范和设计图纸要求</t>
  </si>
  <si>
    <t>1.名称:空调管道
2.材质:GK-Ⅱ节能不燃型玻镁复合风管（含保温层）
3.形状:矩形
4.规格:长边长≤600mm
5.板材厚度:δ=0.5mm
6.其它说明：满足规范和设计图纸要求</t>
  </si>
  <si>
    <t>弯头导流叶片</t>
  </si>
  <si>
    <t>1.名称:风管软接头
2.其它说明：满足规范和设计图纸要求</t>
  </si>
  <si>
    <t>铜管</t>
  </si>
  <si>
    <t>1.安装部位:室内
2.介质:空调水
3.材质、规格:铜管φ41.3
4.连接形式:氧乙炔焊
5.含氮气置换
6.其它说明：满足规范和设计图纸要求</t>
  </si>
  <si>
    <t>金龙/华美</t>
  </si>
  <si>
    <t>1.安装部位:室内
2.介质:空调水
3.材质、规格:铜管φ38.1
4.连接形式:氧乙炔焊
5.含氮气置换
6.其它说明：满足规范和设计图纸要求</t>
  </si>
  <si>
    <t>1.安装部位:室内
2.介质:空调水
3.材质、规格:铜管φ31.75
4.连接形式:氧乙炔焊
5.含氮气置换
6.其它说明：满足规范和设计图纸要求</t>
  </si>
  <si>
    <t>1.安装部位:室内
2.介质:空调水
3.材质、规格:铜管φ28.6
4.连接形式:氧乙炔焊
5.含氮气置换
6.其它说明：满足规范和设计图纸要求</t>
  </si>
  <si>
    <t>1.安装部位:室内
2.介质:空调水
3.材质、规格:铜管φ25.4
4.连接形式:氧乙炔焊
5.含氮气置换
6.其它说明：满足规范和设计图纸要求</t>
  </si>
  <si>
    <t>1.安装部位:室内
2.介质:空调水
3.材质、规格:铜管φ22.2
4.连接形式:氧乙炔焊
5.含氮气置换
6.其它说明：满足规范和设计图纸要求</t>
  </si>
  <si>
    <t>1.安装部位:室内
2.介质:空调水
3.材质、规格:铜管φ19.05
4.连接形式:氧乙炔焊
5.含氮气置换
6.其它说明：满足规范和设计图纸要求</t>
  </si>
  <si>
    <t>1.安装部位:室内
2.介质:空调水
3.材质、规格:铜管φ15.88
4.连接形式:氧乙炔焊
5.含氮气置换
6.其它说明：满足规范和设计图纸要求</t>
  </si>
  <si>
    <t>1.安装部位:室内
2.介质:空调水
3.材质、规格:铜管φ12.7
4.连接形式:氧乙炔焊
5.含氮气置换
6.其它说明：满足规范和设计图纸要求</t>
  </si>
  <si>
    <t>1.安装部位:室内
2.介质:空调水
3.材质、规格:铜管φ9.53
4.连接形式:氧乙炔焊
5.含氮气置换
6.其它说明：满足规范和设计图纸要求</t>
  </si>
  <si>
    <t>1.安装部位:室内
2.介质:空调冷凝水
3.材质、规格:硬聚氯乙稀管PVC-U De63
4.连接形式:粘接连接
5.含成品管卡
6.其它说明：满足规范和设计图纸要求</t>
  </si>
  <si>
    <t>1.安装部位:室内
2.介质:空调冷凝水
3.材质、规格:硬聚氯乙稀管PVC-U De32
4.连接形式:粘接连接
5.含成品管卡
6.其它说明：满足规范和设计图纸要求</t>
  </si>
  <si>
    <t>铜管管件</t>
  </si>
  <si>
    <t>1.名称：分歧管
2.规格：41.3*41.3*28.6
3.介质：冷剂管
4.其它说明：满足规范和设计图纸要求</t>
  </si>
  <si>
    <t>1.名称：分歧管
2.规格：41.3*38.1*31.75
3.介质：冷剂管
4.其它说明：满足规范和设计图纸要求</t>
  </si>
  <si>
    <t>1.名称：分歧管
2.规格：41.3*28.6*15.88
3.介质：冷剂管
4.其它说明：满足规范和设计图纸要求</t>
  </si>
  <si>
    <t>1.名称：分歧管
2.规格：38.1*31.75*15.88
3.介质：冷剂管
4.其它说明：满足规范和设计图纸要求</t>
  </si>
  <si>
    <t>1.名称：分歧管
2.规格：31.75*31.75*15.88
3.介质：冷剂管
4.其它说明：满足规范和设计图纸要求</t>
  </si>
  <si>
    <t>1.名称：分歧管
2.规格：31.75*28.6*15.88
3.介质：冷剂管
4.其它说明：满足规范和设计图纸要求</t>
  </si>
  <si>
    <t>1.名称：分歧管
2.规格：28.6*28.6*15.88
3.介质：冷剂管
4.其它说明：满足规范和设计图纸要求</t>
  </si>
  <si>
    <t>1.名称：分歧管
2.规格：28.6*25.4*15.88
3.介质：冷剂管
4.其它说明：满足规范和设计图纸要求</t>
  </si>
  <si>
    <t>1.名称：分歧管
2.规格：25.4*19.05*15.88
3.介质：冷剂管
4.其它说明：满足规范和设计图纸要求</t>
  </si>
  <si>
    <t>1.名称：分歧管
2.规格：25.4*15.88*15.88
3.介质：冷剂管
4.其它说明：满足规范和设计图纸要求</t>
  </si>
  <si>
    <t>1.名称：分歧管
2.规格：22.2*22.2*19.05
3.介质：冷剂管
4.其它说明：满足规范和设计图纸要求</t>
  </si>
  <si>
    <t>1.名称：分歧管
2.规格：22.2*22.2*15.88
3.介质：冷剂管
4.其它说明：满足规范和设计图纸要求</t>
  </si>
  <si>
    <t>1.名称：分歧管
2.规格：22.2*19.05*9.53
3.介质：冷剂管
4.其它说明：满足规范和设计图纸要求</t>
  </si>
  <si>
    <t>1.名称：分歧管
2.规格：22.2*15.88*9.53
3.介质：冷剂管
4.其它说明：满足规范和设计图纸要求</t>
  </si>
  <si>
    <t>1.名称：分歧管
2.规格：19.05*19.05*9.53
3.介质：冷剂管
4.其它说明：满足规范和设计图纸要求</t>
  </si>
  <si>
    <t>1.名称：分歧管
2.规格：19.05*19.05*15.88
3.介质：冷剂管
4.其它说明：满足规范和设计图纸要求</t>
  </si>
  <si>
    <t>1.名称：分歧管
2.规格：19.05*15.88*9.53
3.介质：冷剂管
4.其它说明：满足规范和设计图纸要求</t>
  </si>
  <si>
    <t>1.名称：分歧管
2.规格：19.05*15.88*15.88
3.介质：冷剂管
4.其它说明：满足规范和设计图纸要求</t>
  </si>
  <si>
    <t>1.名称：分歧管
2.规格：15.88*15.88*9.53
3.介质：冷剂管
4.其它说明：满足规范和设计图纸要求</t>
  </si>
  <si>
    <t>1.名称：分歧管
2.规格：15.88*12.7*9.53
3.介质：冷剂管
4.其它说明：满足规范和设计图纸要求</t>
  </si>
  <si>
    <t>1.名称：分歧管
2.规格：12.7*12.7*9.53
3.介质：冷剂管
4.其它说明：满足规范和设计图纸要求</t>
  </si>
  <si>
    <t>1.名称：分歧管
2.规格：12.7*9.53*9.53
3.介质：冷剂管
4.其它说明：满足规范和设计图纸要求</t>
  </si>
  <si>
    <t>管道绝热</t>
  </si>
  <si>
    <t>1.绝热材料品种：闭孔带铝箔难燃B1级橡塑管壳
2.绝热厚度：10mm
3.其它说明：满足规范和设计图纸要求</t>
  </si>
  <si>
    <t>m3</t>
  </si>
  <si>
    <t>1.绝热材料品种：闭孔柔性泡沫难燃B1级橡塑管壳
2.绝热厚度：32mm
3.其它说明：满足规范和设计图纸要求</t>
  </si>
  <si>
    <t>通风工程检测、调试</t>
  </si>
  <si>
    <t>1.空调工程系统调试</t>
  </si>
  <si>
    <t>1.名称:一层售楼部照明配电箱
2.型号、规格:1AL1
3.安装方式:暗装,H+1.8m
4.含无端子接线</t>
  </si>
  <si>
    <t>1.名称:售楼部空调外机配电箱
2.型号、规格:AP-KT
3.安装方式:明装,支架安装
4.其它说明：满足规范和设计图纸要求</t>
  </si>
  <si>
    <t>1.名称:售楼部电梯电源箱
2.型号、规格:DTAT
3.安装方式:暗装,顶距地2.0m
4.其它说明：满足规范和设计图纸要求</t>
  </si>
  <si>
    <t>1.名称:电气配管
2.规格:焊接钢管 SC40
3.配置形式:明敷
4.其它说明：满足规范和设计图纸要求</t>
  </si>
  <si>
    <t>1.名称:电气配管
2.规格:焊接钢管 SC50
3.配置形式:明敷
4.其它说明：满足规范和设计图纸要求</t>
  </si>
  <si>
    <t>1.名称:电气配管
2.规格:焊接钢管 SC100
3.配置形式:明敷
4.其它说明：满足规范和设计图纸要求</t>
  </si>
  <si>
    <t>1.名称:电力电缆
2.规格:WDZR-YJY-5X10
3.敷设方式、部位:综合考虑
4.其它说明：满足规范和设计图纸要求</t>
  </si>
  <si>
    <t>1.名称:电力电缆
2.规格:WDZR-YJY-5X16
3.敷设方式、部位:综合考虑
4.其它说明：满足规范和设计图纸要求</t>
  </si>
  <si>
    <t>1.名称:电力电缆
2.规格:WDZR-YJY-4X95+1X50
3.敷设方式、部位:综合考虑
4.其它说明：满足规范和设计图纸要求</t>
  </si>
  <si>
    <t>1.名称:电力电缆终端头
2.规格:五芯10mm2
3.材质、类型:铜芯
4.安装部位:室内
5.其它说明：满足规范和设计图纸要求</t>
  </si>
  <si>
    <t>1.名称:电力电缆终端头
2.规格:五芯16mm2
3.材质、类型:铜芯
4.安装部位:室内
5.其它说明：满足规范和设计图纸要求</t>
  </si>
  <si>
    <t>1.名称:电力电缆终端头
2.规格:五芯95mm2
3.材质、类型:铜芯
4.安装部位:室内
5.其它说明：满足规范和设计图纸要求</t>
  </si>
  <si>
    <t>1.名称:双头射灯
2.规格:详见图纸
3.安装方式:吸顶
4.其它说明：满足规范和设计图纸要求</t>
  </si>
  <si>
    <t>1.名称:LED灯带
2.规格:详见图纸
3.安装方式:天棚内 
4.其它说明：满足规范和设计图纸要求</t>
  </si>
  <si>
    <t>1.名称:电动窗帘控制面板
2.规格:250V/10A
3.安装方式:暗装</t>
  </si>
  <si>
    <t>1.名称:空调控制开关
2.规格:250V/10A
3.安装方式:暗装</t>
  </si>
  <si>
    <t>1.名称:空调室外机HVR-1535W/SM2FZBph
2.外形尺寸:3200x750x1730
3.型号、规格:制冷量:153.5KW,制热量:172.5KW， 重量783kg
4.安装形式:落地安装
5.其它说明：满足规范和设计图纸要求</t>
  </si>
  <si>
    <t>1.名称:空调室外机HVR-800W/SM2FZBph
2.外形尺寸:3200x750x1730
3.型号、规格:制冷量:80KW,制热量:90KW， 重量392kg
4.安装形式:落地安装
5.其它说明：满足规范和设计图纸要求</t>
  </si>
  <si>
    <t>1.名称:空调室外机HVR-615W/SM2FZBph
2.外形尺寸:3200x750x1730
3.型号、规格:制冷量:61.5KW,制热量:69KW， 重量363kg
4.安装形式:落地安装
5.其它说明：满足规范和设计图纸要求</t>
  </si>
  <si>
    <t>1.安装部位:室内
2.介质:空调冷凝水
3.材质、规格:硬聚氯乙稀管PVC-U De40
4.连接形式:粘接连接
5.含成品管卡
6.其它说明：满足规范和设计图纸要求</t>
  </si>
  <si>
    <t>1.名称：分歧管
2.规格：15.88*15.88*15.88
3.介质：冷剂管
4.其它说明：满足规范和设计图纸要求</t>
  </si>
  <si>
    <t>1.名称：分歧管
2.规格：9.53*9.53*9.53
3.介质：冷剂管
4.其它说明：满足规范和设计图纸要求</t>
  </si>
  <si>
    <t>增加示范区弱电工程--清单工程程量清单</t>
  </si>
  <si>
    <t>工程名称：河南省洛阳市浩德地产伊河湾营销中心装饰工程--增加示范区弱电工程</t>
  </si>
  <si>
    <t>1.名称:摄像机
2.类别:网络一体化枪式摄像机
3.安装方式:立杆安装,颜色与园林结合
4.其它说明：满足规范和设计图纸要求</t>
  </si>
  <si>
    <t>1.名称:摄像机
2.类别:网络一体化球机
3.安装方式:立杆安装,颜色与园林结合
4.其它说明：满足规范和设计图纸要求</t>
  </si>
  <si>
    <t>1.名称:电梯轿厢摄像机
2.类别:详见图纸
3.安装方式:轿厢内安装
4.其它说明：满足规范和设计图纸要求</t>
  </si>
  <si>
    <t>监控立杆</t>
  </si>
  <si>
    <t>1.名称：监控立杆
2.型号、规格：镀锌烤漆 高3.5m
3.基础规格、浇筑材质：详见图纸
4.其它说明：满足规范和设计图纸要求</t>
  </si>
  <si>
    <t>1.名称:室外防水设备箱 ZP-RD-01/02
2.规格:600m*450mm*600mm
3.配置:含交换机、光纤收发器、光纤收发盒等
4.安装方式:落地
5.其它说明：满足规范和设计图纸要求</t>
  </si>
  <si>
    <t>1.名称:音箱
2.类别:室外防水
3.规格:15W 广音域
4.安装方式:选用现代样式音箱,与景观协调,并可对安装位置作微调
5.其它说明：满足规范和设计图纸要求</t>
  </si>
  <si>
    <t>人(手）孔砌筑</t>
  </si>
  <si>
    <t>1.名称:弱电手孔井
2.规格:400m*400mm*800mm
3.做法详见图纸
4.其它说明：满足规范和设计图纸要求</t>
  </si>
  <si>
    <t>1.名称:弱电人孔井
2.规格:1000m*900mm*1200mm
3.做法详见图纸
4.其它说明：满足规范和设计图纸要求</t>
  </si>
  <si>
    <t>1.名称:单元门口机
2.规格:详见图纸
3.安装方式:嵌墙安装,安装高度底边距地1.3m
4.其它说明：满足规范和设计图纸要求</t>
  </si>
  <si>
    <t>1.名称:电气配管
2.材质、规格:PVC20
3.配置形式:埋地
4.其它说明：满足规范和设计图纸要求</t>
  </si>
  <si>
    <t>1.名称:电气配管
2.材质、规格:PCV20
3.配置形式:暗配
4.其它说明：满足规范和设计图纸要求</t>
  </si>
  <si>
    <t>1.名称:电气配管
2.材质、规格:焊接钢管 SC50
3.配置形式:埋地
4.其它说明：满足规范和设计图纸要求</t>
  </si>
  <si>
    <t>1.名称:多芯软导线
2.规格、型号:RVV-2*1.0
3.敷设方式:穿管敷设
4.其它说明：满足规范和设计图纸要求</t>
  </si>
  <si>
    <t>1.名称:多芯软导线
2.规格、型号:RVS-2*1.5
3.敷设方式:穿管敷设
4.其它说明：满足规范和设计图纸要求</t>
  </si>
  <si>
    <t>1.名称:多芯软导线
2.规格、型号:RVV-3x2.5
3.敷设方式:管内敷设
4.其它说明：满足规范和设计图纸要求</t>
  </si>
  <si>
    <t>光缆</t>
  </si>
  <si>
    <t>1.名称：监控光缆
2.规格：4芯单模光纤
3.敷设方式：穿管敷设
4.其它说明：满足规范和设计图纸要求</t>
  </si>
  <si>
    <t>挖沟槽土方</t>
  </si>
  <si>
    <t>1.名称:土方开挖
2.土壤类别:综合考虑
3.挖土深度:详见图纸设计
4.其它说明：满足规范和设计图纸要求</t>
  </si>
  <si>
    <t>回填方</t>
  </si>
  <si>
    <t>1.名称:土方回填
2.密实度要求:夯填
3.填方材料品种:现场土
4填方粒径要求:满足图纸及规范要求</t>
  </si>
  <si>
    <r>
      <rPr>
        <sz val="20"/>
        <rFont val="Arial"/>
        <charset val="134"/>
      </rPr>
      <t>5#</t>
    </r>
    <r>
      <rPr>
        <sz val="20"/>
        <rFont val="宋体"/>
        <charset val="134"/>
      </rPr>
      <t>楼门计算工程量</t>
    </r>
  </si>
  <si>
    <r>
      <rPr>
        <sz val="20"/>
        <rFont val="Arial"/>
        <charset val="134"/>
      </rPr>
      <t>2#</t>
    </r>
    <r>
      <rPr>
        <sz val="20"/>
        <rFont val="宋体"/>
        <charset val="134"/>
      </rPr>
      <t>楼门计算工程量</t>
    </r>
  </si>
  <si>
    <r>
      <rPr>
        <sz val="20"/>
        <rFont val="Arial"/>
        <charset val="134"/>
      </rPr>
      <t>7#</t>
    </r>
    <r>
      <rPr>
        <sz val="20"/>
        <rFont val="宋体"/>
        <charset val="134"/>
      </rPr>
      <t>楼门计算工程量</t>
    </r>
  </si>
  <si>
    <r>
      <rPr>
        <sz val="20"/>
        <rFont val="Arial"/>
        <charset val="134"/>
      </rPr>
      <t>8#</t>
    </r>
    <r>
      <rPr>
        <sz val="20"/>
        <rFont val="宋体"/>
        <charset val="134"/>
      </rPr>
      <t>楼门计算工程量</t>
    </r>
  </si>
  <si>
    <t>工程量</t>
  </si>
  <si>
    <t>理论重量</t>
  </si>
  <si>
    <t>柱子及墙面</t>
  </si>
  <si>
    <r>
      <rPr>
        <sz val="10"/>
        <rFont val="Arial"/>
        <charset val="134"/>
      </rPr>
      <t>300x300x20mm</t>
    </r>
    <r>
      <rPr>
        <sz val="10"/>
        <rFont val="宋体"/>
        <charset val="134"/>
      </rPr>
      <t>热浸镀锌后置埋件</t>
    </r>
    <r>
      <rPr>
        <sz val="10"/>
        <rFont val="Arial"/>
        <charset val="134"/>
      </rPr>
      <t xml:space="preserve">  M20</t>
    </r>
    <r>
      <rPr>
        <sz val="10"/>
        <rFont val="宋体"/>
        <charset val="134"/>
      </rPr>
      <t>不锈钢化学螺栓</t>
    </r>
  </si>
  <si>
    <t>块</t>
  </si>
  <si>
    <r>
      <rPr>
        <sz val="10"/>
        <rFont val="Arial"/>
        <charset val="134"/>
      </rPr>
      <t>200*5</t>
    </r>
    <r>
      <rPr>
        <sz val="10"/>
        <rFont val="宋体"/>
        <charset val="134"/>
      </rPr>
      <t>热浸镀锌钢方管</t>
    </r>
  </si>
  <si>
    <r>
      <rPr>
        <sz val="10"/>
        <rFont val="Arial"/>
        <charset val="134"/>
      </rPr>
      <t>8#</t>
    </r>
    <r>
      <rPr>
        <sz val="10"/>
        <rFont val="宋体"/>
        <charset val="134"/>
      </rPr>
      <t>热浸镀锌槽钢</t>
    </r>
  </si>
  <si>
    <r>
      <rPr>
        <sz val="10"/>
        <rFont val="Arial"/>
        <charset val="134"/>
      </rPr>
      <t>L50x4</t>
    </r>
    <r>
      <rPr>
        <sz val="10"/>
        <rFont val="宋体"/>
        <charset val="134"/>
      </rPr>
      <t>热浸镀锌角钢</t>
    </r>
  </si>
  <si>
    <r>
      <rPr>
        <sz val="10"/>
        <rFont val="Arial"/>
        <charset val="134"/>
      </rPr>
      <t>10#</t>
    </r>
    <r>
      <rPr>
        <sz val="10"/>
        <rFont val="宋体"/>
        <charset val="134"/>
      </rPr>
      <t>热浸镀锌槽钢</t>
    </r>
  </si>
  <si>
    <r>
      <rPr>
        <sz val="10"/>
        <rFont val="Arial"/>
        <charset val="134"/>
      </rPr>
      <t xml:space="preserve">300x200x8mm
</t>
    </r>
    <r>
      <rPr>
        <sz val="10"/>
        <rFont val="宋体"/>
        <charset val="134"/>
      </rPr>
      <t>热浸镀锌后置埋件</t>
    </r>
    <r>
      <rPr>
        <sz val="10"/>
        <rFont val="Arial"/>
        <charset val="134"/>
      </rPr>
      <t xml:space="preserve">M12
</t>
    </r>
    <r>
      <rPr>
        <sz val="10"/>
        <rFont val="宋体"/>
        <charset val="134"/>
      </rPr>
      <t>特殊倒锥型化学锚栓</t>
    </r>
  </si>
  <si>
    <r>
      <rPr>
        <sz val="10"/>
        <rFont val="Arial"/>
        <charset val="134"/>
      </rPr>
      <t>L50x4</t>
    </r>
    <r>
      <rPr>
        <sz val="10"/>
        <rFont val="宋体"/>
        <charset val="134"/>
      </rPr>
      <t>热浸镀锌角钢（墙岩口）</t>
    </r>
  </si>
  <si>
    <r>
      <rPr>
        <sz val="10"/>
        <rFont val="宋体"/>
        <charset val="134"/>
      </rPr>
      <t>（</t>
    </r>
    <r>
      <rPr>
        <sz val="10"/>
        <rFont val="Arial"/>
        <charset val="134"/>
      </rPr>
      <t>1-1</t>
    </r>
    <r>
      <rPr>
        <sz val="10"/>
        <rFont val="宋体"/>
        <charset val="134"/>
      </rPr>
      <t>）</t>
    </r>
  </si>
  <si>
    <r>
      <rPr>
        <sz val="10"/>
        <rFont val="Arial"/>
        <charset val="134"/>
      </rPr>
      <t>300x200x8mm</t>
    </r>
    <r>
      <rPr>
        <sz val="10"/>
        <rFont val="宋体"/>
        <charset val="134"/>
      </rPr>
      <t>热浸镀锌后置埋件</t>
    </r>
    <r>
      <rPr>
        <sz val="10"/>
        <rFont val="Arial"/>
        <charset val="134"/>
      </rPr>
      <t xml:space="preserve">
M12</t>
    </r>
    <r>
      <rPr>
        <sz val="10"/>
        <rFont val="宋体"/>
        <charset val="134"/>
      </rPr>
      <t>不锈钢对穿螺栓</t>
    </r>
  </si>
  <si>
    <t>（2-2）</t>
  </si>
  <si>
    <r>
      <rPr>
        <sz val="10"/>
        <rFont val="Arial"/>
        <charset val="134"/>
      </rPr>
      <t xml:space="preserve">300x200x8mm
</t>
    </r>
    <r>
      <rPr>
        <sz val="10"/>
        <rFont val="宋体"/>
        <charset val="134"/>
      </rPr>
      <t>热浸镀锌后置埋件</t>
    </r>
    <r>
      <rPr>
        <sz val="10"/>
        <rFont val="Arial"/>
        <charset val="134"/>
      </rPr>
      <t xml:space="preserve">
M12
</t>
    </r>
    <r>
      <rPr>
        <sz val="10"/>
        <rFont val="宋体"/>
        <charset val="134"/>
      </rPr>
      <t>不锈钢对穿螺栓</t>
    </r>
  </si>
  <si>
    <t>顶钢架</t>
  </si>
  <si>
    <r>
      <rPr>
        <sz val="10"/>
        <rFont val="Arial"/>
        <charset val="134"/>
      </rPr>
      <t xml:space="preserve">80*60*5mm
</t>
    </r>
    <r>
      <rPr>
        <sz val="10"/>
        <rFont val="宋体"/>
        <charset val="134"/>
      </rPr>
      <t>镀锌钢管</t>
    </r>
  </si>
  <si>
    <r>
      <rPr>
        <sz val="10"/>
        <rFont val="Arial"/>
        <charset val="134"/>
      </rPr>
      <t xml:space="preserve">L50X4
</t>
    </r>
    <r>
      <rPr>
        <sz val="10"/>
        <rFont val="宋体"/>
        <charset val="134"/>
      </rPr>
      <t>镀锌角钢</t>
    </r>
  </si>
  <si>
    <r>
      <rPr>
        <sz val="10"/>
        <rFont val="Arial"/>
        <charset val="134"/>
      </rPr>
      <t xml:space="preserve">300x200x8mm
</t>
    </r>
    <r>
      <rPr>
        <sz val="10"/>
        <rFont val="宋体"/>
        <charset val="134"/>
      </rPr>
      <t>热浸镀锌后置埋件</t>
    </r>
    <r>
      <rPr>
        <sz val="10"/>
        <rFont val="Arial"/>
        <charset val="134"/>
      </rPr>
      <t xml:space="preserve">
M12
</t>
    </r>
    <r>
      <rPr>
        <sz val="10"/>
        <rFont val="宋体"/>
        <charset val="134"/>
      </rPr>
      <t>特殊倒锥型化学锚栓</t>
    </r>
  </si>
  <si>
    <r>
      <rPr>
        <sz val="10"/>
        <rFont val="Arial"/>
        <charset val="134"/>
      </rPr>
      <t>l20*3</t>
    </r>
    <r>
      <rPr>
        <sz val="10"/>
        <rFont val="宋体"/>
        <charset val="134"/>
      </rPr>
      <t>封边角钢</t>
    </r>
  </si>
</sst>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68">
    <font>
      <sz val="10"/>
      <name val="Arial"/>
      <charset val="1"/>
    </font>
    <font>
      <sz val="20"/>
      <name val="Arial"/>
      <charset val="1"/>
    </font>
    <font>
      <sz val="10"/>
      <name val="宋体"/>
      <charset val="134"/>
    </font>
    <font>
      <sz val="20"/>
      <name val="Arial"/>
      <charset val="134"/>
    </font>
    <font>
      <sz val="9"/>
      <color theme="1"/>
      <name val="宋体"/>
      <charset val="134"/>
      <scheme val="minor"/>
    </font>
    <font>
      <b/>
      <sz val="20"/>
      <name val="宋体"/>
      <charset val="134"/>
    </font>
    <font>
      <sz val="9"/>
      <name val="宋体"/>
      <charset val="134"/>
    </font>
    <font>
      <b/>
      <sz val="9"/>
      <name val="宋体"/>
      <charset val="134"/>
    </font>
    <font>
      <u/>
      <sz val="9"/>
      <name val="宋体"/>
      <charset val="134"/>
    </font>
    <font>
      <sz val="12"/>
      <name val="宋体"/>
      <charset val="134"/>
    </font>
    <font>
      <sz val="9"/>
      <color rgb="FFFF0000"/>
      <name val="宋体"/>
      <charset val="134"/>
    </font>
    <font>
      <b/>
      <sz val="16"/>
      <name val="宋体"/>
      <charset val="134"/>
    </font>
    <font>
      <sz val="10"/>
      <color theme="1"/>
      <name val="微软雅黑"/>
      <charset val="134"/>
    </font>
    <font>
      <sz val="10"/>
      <name val="微软雅黑"/>
      <charset val="134"/>
    </font>
    <font>
      <sz val="10"/>
      <color rgb="FFFF0000"/>
      <name val="微软雅黑"/>
      <charset val="134"/>
    </font>
    <font>
      <sz val="10"/>
      <color rgb="FFFF0000"/>
      <name val="宋体"/>
      <charset val="134"/>
    </font>
    <font>
      <b/>
      <sz val="16"/>
      <name val="楷体_GB2312"/>
      <charset val="134"/>
    </font>
    <font>
      <b/>
      <sz val="11"/>
      <name val="宋体"/>
      <charset val="134"/>
    </font>
    <font>
      <sz val="10.5"/>
      <name val="楷体_GB2312"/>
      <charset val="134"/>
    </font>
    <font>
      <sz val="10"/>
      <name val="宋体"/>
      <charset val="134"/>
      <scheme val="minor"/>
    </font>
    <font>
      <b/>
      <sz val="12"/>
      <name val="宋体"/>
      <charset val="134"/>
    </font>
    <font>
      <sz val="10"/>
      <color theme="1"/>
      <name val="宋体"/>
      <charset val="134"/>
      <scheme val="minor"/>
    </font>
    <font>
      <sz val="11"/>
      <color theme="1"/>
      <name val="宋体"/>
      <charset val="134"/>
      <scheme val="minor"/>
    </font>
    <font>
      <sz val="8"/>
      <color theme="1"/>
      <name val="宋体"/>
      <charset val="134"/>
      <scheme val="minor"/>
    </font>
    <font>
      <b/>
      <sz val="14"/>
      <color theme="1"/>
      <name val="宋体"/>
      <charset val="134"/>
      <scheme val="minor"/>
    </font>
    <font>
      <b/>
      <sz val="18"/>
      <color theme="1"/>
      <name val="宋体"/>
      <charset val="134"/>
      <scheme val="minor"/>
    </font>
    <font>
      <b/>
      <sz val="8"/>
      <color theme="1"/>
      <name val="宋体"/>
      <charset val="134"/>
      <scheme val="minor"/>
    </font>
    <font>
      <b/>
      <sz val="8"/>
      <name val="微软雅黑"/>
      <charset val="134"/>
    </font>
    <font>
      <b/>
      <sz val="8"/>
      <color theme="0"/>
      <name val="微软雅黑"/>
      <charset val="134"/>
    </font>
    <font>
      <sz val="8"/>
      <color rgb="FFFF0000"/>
      <name val="宋体"/>
      <charset val="134"/>
      <scheme val="minor"/>
    </font>
    <font>
      <sz val="8"/>
      <color rgb="FF000000"/>
      <name val="宋体"/>
      <charset val="134"/>
      <scheme val="minor"/>
    </font>
    <font>
      <sz val="10"/>
      <color rgb="FF000000"/>
      <name val="宋体"/>
      <charset val="134"/>
      <scheme val="minor"/>
    </font>
    <font>
      <sz val="8"/>
      <name val="宋体"/>
      <charset val="134"/>
    </font>
    <font>
      <sz val="9"/>
      <color rgb="FF000000"/>
      <name val="宋体"/>
      <charset val="134"/>
      <scheme val="minor"/>
    </font>
    <font>
      <b/>
      <sz val="5"/>
      <name val="微软雅黑"/>
      <charset val="134"/>
    </font>
    <font>
      <b/>
      <sz val="8"/>
      <color rgb="FFFF0000"/>
      <name val="宋体"/>
      <charset val="134"/>
      <scheme val="minor"/>
    </font>
    <font>
      <sz val="10"/>
      <color rgb="FFFF0000"/>
      <name val="宋体"/>
      <charset val="134"/>
      <scheme val="minor"/>
    </font>
    <font>
      <b/>
      <sz val="10"/>
      <color theme="1"/>
      <name val="微软雅黑"/>
      <charset val="134"/>
    </font>
    <font>
      <b/>
      <sz val="8"/>
      <color theme="1"/>
      <name val="微软雅黑"/>
      <charset val="134"/>
    </font>
    <font>
      <sz val="8"/>
      <color theme="1"/>
      <name val="微软雅黑"/>
      <charset val="134"/>
    </font>
    <font>
      <b/>
      <sz val="9"/>
      <name val="微软雅黑"/>
      <charset val="134"/>
    </font>
    <font>
      <b/>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sz val="12"/>
      <color rgb="FF000000"/>
      <name val="宋体"/>
      <charset val="134"/>
    </font>
    <font>
      <sz val="10"/>
      <name val="Arial"/>
      <charset val="134"/>
    </font>
    <font>
      <sz val="20"/>
      <name val="宋体"/>
      <charset val="134"/>
    </font>
    <font>
      <sz val="9"/>
      <color rgb="FFFF0000"/>
      <name val="宋体"/>
      <charset val="134"/>
      <scheme val="minor"/>
    </font>
    <font>
      <sz val="9"/>
      <color theme="1"/>
      <name val="宋体"/>
      <charset val="134"/>
    </font>
    <font>
      <b/>
      <sz val="10"/>
      <color rgb="FFFF0000"/>
      <name val="宋体"/>
      <charset val="134"/>
    </font>
  </fonts>
  <fills count="43">
    <fill>
      <patternFill patternType="none"/>
    </fill>
    <fill>
      <patternFill patternType="gray125"/>
    </fill>
    <fill>
      <patternFill patternType="solid">
        <fgColor rgb="FFFFFF00"/>
        <bgColor indexed="1"/>
      </patternFill>
    </fill>
    <fill>
      <patternFill patternType="solid">
        <fgColor indexed="9"/>
        <bgColor indexed="1"/>
      </patternFill>
    </fill>
    <fill>
      <patternFill patternType="solid">
        <fgColor theme="0"/>
        <bgColor indexed="1"/>
      </patternFill>
    </fill>
    <fill>
      <patternFill patternType="solid">
        <fgColor theme="9"/>
        <bgColor indexed="1"/>
      </patternFill>
    </fill>
    <fill>
      <patternFill patternType="solid">
        <fgColor theme="9"/>
        <bgColor indexed="64"/>
      </patternFill>
    </fill>
    <fill>
      <patternFill patternType="solid">
        <fgColor theme="0"/>
        <bgColor indexed="64"/>
      </patternFill>
    </fill>
    <fill>
      <patternFill patternType="solid">
        <fgColor rgb="FF00B0F0"/>
        <bgColor indexed="1"/>
      </patternFill>
    </fill>
    <fill>
      <patternFill patternType="solid">
        <fgColor rgb="FFFFFF00"/>
        <bgColor indexed="64"/>
      </patternFill>
    </fill>
    <fill>
      <patternFill patternType="solid">
        <fgColor rgb="FF92D050"/>
        <bgColor indexed="1"/>
      </patternFill>
    </fill>
    <fill>
      <patternFill patternType="solid">
        <fgColor rgb="FF92D050"/>
        <bgColor indexed="64"/>
      </patternFill>
    </fill>
    <fill>
      <patternFill patternType="solid">
        <fgColor theme="8"/>
        <bgColor indexed="64"/>
      </patternFill>
    </fill>
    <fill>
      <patternFill patternType="solid">
        <fgColor theme="9" tint="0.4"/>
        <bgColor indexed="1"/>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2">
    <xf numFmtId="0" fontId="0" fillId="0" borderId="0"/>
    <xf numFmtId="42" fontId="22" fillId="0" borderId="0" applyFont="0" applyFill="0" applyBorder="0" applyAlignment="0" applyProtection="0">
      <alignment vertical="center"/>
    </xf>
    <xf numFmtId="0" fontId="42" fillId="14" borderId="0" applyNumberFormat="0" applyBorder="0" applyAlignment="0" applyProtection="0">
      <alignment vertical="center"/>
    </xf>
    <xf numFmtId="0" fontId="43" fillId="15" borderId="22" applyNumberFormat="0" applyAlignment="0" applyProtection="0">
      <alignment vertical="center"/>
    </xf>
    <xf numFmtId="44" fontId="22" fillId="0" borderId="0" applyFont="0" applyFill="0" applyBorder="0" applyAlignment="0" applyProtection="0">
      <alignment vertical="center"/>
    </xf>
    <xf numFmtId="41" fontId="22" fillId="0" borderId="0" applyFont="0" applyFill="0" applyBorder="0" applyAlignment="0" applyProtection="0">
      <alignment vertical="center"/>
    </xf>
    <xf numFmtId="0" fontId="9" fillId="0" borderId="0">
      <alignment vertical="center"/>
    </xf>
    <xf numFmtId="43" fontId="22" fillId="0" borderId="0" applyFont="0" applyFill="0" applyBorder="0" applyAlignment="0" applyProtection="0">
      <alignment vertical="center"/>
    </xf>
    <xf numFmtId="0" fontId="9" fillId="0" borderId="0">
      <alignment vertical="center"/>
    </xf>
    <xf numFmtId="0" fontId="42" fillId="16" borderId="0" applyNumberFormat="0" applyBorder="0" applyAlignment="0" applyProtection="0">
      <alignment vertical="center"/>
    </xf>
    <xf numFmtId="0" fontId="44" fillId="17" borderId="0" applyNumberFormat="0" applyBorder="0" applyAlignment="0" applyProtection="0">
      <alignment vertical="center"/>
    </xf>
    <xf numFmtId="0" fontId="45" fillId="18" borderId="0" applyNumberFormat="0" applyBorder="0" applyAlignment="0" applyProtection="0">
      <alignment vertical="center"/>
    </xf>
    <xf numFmtId="0" fontId="46" fillId="0" borderId="0" applyNumberFormat="0" applyFill="0" applyBorder="0" applyAlignment="0" applyProtection="0">
      <alignment vertical="center"/>
    </xf>
    <xf numFmtId="9" fontId="22" fillId="0" borderId="0" applyFont="0" applyFill="0" applyBorder="0" applyAlignment="0" applyProtection="0">
      <alignment vertical="center"/>
    </xf>
    <xf numFmtId="0" fontId="47" fillId="0" borderId="0" applyNumberFormat="0" applyFill="0" applyBorder="0" applyAlignment="0" applyProtection="0">
      <alignment vertical="center"/>
    </xf>
    <xf numFmtId="0" fontId="22" fillId="19" borderId="23" applyNumberFormat="0" applyFont="0" applyAlignment="0" applyProtection="0">
      <alignment vertical="center"/>
    </xf>
    <xf numFmtId="0" fontId="45" fillId="20" borderId="0" applyNumberFormat="0" applyBorder="0" applyAlignment="0" applyProtection="0">
      <alignment vertical="center"/>
    </xf>
    <xf numFmtId="0" fontId="4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22" fillId="0" borderId="0">
      <alignment vertical="center"/>
    </xf>
    <xf numFmtId="0" fontId="9" fillId="0" borderId="0">
      <alignment vertical="center"/>
    </xf>
    <xf numFmtId="0" fontId="51" fillId="0" borderId="0" applyNumberFormat="0" applyFill="0" applyBorder="0" applyAlignment="0" applyProtection="0">
      <alignment vertical="center"/>
    </xf>
    <xf numFmtId="0" fontId="52" fillId="0" borderId="24" applyNumberFormat="0" applyFill="0" applyAlignment="0" applyProtection="0">
      <alignment vertical="center"/>
    </xf>
    <xf numFmtId="0" fontId="53" fillId="0" borderId="24" applyNumberFormat="0" applyFill="0" applyAlignment="0" applyProtection="0">
      <alignment vertical="center"/>
    </xf>
    <xf numFmtId="0" fontId="22" fillId="0" borderId="0">
      <alignment vertical="center"/>
    </xf>
    <xf numFmtId="0" fontId="45" fillId="21" borderId="0" applyNumberFormat="0" applyBorder="0" applyAlignment="0" applyProtection="0">
      <alignment vertical="center"/>
    </xf>
    <xf numFmtId="0" fontId="48" fillId="0" borderId="25" applyNumberFormat="0" applyFill="0" applyAlignment="0" applyProtection="0">
      <alignment vertical="center"/>
    </xf>
    <xf numFmtId="0" fontId="45" fillId="22" borderId="0" applyNumberFormat="0" applyBorder="0" applyAlignment="0" applyProtection="0">
      <alignment vertical="center"/>
    </xf>
    <xf numFmtId="0" fontId="54" fillId="23" borderId="26" applyNumberFormat="0" applyAlignment="0" applyProtection="0">
      <alignment vertical="center"/>
    </xf>
    <xf numFmtId="0" fontId="9" fillId="0" borderId="0">
      <alignment vertical="center"/>
    </xf>
    <xf numFmtId="0" fontId="55" fillId="23" borderId="22" applyNumberFormat="0" applyAlignment="0" applyProtection="0">
      <alignment vertical="center"/>
    </xf>
    <xf numFmtId="0" fontId="56" fillId="24" borderId="27" applyNumberFormat="0" applyAlignment="0" applyProtection="0">
      <alignment vertical="center"/>
    </xf>
    <xf numFmtId="0" fontId="42" fillId="25" borderId="0" applyNumberFormat="0" applyBorder="0" applyAlignment="0" applyProtection="0">
      <alignment vertical="center"/>
    </xf>
    <xf numFmtId="0" fontId="45" fillId="26" borderId="0" applyNumberFormat="0" applyBorder="0" applyAlignment="0" applyProtection="0">
      <alignment vertical="center"/>
    </xf>
    <xf numFmtId="0" fontId="57" fillId="0" borderId="28" applyNumberFormat="0" applyFill="0" applyAlignment="0" applyProtection="0">
      <alignment vertical="center"/>
    </xf>
    <xf numFmtId="0" fontId="58" fillId="0" borderId="29" applyNumberFormat="0" applyFill="0" applyAlignment="0" applyProtection="0">
      <alignment vertical="center"/>
    </xf>
    <xf numFmtId="0" fontId="9" fillId="0" borderId="0">
      <alignment vertical="center"/>
    </xf>
    <xf numFmtId="0" fontId="59" fillId="27" borderId="0" applyNumberFormat="0" applyBorder="0" applyAlignment="0" applyProtection="0">
      <alignment vertical="center"/>
    </xf>
    <xf numFmtId="0" fontId="60" fillId="28" borderId="0" applyNumberFormat="0" applyBorder="0" applyAlignment="0" applyProtection="0">
      <alignment vertical="center"/>
    </xf>
    <xf numFmtId="0" fontId="42" fillId="29" borderId="0" applyNumberFormat="0" applyBorder="0" applyAlignment="0" applyProtection="0">
      <alignment vertical="center"/>
    </xf>
    <xf numFmtId="0" fontId="45"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2" fillId="33" borderId="0" applyNumberFormat="0" applyBorder="0" applyAlignment="0" applyProtection="0">
      <alignment vertical="center"/>
    </xf>
    <xf numFmtId="0" fontId="42" fillId="34" borderId="0" applyNumberFormat="0" applyBorder="0" applyAlignment="0" applyProtection="0">
      <alignment vertical="center"/>
    </xf>
    <xf numFmtId="0" fontId="45" fillId="35" borderId="0" applyNumberFormat="0" applyBorder="0" applyAlignment="0" applyProtection="0">
      <alignment vertical="center"/>
    </xf>
    <xf numFmtId="0" fontId="9" fillId="0" borderId="0">
      <alignment vertical="center"/>
    </xf>
    <xf numFmtId="0" fontId="45" fillId="36" borderId="0" applyNumberFormat="0" applyBorder="0" applyAlignment="0" applyProtection="0">
      <alignment vertical="center"/>
    </xf>
    <xf numFmtId="0" fontId="42" fillId="37" borderId="0" applyNumberFormat="0" applyBorder="0" applyAlignment="0" applyProtection="0">
      <alignment vertical="center"/>
    </xf>
    <xf numFmtId="0" fontId="42" fillId="38" borderId="0" applyNumberFormat="0" applyBorder="0" applyAlignment="0" applyProtection="0">
      <alignment vertical="center"/>
    </xf>
    <xf numFmtId="0" fontId="9" fillId="0" borderId="0">
      <alignment vertical="center"/>
    </xf>
    <xf numFmtId="0" fontId="45" fillId="12" borderId="0" applyNumberFormat="0" applyBorder="0" applyAlignment="0" applyProtection="0">
      <alignment vertical="center"/>
    </xf>
    <xf numFmtId="0" fontId="42" fillId="39" borderId="0" applyNumberFormat="0" applyBorder="0" applyAlignment="0" applyProtection="0">
      <alignment vertical="center"/>
    </xf>
    <xf numFmtId="0" fontId="45" fillId="40" borderId="0" applyNumberFormat="0" applyBorder="0" applyAlignment="0" applyProtection="0">
      <alignment vertical="center"/>
    </xf>
    <xf numFmtId="0" fontId="9" fillId="0" borderId="0">
      <alignment vertical="center"/>
    </xf>
    <xf numFmtId="0" fontId="9" fillId="0" borderId="0">
      <alignment vertical="center"/>
    </xf>
    <xf numFmtId="0" fontId="45" fillId="6" borderId="0" applyNumberFormat="0" applyBorder="0" applyAlignment="0" applyProtection="0">
      <alignment vertical="center"/>
    </xf>
    <xf numFmtId="0" fontId="42" fillId="41" borderId="0" applyNumberFormat="0" applyBorder="0" applyAlignment="0" applyProtection="0">
      <alignment vertical="center"/>
    </xf>
    <xf numFmtId="0" fontId="45" fillId="42" borderId="0" applyNumberFormat="0" applyBorder="0" applyAlignment="0" applyProtection="0">
      <alignment vertical="center"/>
    </xf>
    <xf numFmtId="0" fontId="9" fillId="0" borderId="0">
      <alignment vertical="center"/>
    </xf>
    <xf numFmtId="0" fontId="9" fillId="0" borderId="0">
      <alignment vertical="center"/>
    </xf>
    <xf numFmtId="0" fontId="61" fillId="0" borderId="0">
      <alignment vertical="center"/>
    </xf>
    <xf numFmtId="0" fontId="9" fillId="0" borderId="0">
      <alignment vertical="center"/>
    </xf>
    <xf numFmtId="176" fontId="62" fillId="0" borderId="1">
      <alignment horizontal="right" vertical="center" wrapText="1"/>
    </xf>
    <xf numFmtId="0" fontId="9" fillId="0" borderId="0">
      <alignment vertical="center"/>
    </xf>
    <xf numFmtId="0" fontId="9" fillId="0" borderId="0">
      <alignment vertical="center"/>
    </xf>
    <xf numFmtId="0" fontId="9" fillId="0" borderId="0">
      <alignment vertical="center"/>
    </xf>
    <xf numFmtId="0" fontId="63" fillId="0" borderId="0"/>
    <xf numFmtId="0" fontId="22" fillId="0" borderId="0">
      <alignment vertical="center"/>
    </xf>
    <xf numFmtId="0" fontId="22"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61" fillId="0" borderId="0">
      <alignment vertical="center"/>
    </xf>
    <xf numFmtId="176" fontId="62" fillId="0" borderId="1">
      <alignment horizontal="right" vertical="center" wrapText="1"/>
    </xf>
    <xf numFmtId="0" fontId="22" fillId="0" borderId="0">
      <alignment vertical="center"/>
    </xf>
    <xf numFmtId="0" fontId="9" fillId="0" borderId="0"/>
    <xf numFmtId="0" fontId="62" fillId="0" borderId="0" applyProtection="0">
      <alignment vertical="center"/>
    </xf>
    <xf numFmtId="0" fontId="4" fillId="0" borderId="0"/>
  </cellStyleXfs>
  <cellXfs count="306">
    <xf numFmtId="0" fontId="0" fillId="0" borderId="0" xfId="0"/>
    <xf numFmtId="0" fontId="0" fillId="0" borderId="0" xfId="0" applyAlignment="1">
      <alignment horizontal="center" vertical="center"/>
    </xf>
    <xf numFmtId="0" fontId="0" fillId="0" borderId="0" xfId="0" applyAlignment="1">
      <alignment vertical="center"/>
    </xf>
    <xf numFmtId="0" fontId="0" fillId="0" borderId="0" xfId="0" applyAlignment="1">
      <alignment horizontal="center"/>
    </xf>
    <xf numFmtId="0" fontId="0" fillId="0" borderId="0" xfId="0" applyFill="1"/>
    <xf numFmtId="0" fontId="1" fillId="0" borderId="0" xfId="0" applyFont="1" applyAlignment="1">
      <alignment horizontal="center" vertical="center"/>
    </xf>
    <xf numFmtId="0" fontId="1" fillId="0" borderId="0" xfId="0" applyFont="1" applyFill="1" applyAlignment="1">
      <alignment horizontal="center" vertical="center"/>
    </xf>
    <xf numFmtId="0" fontId="2" fillId="0" borderId="1" xfId="0" applyFont="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vertical="center"/>
    </xf>
    <xf numFmtId="0" fontId="2" fillId="0" borderId="1" xfId="0" applyFont="1" applyBorder="1" applyAlignment="1">
      <alignment vertical="center"/>
    </xf>
    <xf numFmtId="0" fontId="0" fillId="0" borderId="1" xfId="0" applyBorder="1" applyAlignment="1">
      <alignment horizontal="center"/>
    </xf>
    <xf numFmtId="0" fontId="0" fillId="0" borderId="1" xfId="0" applyFont="1" applyFill="1" applyBorder="1" applyAlignment="1">
      <alignment wrapText="1"/>
    </xf>
    <xf numFmtId="0" fontId="2" fillId="0" borderId="1" xfId="0" applyFont="1" applyBorder="1"/>
    <xf numFmtId="0" fontId="0" fillId="0" borderId="1" xfId="0" applyBorder="1"/>
    <xf numFmtId="0" fontId="0" fillId="0" borderId="1" xfId="0" applyFont="1" applyFill="1" applyBorder="1"/>
    <xf numFmtId="0" fontId="2" fillId="0" borderId="1" xfId="0" applyFont="1" applyFill="1" applyBorder="1" applyAlignment="1">
      <alignment wrapText="1"/>
    </xf>
    <xf numFmtId="0" fontId="2" fillId="0" borderId="1" xfId="0" applyFont="1" applyFill="1" applyBorder="1"/>
    <xf numFmtId="0" fontId="3" fillId="0" borderId="0" xfId="0" applyFont="1" applyAlignment="1">
      <alignment horizontal="center" vertical="center"/>
    </xf>
    <xf numFmtId="0" fontId="4" fillId="0" borderId="0" xfId="81" applyFont="1" applyFill="1" applyAlignment="1"/>
    <xf numFmtId="0" fontId="4" fillId="0" borderId="0" xfId="81" applyFont="1" applyFill="1" applyAlignment="1">
      <alignment horizontal="center"/>
    </xf>
    <xf numFmtId="0" fontId="4" fillId="0" borderId="0" xfId="81" applyFont="1" applyFill="1" applyAlignment="1">
      <alignment horizontal="left"/>
    </xf>
    <xf numFmtId="0" fontId="4" fillId="0" borderId="0" xfId="81" applyFont="1" applyFill="1" applyAlignment="1">
      <alignment horizontal="center" vertical="center"/>
    </xf>
    <xf numFmtId="176" fontId="4" fillId="0" borderId="0" xfId="81" applyNumberFormat="1" applyFont="1" applyFill="1" applyAlignment="1">
      <alignment horizontal="center" vertical="center"/>
    </xf>
    <xf numFmtId="10" fontId="4" fillId="0" borderId="0" xfId="81" applyNumberFormat="1" applyFont="1" applyFill="1" applyAlignment="1">
      <alignment horizontal="center" vertical="center"/>
    </xf>
    <xf numFmtId="0" fontId="5" fillId="0" borderId="0" xfId="81" applyFont="1" applyFill="1" applyAlignment="1">
      <alignment horizontal="center" vertical="center" wrapText="1"/>
    </xf>
    <xf numFmtId="176" fontId="5" fillId="0" borderId="0" xfId="81" applyNumberFormat="1" applyFont="1" applyFill="1" applyAlignment="1">
      <alignment horizontal="center" vertical="center" wrapText="1"/>
    </xf>
    <xf numFmtId="0" fontId="6" fillId="0" borderId="0" xfId="81" applyFont="1" applyFill="1" applyAlignment="1">
      <alignment horizontal="left" vertical="center" wrapText="1"/>
    </xf>
    <xf numFmtId="176" fontId="6" fillId="0" borderId="0" xfId="81" applyNumberFormat="1" applyFont="1" applyFill="1" applyAlignment="1">
      <alignment horizontal="left" vertical="center" wrapText="1"/>
    </xf>
    <xf numFmtId="176" fontId="6" fillId="0" borderId="0" xfId="81" applyNumberFormat="1" applyFont="1" applyFill="1" applyAlignment="1">
      <alignment horizontal="center" vertical="center" wrapText="1"/>
    </xf>
    <xf numFmtId="0" fontId="6" fillId="0" borderId="1" xfId="81" applyFont="1" applyFill="1" applyBorder="1" applyAlignment="1">
      <alignment horizontal="center" vertical="center" wrapText="1"/>
    </xf>
    <xf numFmtId="176" fontId="6" fillId="0" borderId="1" xfId="81" applyNumberFormat="1" applyFont="1" applyFill="1" applyBorder="1" applyAlignment="1">
      <alignment horizontal="center" vertical="center" wrapText="1"/>
    </xf>
    <xf numFmtId="0" fontId="6" fillId="0" borderId="1" xfId="81" applyFont="1" applyFill="1" applyBorder="1" applyAlignment="1">
      <alignment horizontal="left" vertical="center" wrapText="1"/>
    </xf>
    <xf numFmtId="176" fontId="6" fillId="2" borderId="1" xfId="81" applyNumberFormat="1" applyFont="1" applyFill="1" applyBorder="1" applyAlignment="1">
      <alignment horizontal="center" vertical="center" wrapText="1"/>
    </xf>
    <xf numFmtId="176" fontId="6" fillId="3" borderId="1" xfId="81" applyNumberFormat="1" applyFont="1" applyFill="1" applyBorder="1" applyAlignment="1">
      <alignment horizontal="center" vertical="center" wrapText="1"/>
    </xf>
    <xf numFmtId="176" fontId="6" fillId="4" borderId="1" xfId="81" applyNumberFormat="1" applyFont="1" applyFill="1" applyBorder="1" applyAlignment="1">
      <alignment horizontal="center" vertical="center" wrapText="1"/>
    </xf>
    <xf numFmtId="0" fontId="7" fillId="0" borderId="1" xfId="81" applyFont="1" applyFill="1" applyBorder="1" applyAlignment="1">
      <alignment horizontal="center" vertical="center" wrapText="1"/>
    </xf>
    <xf numFmtId="176" fontId="7" fillId="0" borderId="1" xfId="81" applyNumberFormat="1" applyFont="1" applyFill="1" applyBorder="1" applyAlignment="1">
      <alignment horizontal="center" vertical="center" wrapText="1"/>
    </xf>
    <xf numFmtId="0" fontId="2"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xf>
    <xf numFmtId="10" fontId="5" fillId="0" borderId="0" xfId="81" applyNumberFormat="1" applyFont="1" applyFill="1" applyAlignment="1">
      <alignment horizontal="center" vertical="center" wrapText="1"/>
    </xf>
    <xf numFmtId="10" fontId="6" fillId="0" borderId="0" xfId="81" applyNumberFormat="1" applyFont="1" applyFill="1" applyAlignment="1">
      <alignment horizontal="center" vertical="center" wrapText="1"/>
    </xf>
    <xf numFmtId="10" fontId="6" fillId="0" borderId="1" xfId="81" applyNumberFormat="1" applyFont="1" applyFill="1" applyBorder="1" applyAlignment="1">
      <alignment horizontal="center" vertical="center" wrapText="1"/>
    </xf>
    <xf numFmtId="10" fontId="8" fillId="0" borderId="1" xfId="81" applyNumberFormat="1" applyFont="1" applyFill="1" applyBorder="1" applyAlignment="1">
      <alignment horizontal="center" vertical="center" wrapText="1"/>
    </xf>
    <xf numFmtId="10" fontId="6" fillId="3" borderId="1" xfId="81" applyNumberFormat="1" applyFont="1" applyFill="1" applyBorder="1" applyAlignment="1">
      <alignment horizontal="center" vertical="center" wrapText="1"/>
    </xf>
    <xf numFmtId="176" fontId="6" fillId="0" borderId="2" xfId="81" applyNumberFormat="1" applyFont="1" applyFill="1" applyBorder="1" applyAlignment="1">
      <alignment horizontal="center" vertical="center" wrapText="1"/>
    </xf>
    <xf numFmtId="176" fontId="6" fillId="0" borderId="3" xfId="81" applyNumberFormat="1" applyFont="1" applyFill="1" applyBorder="1" applyAlignment="1">
      <alignment horizontal="center" vertical="center" wrapText="1"/>
    </xf>
    <xf numFmtId="10" fontId="7" fillId="0" borderId="1" xfId="81" applyNumberFormat="1" applyFont="1" applyFill="1" applyBorder="1" applyAlignment="1">
      <alignment horizontal="center" vertical="center" wrapText="1"/>
    </xf>
    <xf numFmtId="176" fontId="7" fillId="0" borderId="2" xfId="81" applyNumberFormat="1" applyFont="1" applyFill="1" applyBorder="1" applyAlignment="1">
      <alignment horizontal="center" vertical="center" wrapText="1"/>
    </xf>
    <xf numFmtId="176" fontId="7" fillId="0" borderId="3" xfId="81" applyNumberFormat="1" applyFont="1" applyFill="1" applyBorder="1" applyAlignment="1">
      <alignment horizontal="center" vertical="center" wrapText="1"/>
    </xf>
    <xf numFmtId="0" fontId="2" fillId="0" borderId="0" xfId="0" applyFont="1" applyFill="1" applyBorder="1" applyAlignment="1" applyProtection="1">
      <alignment vertical="center" wrapText="1"/>
    </xf>
    <xf numFmtId="0" fontId="5" fillId="3" borderId="0" xfId="81" applyFont="1" applyFill="1" applyAlignment="1">
      <alignment horizontal="center" vertical="center" wrapText="1"/>
    </xf>
    <xf numFmtId="0" fontId="6" fillId="3" borderId="0" xfId="81" applyFont="1" applyFill="1" applyAlignment="1">
      <alignment horizontal="left" vertical="center" wrapText="1"/>
    </xf>
    <xf numFmtId="0" fontId="6" fillId="3" borderId="1" xfId="81" applyFont="1" applyFill="1" applyBorder="1" applyAlignment="1">
      <alignment horizontal="left" vertical="center" wrapText="1"/>
    </xf>
    <xf numFmtId="0" fontId="6" fillId="5" borderId="1" xfId="81" applyFont="1" applyFill="1" applyBorder="1" applyAlignment="1">
      <alignment horizontal="left" vertical="center" wrapText="1"/>
    </xf>
    <xf numFmtId="176" fontId="6" fillId="3" borderId="1" xfId="81" applyNumberFormat="1" applyFont="1" applyFill="1" applyBorder="1" applyAlignment="1">
      <alignment horizontal="right" vertical="center" wrapText="1"/>
    </xf>
    <xf numFmtId="176" fontId="6" fillId="6" borderId="1" xfId="81" applyNumberFormat="1" applyFont="1" applyFill="1" applyBorder="1" applyAlignment="1">
      <alignment horizontal="right" vertical="center" wrapText="1"/>
    </xf>
    <xf numFmtId="0" fontId="6" fillId="2" borderId="1" xfId="81" applyFont="1" applyFill="1" applyBorder="1" applyAlignment="1">
      <alignment horizontal="left" vertical="center" wrapText="1"/>
    </xf>
    <xf numFmtId="176" fontId="6" fillId="7" borderId="1" xfId="81" applyNumberFormat="1" applyFont="1" applyFill="1" applyBorder="1" applyAlignment="1">
      <alignment horizontal="right" vertical="center" wrapText="1"/>
    </xf>
    <xf numFmtId="0" fontId="6" fillId="8" borderId="1" xfId="81" applyFont="1" applyFill="1" applyBorder="1" applyAlignment="1">
      <alignment horizontal="left" vertical="center" wrapText="1"/>
    </xf>
    <xf numFmtId="0" fontId="6" fillId="4" borderId="1" xfId="81" applyFont="1" applyFill="1" applyBorder="1" applyAlignment="1">
      <alignment horizontal="left" vertical="center" wrapText="1"/>
    </xf>
    <xf numFmtId="176" fontId="6" fillId="4" borderId="1" xfId="81" applyNumberFormat="1" applyFont="1" applyFill="1" applyBorder="1" applyAlignment="1">
      <alignment horizontal="right" vertical="center" wrapText="1"/>
    </xf>
    <xf numFmtId="176" fontId="6" fillId="5" borderId="1" xfId="81" applyNumberFormat="1" applyFont="1" applyFill="1" applyBorder="1" applyAlignment="1">
      <alignment horizontal="right" vertical="center" wrapText="1"/>
    </xf>
    <xf numFmtId="0" fontId="6" fillId="3" borderId="0" xfId="81" applyFont="1" applyFill="1" applyAlignment="1">
      <alignment horizontal="center" vertical="center" wrapText="1"/>
    </xf>
    <xf numFmtId="0" fontId="6" fillId="3" borderId="1" xfId="81" applyFont="1" applyFill="1" applyBorder="1" applyAlignment="1">
      <alignment horizontal="center" vertical="center" wrapText="1"/>
    </xf>
    <xf numFmtId="9" fontId="6" fillId="3" borderId="1" xfId="13" applyFont="1" applyFill="1" applyBorder="1" applyAlignment="1" applyProtection="1">
      <alignment horizontal="center" vertical="center" wrapText="1"/>
    </xf>
    <xf numFmtId="9" fontId="6" fillId="6" borderId="1" xfId="13" applyFont="1" applyFill="1" applyBorder="1" applyAlignment="1" applyProtection="1">
      <alignment horizontal="center" vertical="center" wrapText="1"/>
    </xf>
    <xf numFmtId="176" fontId="6" fillId="6" borderId="1" xfId="81" applyNumberFormat="1" applyFont="1" applyFill="1" applyBorder="1" applyAlignment="1">
      <alignment horizontal="center" vertical="center" wrapText="1"/>
    </xf>
    <xf numFmtId="9" fontId="6" fillId="7" borderId="1" xfId="13" applyFont="1" applyFill="1" applyBorder="1" applyAlignment="1" applyProtection="1">
      <alignment horizontal="center" vertical="center" wrapText="1"/>
    </xf>
    <xf numFmtId="176" fontId="6" fillId="7" borderId="1" xfId="81" applyNumberFormat="1" applyFont="1" applyFill="1" applyBorder="1" applyAlignment="1">
      <alignment horizontal="center" vertical="center" wrapText="1"/>
    </xf>
    <xf numFmtId="9" fontId="6" fillId="3" borderId="1" xfId="13" applyNumberFormat="1" applyFont="1" applyFill="1" applyBorder="1" applyAlignment="1" applyProtection="1">
      <alignment horizontal="center" vertical="center" wrapText="1"/>
    </xf>
    <xf numFmtId="0" fontId="6" fillId="7" borderId="1" xfId="81" applyFont="1" applyFill="1" applyBorder="1" applyAlignment="1">
      <alignment horizontal="left" vertical="center" wrapText="1"/>
    </xf>
    <xf numFmtId="0" fontId="6" fillId="3" borderId="4" xfId="81" applyFont="1" applyFill="1" applyBorder="1" applyAlignment="1">
      <alignment horizontal="left" vertical="center" wrapText="1"/>
    </xf>
    <xf numFmtId="0" fontId="6" fillId="5" borderId="4" xfId="81" applyFont="1" applyFill="1" applyBorder="1" applyAlignment="1">
      <alignment horizontal="left" vertical="center" wrapText="1"/>
    </xf>
    <xf numFmtId="0" fontId="6" fillId="3" borderId="5" xfId="81" applyFont="1" applyFill="1" applyBorder="1" applyAlignment="1">
      <alignment horizontal="left" vertical="center" wrapText="1"/>
    </xf>
    <xf numFmtId="0" fontId="6" fillId="5" borderId="5" xfId="81" applyFont="1" applyFill="1" applyBorder="1" applyAlignment="1">
      <alignment horizontal="left" vertical="center" wrapText="1"/>
    </xf>
    <xf numFmtId="0" fontId="6" fillId="7" borderId="1" xfId="81" applyFont="1" applyFill="1" applyBorder="1" applyAlignment="1">
      <alignment horizontal="center" vertical="center" wrapText="1"/>
    </xf>
    <xf numFmtId="9" fontId="6" fillId="5" borderId="1" xfId="13" applyFont="1" applyFill="1" applyBorder="1" applyAlignment="1" applyProtection="1">
      <alignment horizontal="center" vertical="center" wrapText="1"/>
    </xf>
    <xf numFmtId="0" fontId="6" fillId="5" borderId="1" xfId="81" applyFont="1" applyFill="1" applyBorder="1" applyAlignment="1">
      <alignment horizontal="center" vertical="center" wrapText="1"/>
    </xf>
    <xf numFmtId="0" fontId="6" fillId="3" borderId="6" xfId="81" applyFont="1" applyFill="1" applyBorder="1" applyAlignment="1">
      <alignment horizontal="center" vertical="center" wrapText="1"/>
    </xf>
    <xf numFmtId="0" fontId="6" fillId="3" borderId="7" xfId="81" applyFont="1" applyFill="1" applyBorder="1" applyAlignment="1">
      <alignment horizontal="center" vertical="center" wrapText="1"/>
    </xf>
    <xf numFmtId="0" fontId="6" fillId="3" borderId="8" xfId="81" applyFont="1" applyFill="1" applyBorder="1" applyAlignment="1">
      <alignment horizontal="center" vertical="center" wrapText="1"/>
    </xf>
    <xf numFmtId="0" fontId="6" fillId="3" borderId="9" xfId="81" applyFont="1" applyFill="1" applyBorder="1" applyAlignment="1">
      <alignment horizontal="center" vertical="center" wrapText="1"/>
    </xf>
    <xf numFmtId="9" fontId="6" fillId="5" borderId="4" xfId="13" applyFont="1" applyFill="1" applyBorder="1" applyAlignment="1" applyProtection="1">
      <alignment horizontal="center" vertical="center" wrapText="1"/>
    </xf>
    <xf numFmtId="0" fontId="6" fillId="5" borderId="4" xfId="81" applyFont="1" applyFill="1" applyBorder="1" applyAlignment="1">
      <alignment horizontal="center" vertical="center" wrapText="1"/>
    </xf>
    <xf numFmtId="0" fontId="6" fillId="3" borderId="4" xfId="81" applyFont="1" applyFill="1" applyBorder="1" applyAlignment="1">
      <alignment horizontal="center" vertical="center" wrapText="1"/>
    </xf>
    <xf numFmtId="9" fontId="6" fillId="5" borderId="5" xfId="13" applyFont="1" applyFill="1" applyBorder="1" applyAlignment="1" applyProtection="1">
      <alignment horizontal="center" vertical="center" wrapText="1"/>
    </xf>
    <xf numFmtId="0" fontId="6" fillId="5" borderId="5" xfId="81" applyFont="1" applyFill="1" applyBorder="1" applyAlignment="1">
      <alignment horizontal="center" vertical="center" wrapText="1"/>
    </xf>
    <xf numFmtId="0" fontId="6" fillId="3" borderId="5" xfId="81" applyFont="1" applyFill="1" applyBorder="1" applyAlignment="1">
      <alignment horizontal="center" vertical="center" wrapText="1"/>
    </xf>
    <xf numFmtId="9" fontId="6" fillId="3" borderId="4" xfId="13" applyFont="1" applyFill="1" applyBorder="1" applyAlignment="1" applyProtection="1">
      <alignment horizontal="center" vertical="center" wrapText="1"/>
    </xf>
    <xf numFmtId="9" fontId="6" fillId="3" borderId="5" xfId="13" applyFont="1" applyFill="1" applyBorder="1" applyAlignment="1" applyProtection="1">
      <alignment horizontal="center" vertical="center" wrapText="1"/>
    </xf>
    <xf numFmtId="0" fontId="9" fillId="0" borderId="1" xfId="0" applyFont="1" applyFill="1" applyBorder="1" applyAlignment="1">
      <alignment horizontal="center" vertical="center" wrapText="1"/>
    </xf>
    <xf numFmtId="0" fontId="6" fillId="3" borderId="10" xfId="81" applyFont="1" applyFill="1" applyBorder="1" applyAlignment="1">
      <alignment horizontal="left" vertical="center" wrapText="1"/>
    </xf>
    <xf numFmtId="0" fontId="6" fillId="5" borderId="10" xfId="81" applyFont="1" applyFill="1" applyBorder="1" applyAlignment="1">
      <alignment horizontal="left" vertical="center" wrapText="1"/>
    </xf>
    <xf numFmtId="9" fontId="6" fillId="3" borderId="10" xfId="13" applyFont="1" applyFill="1" applyBorder="1" applyAlignment="1" applyProtection="1">
      <alignment horizontal="center" vertical="center" wrapText="1"/>
    </xf>
    <xf numFmtId="0" fontId="6" fillId="5" borderId="10" xfId="81" applyFont="1" applyFill="1" applyBorder="1" applyAlignment="1">
      <alignment horizontal="center" vertical="center" wrapText="1"/>
    </xf>
    <xf numFmtId="0" fontId="6" fillId="3" borderId="10" xfId="81" applyFont="1" applyFill="1" applyBorder="1" applyAlignment="1">
      <alignment horizontal="center" vertical="center" wrapText="1"/>
    </xf>
    <xf numFmtId="0" fontId="6" fillId="3" borderId="11" xfId="81" applyFont="1" applyFill="1" applyBorder="1" applyAlignment="1">
      <alignment horizontal="center" vertical="center" wrapText="1"/>
    </xf>
    <xf numFmtId="0" fontId="6" fillId="3" borderId="12" xfId="81" applyFont="1" applyFill="1" applyBorder="1" applyAlignment="1">
      <alignment horizontal="center" vertical="center" wrapText="1"/>
    </xf>
    <xf numFmtId="176" fontId="6" fillId="9" borderId="1" xfId="81" applyNumberFormat="1" applyFont="1" applyFill="1" applyBorder="1" applyAlignment="1">
      <alignment horizontal="right" vertical="center" wrapText="1"/>
    </xf>
    <xf numFmtId="176" fontId="6" fillId="3" borderId="2" xfId="81" applyNumberFormat="1" applyFont="1" applyFill="1" applyBorder="1" applyAlignment="1">
      <alignment horizontal="center" vertical="center" wrapText="1"/>
    </xf>
    <xf numFmtId="176" fontId="6" fillId="3" borderId="3" xfId="81" applyNumberFormat="1" applyFont="1" applyFill="1" applyBorder="1" applyAlignment="1">
      <alignment horizontal="center" vertical="center" wrapText="1"/>
    </xf>
    <xf numFmtId="0" fontId="4" fillId="0" borderId="0" xfId="81" applyAlignment="1">
      <alignment horizontal="left"/>
    </xf>
    <xf numFmtId="0" fontId="4" fillId="9" borderId="0" xfId="81" applyFont="1" applyFill="1" applyAlignment="1">
      <alignment horizontal="left"/>
    </xf>
    <xf numFmtId="0" fontId="4" fillId="0" borderId="0" xfId="81" applyFont="1" applyFill="1" applyAlignment="1">
      <alignment horizontal="center" vertical="center" wrapText="1"/>
    </xf>
    <xf numFmtId="177" fontId="6" fillId="3" borderId="1" xfId="81" applyNumberFormat="1" applyFont="1" applyFill="1" applyBorder="1" applyAlignment="1">
      <alignment horizontal="right" vertical="center" wrapText="1"/>
    </xf>
    <xf numFmtId="0" fontId="10" fillId="10" borderId="1" xfId="81" applyFont="1" applyFill="1" applyBorder="1" applyAlignment="1">
      <alignment horizontal="left" vertical="center" wrapText="1"/>
    </xf>
    <xf numFmtId="177" fontId="6" fillId="5" borderId="1" xfId="81" applyNumberFormat="1" applyFont="1" applyFill="1" applyBorder="1" applyAlignment="1">
      <alignment horizontal="right" vertical="center" wrapText="1"/>
    </xf>
    <xf numFmtId="177" fontId="6" fillId="4" borderId="1" xfId="81" applyNumberFormat="1" applyFont="1" applyFill="1" applyBorder="1" applyAlignment="1">
      <alignment horizontal="right" vertical="center" wrapText="1"/>
    </xf>
    <xf numFmtId="176" fontId="6" fillId="3" borderId="4" xfId="81" applyNumberFormat="1" applyFont="1" applyFill="1" applyBorder="1" applyAlignment="1">
      <alignment horizontal="right" vertical="center" wrapText="1"/>
    </xf>
    <xf numFmtId="176" fontId="6" fillId="3" borderId="10" xfId="81" applyNumberFormat="1" applyFont="1" applyFill="1" applyBorder="1" applyAlignment="1">
      <alignment horizontal="right" vertical="center" wrapText="1"/>
    </xf>
    <xf numFmtId="176" fontId="6" fillId="3" borderId="5" xfId="81" applyNumberFormat="1" applyFont="1" applyFill="1" applyBorder="1" applyAlignment="1">
      <alignment horizontal="right" vertical="center" wrapText="1"/>
    </xf>
    <xf numFmtId="177" fontId="6" fillId="6" borderId="1" xfId="81" applyNumberFormat="1" applyFont="1" applyFill="1" applyBorder="1" applyAlignment="1">
      <alignment horizontal="right" vertical="center" wrapText="1"/>
    </xf>
    <xf numFmtId="177" fontId="6" fillId="7" borderId="1" xfId="81" applyNumberFormat="1" applyFont="1" applyFill="1" applyBorder="1" applyAlignment="1">
      <alignment horizontal="right" vertical="center" wrapText="1"/>
    </xf>
    <xf numFmtId="177" fontId="6" fillId="5" borderId="4" xfId="81" applyNumberFormat="1" applyFont="1" applyFill="1" applyBorder="1" applyAlignment="1">
      <alignment horizontal="right" vertical="center" wrapText="1"/>
    </xf>
    <xf numFmtId="177" fontId="6" fillId="5" borderId="5" xfId="81" applyNumberFormat="1" applyFont="1" applyFill="1" applyBorder="1" applyAlignment="1">
      <alignment horizontal="right" vertical="center" wrapText="1"/>
    </xf>
    <xf numFmtId="177" fontId="6" fillId="3" borderId="4" xfId="81" applyNumberFormat="1" applyFont="1" applyFill="1" applyBorder="1" applyAlignment="1">
      <alignment horizontal="right" vertical="center" wrapText="1"/>
    </xf>
    <xf numFmtId="177" fontId="6" fillId="5" borderId="10" xfId="81" applyNumberFormat="1" applyFont="1" applyFill="1" applyBorder="1" applyAlignment="1">
      <alignment horizontal="right" vertical="center" wrapText="1"/>
    </xf>
    <xf numFmtId="9" fontId="6" fillId="5" borderId="1" xfId="13" applyNumberFormat="1" applyFont="1" applyFill="1" applyBorder="1" applyAlignment="1" applyProtection="1">
      <alignment horizontal="center" vertical="center" wrapText="1"/>
    </xf>
    <xf numFmtId="176" fontId="6" fillId="3" borderId="1" xfId="81" applyNumberFormat="1" applyFont="1" applyFill="1" applyBorder="1" applyAlignment="1">
      <alignment horizontal="left" vertical="center" wrapText="1"/>
    </xf>
    <xf numFmtId="176" fontId="6" fillId="3" borderId="6" xfId="81" applyNumberFormat="1" applyFont="1" applyFill="1" applyBorder="1" applyAlignment="1">
      <alignment horizontal="right" vertical="center" wrapText="1"/>
    </xf>
    <xf numFmtId="176" fontId="6" fillId="3" borderId="7" xfId="81" applyNumberFormat="1" applyFont="1" applyFill="1" applyBorder="1" applyAlignment="1">
      <alignment horizontal="right" vertical="center" wrapText="1"/>
    </xf>
    <xf numFmtId="176" fontId="6" fillId="3" borderId="11" xfId="81" applyNumberFormat="1" applyFont="1" applyFill="1" applyBorder="1" applyAlignment="1">
      <alignment horizontal="right" vertical="center" wrapText="1"/>
    </xf>
    <xf numFmtId="176" fontId="6" fillId="3" borderId="12" xfId="81" applyNumberFormat="1" applyFont="1" applyFill="1" applyBorder="1" applyAlignment="1">
      <alignment horizontal="right" vertical="center" wrapText="1"/>
    </xf>
    <xf numFmtId="176" fontId="6" fillId="3" borderId="8" xfId="81" applyNumberFormat="1" applyFont="1" applyFill="1" applyBorder="1" applyAlignment="1">
      <alignment horizontal="right" vertical="center" wrapText="1"/>
    </xf>
    <xf numFmtId="176" fontId="6" fillId="3" borderId="9" xfId="81" applyNumberFormat="1" applyFont="1" applyFill="1" applyBorder="1" applyAlignment="1">
      <alignment horizontal="right" vertical="center" wrapText="1"/>
    </xf>
    <xf numFmtId="9" fontId="6" fillId="4" borderId="1" xfId="13" applyFont="1" applyFill="1" applyBorder="1" applyAlignment="1" applyProtection="1">
      <alignment horizontal="center" vertical="center" wrapText="1"/>
    </xf>
    <xf numFmtId="176" fontId="6" fillId="5" borderId="4" xfId="81" applyNumberFormat="1" applyFont="1" applyFill="1" applyBorder="1" applyAlignment="1">
      <alignment horizontal="right" vertical="center" wrapText="1"/>
    </xf>
    <xf numFmtId="176" fontId="6" fillId="5" borderId="5" xfId="81" applyNumberFormat="1" applyFont="1" applyFill="1" applyBorder="1" applyAlignment="1">
      <alignment horizontal="right" vertical="center" wrapText="1"/>
    </xf>
    <xf numFmtId="9" fontId="6" fillId="5" borderId="10" xfId="13" applyFont="1" applyFill="1" applyBorder="1" applyAlignment="1" applyProtection="1">
      <alignment horizontal="center" vertical="center" wrapText="1"/>
    </xf>
    <xf numFmtId="176" fontId="6" fillId="5" borderId="10" xfId="81" applyNumberFormat="1" applyFont="1" applyFill="1" applyBorder="1" applyAlignment="1">
      <alignment horizontal="right" vertical="center" wrapText="1"/>
    </xf>
    <xf numFmtId="0" fontId="4" fillId="0" borderId="0" xfId="81" applyAlignment="1">
      <alignment horizontal="center" vertical="center" wrapText="1"/>
    </xf>
    <xf numFmtId="0" fontId="4" fillId="11" borderId="0" xfId="81" applyFill="1" applyAlignment="1">
      <alignment horizontal="center" vertical="center" wrapText="1"/>
    </xf>
    <xf numFmtId="0" fontId="6" fillId="10" borderId="4" xfId="81" applyFont="1" applyFill="1" applyBorder="1" applyAlignment="1">
      <alignment horizontal="left" vertical="center" wrapText="1"/>
    </xf>
    <xf numFmtId="0" fontId="10" fillId="10" borderId="4" xfId="81" applyFont="1" applyFill="1" applyBorder="1" applyAlignment="1">
      <alignment horizontal="left" vertical="center" wrapText="1"/>
    </xf>
    <xf numFmtId="177" fontId="6" fillId="3" borderId="4" xfId="81" applyNumberFormat="1" applyFont="1" applyFill="1" applyBorder="1" applyAlignment="1">
      <alignment horizontal="center" vertical="center" wrapText="1"/>
    </xf>
    <xf numFmtId="176" fontId="6" fillId="3" borderId="4" xfId="81" applyNumberFormat="1" applyFont="1" applyFill="1" applyBorder="1" applyAlignment="1">
      <alignment horizontal="center" vertical="center" wrapText="1"/>
    </xf>
    <xf numFmtId="0" fontId="6" fillId="10" borderId="5" xfId="81" applyFont="1" applyFill="1" applyBorder="1" applyAlignment="1">
      <alignment horizontal="left" vertical="center" wrapText="1"/>
    </xf>
    <xf numFmtId="0" fontId="10" fillId="10" borderId="5" xfId="81" applyFont="1" applyFill="1" applyBorder="1" applyAlignment="1">
      <alignment horizontal="left" vertical="center" wrapText="1"/>
    </xf>
    <xf numFmtId="177" fontId="6" fillId="3" borderId="5" xfId="81" applyNumberFormat="1" applyFont="1" applyFill="1" applyBorder="1" applyAlignment="1">
      <alignment horizontal="center" vertical="center" wrapText="1"/>
    </xf>
    <xf numFmtId="176" fontId="6" fillId="3" borderId="5" xfId="81" applyNumberFormat="1" applyFont="1" applyFill="1" applyBorder="1" applyAlignment="1">
      <alignment horizontal="center" vertical="center" wrapText="1"/>
    </xf>
    <xf numFmtId="0" fontId="6" fillId="10" borderId="1" xfId="81" applyFont="1" applyFill="1" applyBorder="1" applyAlignment="1">
      <alignment horizontal="left" vertical="center" wrapText="1"/>
    </xf>
    <xf numFmtId="177" fontId="6" fillId="0" borderId="1" xfId="81" applyNumberFormat="1" applyFont="1" applyFill="1" applyBorder="1" applyAlignment="1">
      <alignment horizontal="right" vertical="center" wrapText="1"/>
    </xf>
    <xf numFmtId="176" fontId="6" fillId="0" borderId="1" xfId="81" applyNumberFormat="1" applyFont="1" applyFill="1" applyBorder="1" applyAlignment="1">
      <alignment horizontal="right" vertical="center" wrapText="1"/>
    </xf>
    <xf numFmtId="0" fontId="6" fillId="10" borderId="10" xfId="81" applyFont="1" applyFill="1" applyBorder="1" applyAlignment="1">
      <alignment horizontal="left" vertical="center" wrapText="1"/>
    </xf>
    <xf numFmtId="176" fontId="6" fillId="4" borderId="4" xfId="81" applyNumberFormat="1" applyFont="1" applyFill="1" applyBorder="1" applyAlignment="1">
      <alignment horizontal="right" vertical="center" wrapText="1"/>
    </xf>
    <xf numFmtId="176" fontId="6" fillId="4" borderId="10" xfId="81" applyNumberFormat="1" applyFont="1" applyFill="1" applyBorder="1" applyAlignment="1">
      <alignment horizontal="right" vertical="center" wrapText="1"/>
    </xf>
    <xf numFmtId="0" fontId="10" fillId="2" borderId="4" xfId="81" applyFont="1" applyFill="1" applyBorder="1" applyAlignment="1">
      <alignment horizontal="left" vertical="center" wrapText="1"/>
    </xf>
    <xf numFmtId="177" fontId="6" fillId="4" borderId="4" xfId="81" applyNumberFormat="1" applyFont="1" applyFill="1" applyBorder="1" applyAlignment="1">
      <alignment horizontal="right" vertical="center" wrapText="1"/>
    </xf>
    <xf numFmtId="0" fontId="10" fillId="2" borderId="5" xfId="81" applyFont="1" applyFill="1" applyBorder="1" applyAlignment="1">
      <alignment horizontal="left" vertical="center" wrapText="1"/>
    </xf>
    <xf numFmtId="177" fontId="6" fillId="4" borderId="10" xfId="81" applyNumberFormat="1" applyFont="1" applyFill="1" applyBorder="1" applyAlignment="1">
      <alignment horizontal="right" vertical="center" wrapText="1"/>
    </xf>
    <xf numFmtId="0" fontId="6" fillId="11" borderId="1" xfId="81" applyFont="1" applyFill="1" applyBorder="1" applyAlignment="1">
      <alignment horizontal="left" vertical="center" wrapText="1"/>
    </xf>
    <xf numFmtId="0" fontId="6" fillId="0" borderId="4" xfId="81" applyFont="1" applyFill="1" applyBorder="1" applyAlignment="1">
      <alignment horizontal="left" vertical="center" wrapText="1"/>
    </xf>
    <xf numFmtId="0" fontId="6" fillId="11" borderId="4" xfId="81" applyFont="1" applyFill="1" applyBorder="1" applyAlignment="1">
      <alignment horizontal="left" vertical="center" wrapText="1"/>
    </xf>
    <xf numFmtId="0" fontId="6" fillId="0" borderId="10" xfId="81" applyFont="1" applyFill="1" applyBorder="1" applyAlignment="1">
      <alignment horizontal="left" vertical="center" wrapText="1"/>
    </xf>
    <xf numFmtId="0" fontId="6" fillId="11" borderId="10" xfId="81" applyFont="1" applyFill="1" applyBorder="1" applyAlignment="1">
      <alignment horizontal="left" vertical="center" wrapText="1"/>
    </xf>
    <xf numFmtId="177" fontId="6" fillId="3" borderId="10" xfId="81" applyNumberFormat="1" applyFont="1" applyFill="1" applyBorder="1" applyAlignment="1">
      <alignment horizontal="right" vertical="center" wrapText="1"/>
    </xf>
    <xf numFmtId="0" fontId="6" fillId="0" borderId="5" xfId="81" applyFont="1" applyFill="1" applyBorder="1" applyAlignment="1">
      <alignment horizontal="left" vertical="center" wrapText="1"/>
    </xf>
    <xf numFmtId="0" fontId="6" fillId="11" borderId="5" xfId="81" applyFont="1" applyFill="1" applyBorder="1" applyAlignment="1">
      <alignment horizontal="left" vertical="center" wrapText="1"/>
    </xf>
    <xf numFmtId="177" fontId="6" fillId="3" borderId="5" xfId="81" applyNumberFormat="1" applyFont="1" applyFill="1" applyBorder="1" applyAlignment="1">
      <alignment horizontal="right" vertical="center" wrapText="1"/>
    </xf>
    <xf numFmtId="176" fontId="6" fillId="3" borderId="6" xfId="81" applyNumberFormat="1" applyFont="1" applyFill="1" applyBorder="1" applyAlignment="1">
      <alignment horizontal="center" vertical="center" wrapText="1"/>
    </xf>
    <xf numFmtId="176" fontId="6" fillId="3" borderId="7" xfId="81" applyNumberFormat="1" applyFont="1" applyFill="1" applyBorder="1" applyAlignment="1">
      <alignment horizontal="center" vertical="center" wrapText="1"/>
    </xf>
    <xf numFmtId="176" fontId="6" fillId="3" borderId="8" xfId="81" applyNumberFormat="1" applyFont="1" applyFill="1" applyBorder="1" applyAlignment="1">
      <alignment horizontal="center" vertical="center" wrapText="1"/>
    </xf>
    <xf numFmtId="176" fontId="6" fillId="3" borderId="9" xfId="81" applyNumberFormat="1" applyFont="1" applyFill="1" applyBorder="1" applyAlignment="1">
      <alignment horizontal="center" vertical="center" wrapText="1"/>
    </xf>
    <xf numFmtId="9" fontId="6" fillId="0" borderId="1" xfId="13" applyFont="1" applyFill="1" applyBorder="1" applyAlignment="1" applyProtection="1">
      <alignment horizontal="center" vertical="center" wrapText="1"/>
    </xf>
    <xf numFmtId="176" fontId="6" fillId="3" borderId="4" xfId="81" applyNumberFormat="1" applyFont="1" applyFill="1" applyBorder="1" applyAlignment="1">
      <alignment horizontal="left" vertical="center" wrapText="1"/>
    </xf>
    <xf numFmtId="176" fontId="6" fillId="3" borderId="10" xfId="81" applyNumberFormat="1" applyFont="1" applyFill="1" applyBorder="1" applyAlignment="1">
      <alignment horizontal="left" vertical="center" wrapText="1"/>
    </xf>
    <xf numFmtId="176" fontId="6" fillId="3" borderId="5" xfId="81" applyNumberFormat="1" applyFont="1" applyFill="1" applyBorder="1" applyAlignment="1">
      <alignment horizontal="left" vertical="center" wrapText="1"/>
    </xf>
    <xf numFmtId="9" fontId="6" fillId="4" borderId="4" xfId="13" applyFont="1" applyFill="1" applyBorder="1" applyAlignment="1" applyProtection="1">
      <alignment horizontal="center" vertical="center" wrapText="1"/>
    </xf>
    <xf numFmtId="9" fontId="6" fillId="4" borderId="10" xfId="13" applyFont="1" applyFill="1" applyBorder="1" applyAlignment="1" applyProtection="1">
      <alignment horizontal="center" vertical="center" wrapText="1"/>
    </xf>
    <xf numFmtId="176" fontId="6" fillId="3" borderId="10" xfId="81" applyNumberFormat="1" applyFont="1" applyFill="1" applyBorder="1" applyAlignment="1">
      <alignment horizontal="center" vertical="center" wrapText="1"/>
    </xf>
    <xf numFmtId="0" fontId="4" fillId="11" borderId="0" xfId="81" applyFont="1" applyFill="1" applyAlignment="1">
      <alignment horizontal="center" vertical="center" wrapText="1"/>
    </xf>
    <xf numFmtId="0" fontId="4" fillId="12" borderId="0" xfId="81" applyFill="1" applyAlignment="1">
      <alignment horizontal="left"/>
    </xf>
    <xf numFmtId="177" fontId="6" fillId="7" borderId="4" xfId="81" applyNumberFormat="1" applyFont="1" applyFill="1" applyBorder="1" applyAlignment="1">
      <alignment horizontal="right" vertical="center" wrapText="1"/>
    </xf>
    <xf numFmtId="177" fontId="6" fillId="7" borderId="5" xfId="81" applyNumberFormat="1" applyFont="1" applyFill="1" applyBorder="1" applyAlignment="1">
      <alignment horizontal="right" vertical="center" wrapText="1"/>
    </xf>
    <xf numFmtId="177" fontId="6" fillId="2" borderId="1" xfId="81" applyNumberFormat="1" applyFont="1" applyFill="1" applyBorder="1" applyAlignment="1">
      <alignment horizontal="right" vertical="center" wrapText="1"/>
    </xf>
    <xf numFmtId="176" fontId="6" fillId="2" borderId="1" xfId="81" applyNumberFormat="1" applyFont="1" applyFill="1" applyBorder="1" applyAlignment="1">
      <alignment horizontal="right" vertical="center" wrapText="1"/>
    </xf>
    <xf numFmtId="177" fontId="6" fillId="0" borderId="1" xfId="81" applyNumberFormat="1" applyFont="1" applyFill="1" applyBorder="1" applyAlignment="1">
      <alignment vertical="center" wrapText="1"/>
    </xf>
    <xf numFmtId="176" fontId="6" fillId="0" borderId="1" xfId="81" applyNumberFormat="1" applyFont="1" applyFill="1" applyBorder="1" applyAlignment="1">
      <alignment vertical="center" wrapText="1"/>
    </xf>
    <xf numFmtId="177" fontId="6" fillId="5" borderId="1" xfId="81" applyNumberFormat="1" applyFont="1" applyFill="1" applyBorder="1" applyAlignment="1">
      <alignment vertical="center" wrapText="1"/>
    </xf>
    <xf numFmtId="9" fontId="6" fillId="7" borderId="4" xfId="13" applyFont="1" applyFill="1" applyBorder="1" applyAlignment="1" applyProtection="1">
      <alignment horizontal="center" vertical="center" wrapText="1"/>
    </xf>
    <xf numFmtId="176" fontId="6" fillId="7" borderId="4" xfId="81" applyNumberFormat="1" applyFont="1" applyFill="1" applyBorder="1" applyAlignment="1">
      <alignment horizontal="right" vertical="center" wrapText="1"/>
    </xf>
    <xf numFmtId="9" fontId="6" fillId="7" borderId="5" xfId="13" applyFont="1" applyFill="1" applyBorder="1" applyAlignment="1" applyProtection="1">
      <alignment horizontal="center" vertical="center" wrapText="1"/>
    </xf>
    <xf numFmtId="176" fontId="6" fillId="7" borderId="5" xfId="81" applyNumberFormat="1" applyFont="1" applyFill="1" applyBorder="1" applyAlignment="1">
      <alignment horizontal="right" vertical="center" wrapText="1"/>
    </xf>
    <xf numFmtId="176" fontId="6" fillId="3" borderId="11" xfId="81" applyNumberFormat="1" applyFont="1" applyFill="1" applyBorder="1" applyAlignment="1">
      <alignment horizontal="center" vertical="center" wrapText="1"/>
    </xf>
    <xf numFmtId="176" fontId="6" fillId="3" borderId="12" xfId="81" applyNumberFormat="1" applyFont="1" applyFill="1" applyBorder="1" applyAlignment="1">
      <alignment horizontal="center" vertical="center" wrapText="1"/>
    </xf>
    <xf numFmtId="9" fontId="6" fillId="2" borderId="1" xfId="13" applyFont="1" applyFill="1" applyBorder="1" applyAlignment="1" applyProtection="1">
      <alignment horizontal="center" vertical="center" wrapText="1"/>
    </xf>
    <xf numFmtId="176" fontId="6" fillId="2" borderId="1" xfId="81" applyNumberFormat="1" applyFont="1" applyFill="1" applyBorder="1" applyAlignment="1">
      <alignment horizontal="left" vertical="center" wrapText="1"/>
    </xf>
    <xf numFmtId="9" fontId="6" fillId="2" borderId="1" xfId="13" applyNumberFormat="1" applyFont="1" applyFill="1" applyBorder="1" applyAlignment="1" applyProtection="1">
      <alignment horizontal="center" vertical="center" wrapText="1"/>
    </xf>
    <xf numFmtId="9" fontId="6" fillId="4" borderId="1" xfId="81" applyNumberFormat="1" applyFont="1" applyFill="1" applyBorder="1" applyAlignment="1">
      <alignment horizontal="right" vertical="center" wrapText="1"/>
    </xf>
    <xf numFmtId="176" fontId="6" fillId="3" borderId="1" xfId="81" applyNumberFormat="1" applyFont="1" applyFill="1" applyBorder="1" applyAlignment="1">
      <alignment vertical="center" wrapText="1"/>
    </xf>
    <xf numFmtId="9" fontId="6" fillId="5" borderId="1" xfId="81" applyNumberFormat="1" applyFont="1" applyFill="1" applyBorder="1" applyAlignment="1">
      <alignment vertical="center" wrapText="1"/>
    </xf>
    <xf numFmtId="0" fontId="4" fillId="9" borderId="0" xfId="81" applyFont="1" applyFill="1" applyAlignment="1">
      <alignment horizontal="center" vertical="center" wrapText="1"/>
    </xf>
    <xf numFmtId="177" fontId="6" fillId="13" borderId="1" xfId="81" applyNumberFormat="1" applyFont="1" applyFill="1" applyBorder="1" applyAlignment="1">
      <alignment horizontal="right" vertical="center" wrapText="1"/>
    </xf>
    <xf numFmtId="176" fontId="6" fillId="13" borderId="1" xfId="81" applyNumberFormat="1" applyFont="1" applyFill="1" applyBorder="1" applyAlignment="1">
      <alignment horizontal="right" vertical="center" wrapText="1"/>
    </xf>
    <xf numFmtId="177" fontId="6" fillId="5" borderId="1" xfId="81" applyNumberFormat="1" applyFont="1" applyFill="1" applyBorder="1" applyAlignment="1">
      <alignment horizontal="center" vertical="center" wrapText="1"/>
    </xf>
    <xf numFmtId="0" fontId="6" fillId="10" borderId="1" xfId="81" applyFont="1" applyFill="1" applyBorder="1" applyAlignment="1">
      <alignment horizontal="center" vertical="center" wrapText="1"/>
    </xf>
    <xf numFmtId="0" fontId="10" fillId="0" borderId="1" xfId="81" applyFont="1" applyFill="1" applyBorder="1" applyAlignment="1">
      <alignment horizontal="left" vertical="center" wrapText="1"/>
    </xf>
    <xf numFmtId="176" fontId="6" fillId="5" borderId="1" xfId="81" applyNumberFormat="1" applyFont="1" applyFill="1" applyBorder="1" applyAlignment="1">
      <alignment horizontal="center" vertical="center" wrapText="1"/>
    </xf>
    <xf numFmtId="9" fontId="6" fillId="10" borderId="1" xfId="13" applyFont="1" applyFill="1" applyBorder="1" applyAlignment="1" applyProtection="1">
      <alignment horizontal="left" vertical="center" wrapText="1"/>
    </xf>
    <xf numFmtId="0" fontId="9" fillId="0" borderId="0" xfId="0" applyFont="1" applyFill="1" applyBorder="1" applyAlignment="1">
      <alignment vertical="center"/>
    </xf>
    <xf numFmtId="0" fontId="0" fillId="0" borderId="0" xfId="0" applyFill="1" applyAlignment="1">
      <alignment horizontal="center"/>
    </xf>
    <xf numFmtId="0" fontId="11" fillId="0" borderId="0" xfId="0" applyFont="1" applyFill="1" applyAlignment="1">
      <alignment horizontal="center" vertical="center" wrapText="1"/>
    </xf>
    <xf numFmtId="0" fontId="12" fillId="0" borderId="1" xfId="0" applyFont="1" applyFill="1" applyBorder="1" applyAlignment="1">
      <alignment horizontal="center" vertical="center"/>
    </xf>
    <xf numFmtId="176" fontId="13" fillId="0" borderId="1" xfId="0" applyNumberFormat="1" applyFont="1" applyFill="1" applyBorder="1" applyAlignment="1">
      <alignment horizontal="center" vertical="center" wrapText="1"/>
    </xf>
    <xf numFmtId="176" fontId="12" fillId="0" borderId="1" xfId="0" applyNumberFormat="1" applyFont="1" applyFill="1" applyBorder="1" applyAlignment="1">
      <alignment horizontal="center" vertical="center"/>
    </xf>
    <xf numFmtId="176" fontId="14" fillId="0" borderId="1"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176" fontId="2"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xf>
    <xf numFmtId="177" fontId="2" fillId="0" borderId="1" xfId="0" applyNumberFormat="1" applyFont="1" applyFill="1" applyBorder="1" applyAlignment="1">
      <alignment horizontal="center" vertical="center" wrapText="1"/>
    </xf>
    <xf numFmtId="0" fontId="9" fillId="0" borderId="0" xfId="0" applyNumberFormat="1" applyFont="1" applyFill="1" applyBorder="1" applyAlignment="1">
      <alignment vertical="center" wrapText="1"/>
    </xf>
    <xf numFmtId="0" fontId="16" fillId="0" borderId="0" xfId="0" applyFont="1" applyFill="1" applyAlignment="1">
      <alignment horizontal="center" vertical="center"/>
    </xf>
    <xf numFmtId="49" fontId="17" fillId="0" borderId="1" xfId="77" applyNumberFormat="1" applyFont="1" applyFill="1" applyBorder="1" applyAlignment="1" applyProtection="1">
      <alignment horizontal="left" vertical="center"/>
    </xf>
    <xf numFmtId="49" fontId="17" fillId="0" borderId="1" xfId="77" applyNumberFormat="1" applyFont="1" applyFill="1" applyBorder="1" applyAlignment="1" applyProtection="1">
      <alignment horizontal="left" vertical="center" wrapText="1"/>
    </xf>
    <xf numFmtId="0" fontId="16" fillId="0" borderId="0" xfId="0" applyFont="1" applyFill="1" applyBorder="1" applyAlignment="1">
      <alignment horizontal="center" vertical="center"/>
    </xf>
    <xf numFmtId="0" fontId="2" fillId="0" borderId="1" xfId="78" applyFont="1" applyFill="1" applyBorder="1" applyAlignment="1" applyProtection="1">
      <alignment horizontal="center" vertical="center"/>
    </xf>
    <xf numFmtId="0" fontId="2" fillId="0" borderId="1" xfId="77" applyNumberFormat="1" applyFont="1" applyFill="1" applyBorder="1" applyAlignment="1" applyProtection="1">
      <alignment horizontal="left" vertical="center" wrapText="1"/>
    </xf>
    <xf numFmtId="0" fontId="18" fillId="0" borderId="0" xfId="0" applyNumberFormat="1" applyFont="1" applyFill="1" applyBorder="1" applyAlignment="1">
      <alignment horizontal="justify" vertical="center" wrapText="1"/>
    </xf>
    <xf numFmtId="0" fontId="19" fillId="0" borderId="1" xfId="79" applyNumberFormat="1" applyFont="1" applyFill="1" applyBorder="1" applyAlignment="1" applyProtection="1">
      <alignment horizontal="justify" vertical="center" wrapText="1"/>
    </xf>
    <xf numFmtId="0" fontId="2" fillId="0" borderId="1" xfId="80" applyNumberFormat="1" applyFont="1" applyFill="1" applyBorder="1" applyAlignment="1" applyProtection="1">
      <alignment horizontal="center" vertical="center"/>
    </xf>
    <xf numFmtId="0" fontId="2" fillId="0" borderId="1" xfId="76" applyNumberFormat="1" applyFont="1" applyFill="1" applyBorder="1" applyAlignment="1" applyProtection="1">
      <alignment vertical="center" wrapText="1"/>
    </xf>
    <xf numFmtId="0" fontId="15" fillId="0" borderId="1" xfId="76" applyNumberFormat="1" applyFont="1" applyFill="1" applyBorder="1" applyAlignment="1" applyProtection="1">
      <alignment vertical="center" wrapText="1"/>
    </xf>
    <xf numFmtId="0" fontId="18" fillId="0" borderId="0" xfId="0" applyNumberFormat="1" applyFont="1" applyFill="1" applyBorder="1" applyAlignment="1">
      <alignment horizontal="left" vertical="center" wrapText="1"/>
    </xf>
    <xf numFmtId="0" fontId="2" fillId="0" borderId="1" xfId="64" applyNumberFormat="1" applyFont="1" applyFill="1" applyBorder="1" applyAlignment="1" applyProtection="1">
      <alignment horizontal="left" vertical="center" wrapText="1"/>
    </xf>
    <xf numFmtId="0" fontId="2" fillId="0" borderId="1" xfId="76" applyNumberFormat="1" applyFont="1" applyFill="1" applyBorder="1" applyAlignment="1" applyProtection="1">
      <alignment horizontal="left" vertical="center" wrapText="1"/>
    </xf>
    <xf numFmtId="0" fontId="15" fillId="0" borderId="1" xfId="76" applyNumberFormat="1" applyFont="1" applyFill="1" applyBorder="1" applyAlignment="1" applyProtection="1">
      <alignment horizontal="left" vertical="center" wrapText="1"/>
    </xf>
    <xf numFmtId="0" fontId="15" fillId="0" borderId="1" xfId="77" applyNumberFormat="1" applyFont="1" applyFill="1" applyBorder="1" applyAlignment="1" applyProtection="1">
      <alignment horizontal="left" vertical="center" wrapText="1"/>
    </xf>
    <xf numFmtId="0" fontId="17" fillId="0" borderId="0" xfId="0" applyFont="1" applyFill="1" applyAlignment="1">
      <alignment horizontal="left" vertical="center"/>
    </xf>
    <xf numFmtId="0" fontId="20" fillId="7" borderId="0" xfId="0" applyFont="1" applyFill="1" applyAlignment="1">
      <alignment horizontal="center" vertical="center" wrapText="1"/>
    </xf>
    <xf numFmtId="0" fontId="12" fillId="7" borderId="13" xfId="0" applyFont="1" applyFill="1" applyBorder="1" applyAlignment="1">
      <alignment horizontal="center" vertical="center"/>
    </xf>
    <xf numFmtId="0" fontId="12" fillId="7" borderId="14" xfId="0" applyFont="1" applyFill="1" applyBorder="1" applyAlignment="1">
      <alignment horizontal="center" vertical="center"/>
    </xf>
    <xf numFmtId="176" fontId="13" fillId="7" borderId="14" xfId="0" applyNumberFormat="1" applyFont="1" applyFill="1" applyBorder="1" applyAlignment="1">
      <alignment horizontal="center" vertical="center" wrapText="1"/>
    </xf>
    <xf numFmtId="176" fontId="12" fillId="7" borderId="15" xfId="0" applyNumberFormat="1" applyFont="1" applyFill="1" applyBorder="1" applyAlignment="1">
      <alignment horizontal="center" vertical="center"/>
    </xf>
    <xf numFmtId="0" fontId="12" fillId="7" borderId="16" xfId="0" applyFont="1" applyFill="1" applyBorder="1" applyAlignment="1">
      <alignment horizontal="center" vertical="center"/>
    </xf>
    <xf numFmtId="0" fontId="12" fillId="7" borderId="1" xfId="0" applyFont="1" applyFill="1" applyBorder="1" applyAlignment="1">
      <alignment horizontal="center" vertical="center"/>
    </xf>
    <xf numFmtId="177" fontId="13" fillId="7" borderId="1" xfId="0" applyNumberFormat="1" applyFont="1" applyFill="1" applyBorder="1" applyAlignment="1">
      <alignment horizontal="center" vertical="center" wrapText="1"/>
    </xf>
    <xf numFmtId="176" fontId="12" fillId="7" borderId="17" xfId="0" applyNumberFormat="1" applyFont="1" applyFill="1" applyBorder="1" applyAlignment="1">
      <alignment horizontal="center" vertical="center"/>
    </xf>
    <xf numFmtId="0" fontId="12" fillId="7" borderId="18" xfId="0" applyFont="1" applyFill="1" applyBorder="1" applyAlignment="1">
      <alignment horizontal="center" vertical="center"/>
    </xf>
    <xf numFmtId="0" fontId="12" fillId="7" borderId="19" xfId="0" applyFont="1" applyFill="1" applyBorder="1" applyAlignment="1">
      <alignment horizontal="center" vertical="center"/>
    </xf>
    <xf numFmtId="176" fontId="13" fillId="7" borderId="19" xfId="0" applyNumberFormat="1" applyFont="1" applyFill="1" applyBorder="1" applyAlignment="1">
      <alignment horizontal="center" vertical="center" wrapText="1"/>
    </xf>
    <xf numFmtId="176" fontId="12" fillId="7" borderId="20" xfId="0" applyNumberFormat="1" applyFont="1" applyFill="1" applyBorder="1" applyAlignment="1">
      <alignment horizontal="center" vertical="center"/>
    </xf>
    <xf numFmtId="0" fontId="21" fillId="0" borderId="0" xfId="0" applyFont="1" applyFill="1" applyAlignment="1">
      <alignment vertical="center" wrapText="1"/>
    </xf>
    <xf numFmtId="0" fontId="22" fillId="0" borderId="0" xfId="0" applyFont="1" applyFill="1" applyAlignment="1">
      <alignment vertical="center" wrapText="1"/>
    </xf>
    <xf numFmtId="0" fontId="23" fillId="0" borderId="0" xfId="0" applyFont="1" applyFill="1" applyAlignment="1">
      <alignment horizontal="left" vertical="center" wrapText="1"/>
    </xf>
    <xf numFmtId="176" fontId="22" fillId="0" borderId="0" xfId="0" applyNumberFormat="1" applyFont="1" applyFill="1" applyAlignment="1">
      <alignment vertical="center" wrapText="1"/>
    </xf>
    <xf numFmtId="0" fontId="24" fillId="0" borderId="0" xfId="0" applyFont="1" applyFill="1" applyAlignment="1">
      <alignment horizontal="center" vertical="center" wrapText="1"/>
    </xf>
    <xf numFmtId="0" fontId="25" fillId="0" borderId="0" xfId="0" applyFont="1" applyFill="1" applyAlignment="1">
      <alignment horizontal="center" vertical="center" wrapText="1"/>
    </xf>
    <xf numFmtId="0" fontId="26" fillId="0" borderId="0" xfId="0" applyFont="1" applyFill="1" applyAlignment="1">
      <alignment horizontal="left" vertical="center" wrapText="1"/>
    </xf>
    <xf numFmtId="176" fontId="25" fillId="0" borderId="0" xfId="0" applyNumberFormat="1" applyFont="1" applyFill="1" applyAlignment="1">
      <alignment horizontal="center" vertical="center" wrapText="1"/>
    </xf>
    <xf numFmtId="0" fontId="27" fillId="0" borderId="1" xfId="0" applyFont="1" applyFill="1" applyBorder="1" applyAlignment="1">
      <alignment horizontal="center" vertical="center" wrapText="1"/>
    </xf>
    <xf numFmtId="0" fontId="27" fillId="0" borderId="4" xfId="0" applyFont="1" applyFill="1" applyBorder="1" applyAlignment="1">
      <alignment horizontal="center" vertical="center" wrapText="1"/>
    </xf>
    <xf numFmtId="176" fontId="27" fillId="0" borderId="1" xfId="0" applyNumberFormat="1" applyFont="1" applyFill="1" applyBorder="1" applyAlignment="1">
      <alignment horizontal="center" vertical="center" wrapText="1"/>
    </xf>
    <xf numFmtId="0" fontId="27" fillId="0" borderId="5"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7" fillId="0" borderId="1" xfId="0" applyFont="1" applyFill="1" applyBorder="1" applyAlignment="1">
      <alignment horizontal="left" vertical="center" wrapText="1"/>
    </xf>
    <xf numFmtId="176" fontId="29" fillId="0" borderId="1" xfId="0" applyNumberFormat="1" applyFont="1" applyFill="1" applyBorder="1" applyAlignment="1">
      <alignment horizontal="center" vertical="center" wrapText="1"/>
    </xf>
    <xf numFmtId="176" fontId="30" fillId="0" borderId="1" xfId="0" applyNumberFormat="1" applyFont="1" applyFill="1" applyBorder="1" applyAlignment="1">
      <alignment horizontal="center" vertical="center" wrapText="1"/>
    </xf>
    <xf numFmtId="0" fontId="31" fillId="0" borderId="1" xfId="0" applyFont="1" applyFill="1" applyBorder="1" applyAlignment="1">
      <alignment horizontal="center" vertical="center" wrapText="1"/>
    </xf>
    <xf numFmtId="176" fontId="32" fillId="0" borderId="1" xfId="0" applyNumberFormat="1" applyFont="1" applyFill="1" applyBorder="1" applyAlignment="1">
      <alignment horizontal="center" vertical="center" wrapText="1"/>
    </xf>
    <xf numFmtId="0" fontId="33" fillId="0" borderId="1" xfId="0" applyFont="1" applyFill="1" applyBorder="1" applyAlignment="1">
      <alignment horizontal="center" vertical="center" wrapText="1"/>
    </xf>
    <xf numFmtId="0" fontId="22" fillId="0" borderId="1" xfId="0" applyFont="1" applyFill="1" applyBorder="1" applyAlignment="1">
      <alignment vertical="center" wrapText="1"/>
    </xf>
    <xf numFmtId="0" fontId="34" fillId="0" borderId="1" xfId="0" applyFont="1" applyFill="1" applyBorder="1" applyAlignment="1">
      <alignment horizontal="left" vertical="center" wrapText="1"/>
    </xf>
    <xf numFmtId="176" fontId="22" fillId="0" borderId="1" xfId="0" applyNumberFormat="1" applyFont="1" applyFill="1" applyBorder="1" applyAlignment="1">
      <alignment vertical="center" wrapText="1"/>
    </xf>
    <xf numFmtId="176" fontId="25" fillId="0" borderId="0" xfId="13" applyNumberFormat="1" applyFont="1" applyFill="1" applyAlignment="1">
      <alignment horizontal="center" vertical="center" wrapText="1"/>
    </xf>
    <xf numFmtId="176" fontId="27" fillId="0" borderId="1" xfId="13" applyNumberFormat="1" applyFont="1" applyFill="1" applyBorder="1" applyAlignment="1">
      <alignment horizontal="center" vertical="center" wrapText="1"/>
    </xf>
    <xf numFmtId="0" fontId="28" fillId="0" borderId="3" xfId="0" applyFont="1" applyFill="1" applyBorder="1" applyAlignment="1">
      <alignment horizontal="center" vertical="center" wrapText="1"/>
    </xf>
    <xf numFmtId="176" fontId="29" fillId="0" borderId="3" xfId="0" applyNumberFormat="1" applyFont="1" applyFill="1" applyBorder="1" applyAlignment="1">
      <alignment horizontal="center" vertical="center" wrapText="1"/>
    </xf>
    <xf numFmtId="176" fontId="26" fillId="0" borderId="1" xfId="0" applyNumberFormat="1" applyFont="1" applyFill="1" applyBorder="1" applyAlignment="1">
      <alignment horizontal="center" vertical="center" wrapText="1"/>
    </xf>
    <xf numFmtId="9" fontId="35" fillId="0" borderId="1" xfId="13" applyNumberFormat="1" applyFont="1" applyFill="1" applyBorder="1" applyAlignment="1">
      <alignment horizontal="center" vertical="center" wrapText="1"/>
    </xf>
    <xf numFmtId="176" fontId="23" fillId="0" borderId="1" xfId="0" applyNumberFormat="1" applyFont="1" applyFill="1" applyBorder="1" applyAlignment="1">
      <alignment horizontal="center" vertical="center" wrapText="1"/>
    </xf>
    <xf numFmtId="176" fontId="21" fillId="0" borderId="3" xfId="0" applyNumberFormat="1" applyFont="1" applyFill="1" applyBorder="1" applyAlignment="1">
      <alignment horizontal="center" vertical="center" wrapText="1"/>
    </xf>
    <xf numFmtId="176" fontId="21" fillId="0" borderId="1" xfId="0" applyNumberFormat="1" applyFont="1" applyFill="1" applyBorder="1" applyAlignment="1">
      <alignment horizontal="center" vertical="center" wrapText="1"/>
    </xf>
    <xf numFmtId="176" fontId="36" fillId="0" borderId="3" xfId="0" applyNumberFormat="1" applyFont="1" applyFill="1" applyBorder="1" applyAlignment="1">
      <alignment horizontal="center" vertical="center" wrapText="1"/>
    </xf>
    <xf numFmtId="10" fontId="19" fillId="0" borderId="3" xfId="0" applyNumberFormat="1" applyFont="1" applyFill="1" applyBorder="1" applyAlignment="1">
      <alignment vertical="top" wrapText="1"/>
    </xf>
    <xf numFmtId="0" fontId="19" fillId="0" borderId="1" xfId="0" applyFont="1" applyFill="1" applyBorder="1" applyAlignment="1">
      <alignment vertical="center" wrapText="1"/>
    </xf>
    <xf numFmtId="0" fontId="22" fillId="0" borderId="3" xfId="0" applyFont="1" applyFill="1" applyBorder="1" applyAlignment="1">
      <alignment vertical="center" wrapText="1"/>
    </xf>
    <xf numFmtId="9" fontId="35" fillId="0" borderId="1" xfId="13" applyFont="1" applyFill="1" applyBorder="1" applyAlignment="1">
      <alignment horizontal="center" vertical="center" wrapText="1"/>
    </xf>
    <xf numFmtId="0" fontId="21" fillId="0" borderId="1" xfId="0" applyFont="1" applyFill="1" applyBorder="1" applyAlignment="1">
      <alignment horizontal="center" vertical="center" wrapText="1"/>
    </xf>
    <xf numFmtId="0" fontId="37"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38" fillId="0" borderId="1" xfId="0" applyFont="1" applyFill="1" applyBorder="1" applyAlignment="1">
      <alignment horizontal="center" vertical="center" wrapText="1"/>
    </xf>
    <xf numFmtId="0" fontId="38" fillId="0" borderId="1" xfId="0" applyFont="1" applyFill="1" applyBorder="1" applyAlignment="1">
      <alignment vertical="center" wrapText="1"/>
    </xf>
    <xf numFmtId="176" fontId="39" fillId="0" borderId="1" xfId="0" applyNumberFormat="1" applyFont="1" applyFill="1" applyBorder="1" applyAlignment="1">
      <alignment vertical="center" wrapText="1"/>
    </xf>
    <xf numFmtId="0" fontId="38" fillId="0" borderId="1" xfId="0" applyFont="1" applyFill="1" applyBorder="1" applyAlignment="1">
      <alignment horizontal="left" vertical="center" wrapText="1"/>
    </xf>
    <xf numFmtId="0" fontId="39" fillId="0" borderId="1" xfId="0" applyFont="1" applyFill="1" applyBorder="1" applyAlignment="1">
      <alignment horizontal="left" vertical="center" wrapText="1"/>
    </xf>
    <xf numFmtId="0" fontId="22" fillId="0" borderId="2" xfId="0" applyFont="1" applyFill="1" applyBorder="1" applyAlignment="1">
      <alignment vertical="center" wrapText="1"/>
    </xf>
    <xf numFmtId="0" fontId="22" fillId="0" borderId="21" xfId="0" applyFont="1" applyFill="1" applyBorder="1" applyAlignment="1">
      <alignment vertical="center" wrapText="1"/>
    </xf>
    <xf numFmtId="176" fontId="26" fillId="0" borderId="1" xfId="0" applyNumberFormat="1" applyFont="1" applyFill="1" applyBorder="1" applyAlignment="1">
      <alignment vertical="center" wrapText="1"/>
    </xf>
    <xf numFmtId="0" fontId="22" fillId="0" borderId="0" xfId="0" applyFont="1" applyFill="1" applyAlignment="1">
      <alignment vertical="center"/>
    </xf>
    <xf numFmtId="176" fontId="22" fillId="0" borderId="0" xfId="0" applyNumberFormat="1" applyFont="1" applyFill="1" applyAlignment="1">
      <alignment vertical="center"/>
    </xf>
    <xf numFmtId="176" fontId="25" fillId="0" borderId="0" xfId="0" applyNumberFormat="1" applyFont="1" applyFill="1" applyAlignment="1">
      <alignment horizontal="center" vertical="center"/>
    </xf>
    <xf numFmtId="176" fontId="27" fillId="0" borderId="1" xfId="0" applyNumberFormat="1" applyFont="1" applyFill="1" applyBorder="1" applyAlignment="1">
      <alignment horizontal="center" vertical="center"/>
    </xf>
    <xf numFmtId="0" fontId="22" fillId="0" borderId="1" xfId="0" applyFont="1" applyFill="1" applyBorder="1" applyAlignment="1">
      <alignment vertical="center"/>
    </xf>
    <xf numFmtId="0" fontId="40" fillId="0" borderId="1" xfId="0" applyFont="1" applyFill="1" applyBorder="1" applyAlignment="1">
      <alignment horizontal="center" vertical="center" wrapText="1"/>
    </xf>
    <xf numFmtId="176" fontId="26" fillId="0" borderId="1" xfId="0" applyNumberFormat="1" applyFont="1" applyFill="1" applyBorder="1" applyAlignment="1">
      <alignment horizontal="center" vertical="center"/>
    </xf>
    <xf numFmtId="0" fontId="22" fillId="0" borderId="2" xfId="0" applyFont="1" applyFill="1" applyBorder="1" applyAlignment="1">
      <alignment horizontal="center" vertical="center" wrapText="1"/>
    </xf>
    <xf numFmtId="0" fontId="22" fillId="0" borderId="21" xfId="0" applyFont="1" applyFill="1" applyBorder="1" applyAlignment="1">
      <alignment horizontal="center" vertical="center" wrapText="1"/>
    </xf>
    <xf numFmtId="0" fontId="22" fillId="0" borderId="3" xfId="0" applyFont="1" applyFill="1" applyBorder="1" applyAlignment="1">
      <alignment horizontal="center" vertical="center" wrapText="1"/>
    </xf>
    <xf numFmtId="176" fontId="22" fillId="0" borderId="1" xfId="0" applyNumberFormat="1" applyFont="1" applyFill="1" applyBorder="1" applyAlignment="1">
      <alignment vertical="center"/>
    </xf>
    <xf numFmtId="176" fontId="25" fillId="0" borderId="0" xfId="13" applyNumberFormat="1" applyFont="1" applyFill="1" applyAlignment="1">
      <alignment horizontal="center" vertical="center"/>
    </xf>
    <xf numFmtId="0" fontId="25" fillId="0" borderId="0" xfId="0" applyFont="1" applyFill="1" applyAlignment="1">
      <alignment horizontal="center" vertical="center"/>
    </xf>
    <xf numFmtId="176" fontId="26" fillId="0" borderId="2" xfId="0" applyNumberFormat="1" applyFont="1" applyFill="1" applyBorder="1" applyAlignment="1">
      <alignment horizontal="center" vertical="center"/>
    </xf>
    <xf numFmtId="176" fontId="41" fillId="0" borderId="2" xfId="0" applyNumberFormat="1" applyFont="1" applyFill="1" applyBorder="1" applyAlignment="1">
      <alignment vertical="center"/>
    </xf>
    <xf numFmtId="176" fontId="26" fillId="0" borderId="0" xfId="0" applyNumberFormat="1" applyFont="1" applyFill="1" applyBorder="1" applyAlignment="1">
      <alignment horizontal="center" vertical="center"/>
    </xf>
  </cellXfs>
  <cellStyles count="82">
    <cellStyle name="常规" xfId="0" builtinId="0"/>
    <cellStyle name="货币[0]" xfId="1" builtinId="7"/>
    <cellStyle name="20% - 强调文字颜色 3" xfId="2" builtinId="38"/>
    <cellStyle name="输入" xfId="3" builtinId="20"/>
    <cellStyle name="货币" xfId="4" builtinId="4"/>
    <cellStyle name="千位分隔[0]" xfId="5" builtinId="6"/>
    <cellStyle name="3232 2 2" xfId="6"/>
    <cellStyle name="千位分隔" xfId="7" builtinId="3"/>
    <cellStyle name="常规 7 3" xfId="8"/>
    <cellStyle name="40% - 强调文字颜色 3" xfId="9" builtinId="39"/>
    <cellStyle name="差" xfId="10" builtinId="27"/>
    <cellStyle name="60% - 强调文字颜色 3" xfId="11" builtinId="40"/>
    <cellStyle name="超链接" xfId="12" builtinId="8"/>
    <cellStyle name="百分比" xfId="13" builtinId="5"/>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常规 5 2" xfId="20"/>
    <cellStyle name="常规 3 2 2" xfId="21"/>
    <cellStyle name="解释性文本" xfId="22" builtinId="53"/>
    <cellStyle name="标题 1" xfId="23" builtinId="16"/>
    <cellStyle name="标题 2" xfId="24" builtinId="17"/>
    <cellStyle name="常规 5 2 2" xfId="25"/>
    <cellStyle name="60% - 强调文字颜色 1" xfId="26" builtinId="32"/>
    <cellStyle name="标题 3" xfId="27" builtinId="18"/>
    <cellStyle name="60% - 强调文字颜色 4" xfId="28" builtinId="44"/>
    <cellStyle name="输出" xfId="29" builtinId="21"/>
    <cellStyle name="3232 2" xfId="30"/>
    <cellStyle name="计算" xfId="31" builtinId="22"/>
    <cellStyle name="检查单元格" xfId="32" builtinId="23"/>
    <cellStyle name="20% - 强调文字颜色 6" xfId="33" builtinId="50"/>
    <cellStyle name="强调文字颜色 2" xfId="34" builtinId="33"/>
    <cellStyle name="链接单元格" xfId="35" builtinId="24"/>
    <cellStyle name="汇总" xfId="36" builtinId="25"/>
    <cellStyle name="3232 3" xfId="37"/>
    <cellStyle name="好" xfId="38" builtinId="26"/>
    <cellStyle name="适中" xfId="39" builtinId="28"/>
    <cellStyle name="20% - 强调文字颜色 5" xfId="40" builtinId="46"/>
    <cellStyle name="强调文字颜色 1" xfId="41" builtinId="29"/>
    <cellStyle name="20% - 强调文字颜色 1" xfId="42" builtinId="30"/>
    <cellStyle name="40% - 强调文字颜色 1" xfId="43" builtinId="31"/>
    <cellStyle name="20% - 强调文字颜色 2" xfId="44" builtinId="34"/>
    <cellStyle name="40% - 强调文字颜色 2" xfId="45" builtinId="35"/>
    <cellStyle name="强调文字颜色 3" xfId="46" builtinId="37"/>
    <cellStyle name="常规 3 2" xfId="47"/>
    <cellStyle name="强调文字颜色 4" xfId="48" builtinId="41"/>
    <cellStyle name="20% - 强调文字颜色 4" xfId="49" builtinId="42"/>
    <cellStyle name="40% - 强调文字颜色 4" xfId="50" builtinId="43"/>
    <cellStyle name="常规 3 3" xfId="51"/>
    <cellStyle name="强调文字颜色 5" xfId="52" builtinId="45"/>
    <cellStyle name="40% - 强调文字颜色 5" xfId="53" builtinId="47"/>
    <cellStyle name="60% - 强调文字颜色 5" xfId="54" builtinId="48"/>
    <cellStyle name="常规 53 2" xfId="55"/>
    <cellStyle name="常规 3 4" xfId="56"/>
    <cellStyle name="强调文字颜色 6" xfId="57" builtinId="49"/>
    <cellStyle name="40% - 强调文字颜色 6" xfId="58" builtinId="51"/>
    <cellStyle name="60% - 强调文字颜色 6" xfId="59" builtinId="52"/>
    <cellStyle name="常规 53 3" xfId="60"/>
    <cellStyle name="3232" xfId="61"/>
    <cellStyle name="常规 2" xfId="62"/>
    <cellStyle name="常规 3" xfId="63"/>
    <cellStyle name="表体数字 3 2 6 5 3 2" xfId="64"/>
    <cellStyle name="常规 3 2 2 2" xfId="65"/>
    <cellStyle name="常规 3 2 3" xfId="66"/>
    <cellStyle name="常规 3 3 2" xfId="67"/>
    <cellStyle name="常规 4" xfId="68"/>
    <cellStyle name="常规 5" xfId="69"/>
    <cellStyle name="常规 5 3" xfId="70"/>
    <cellStyle name="常规 53" xfId="71"/>
    <cellStyle name="常规 53 2 2" xfId="72"/>
    <cellStyle name="常规 7" xfId="73"/>
    <cellStyle name="常规 7 2" xfId="74"/>
    <cellStyle name="常规 7 2 2" xfId="75"/>
    <cellStyle name="常规 10" xfId="76"/>
    <cellStyle name="表体数字 3 2 6 6" xfId="77"/>
    <cellStyle name="常规 144 4" xfId="78"/>
    <cellStyle name="常规 11" xfId="79"/>
    <cellStyle name="?餑_x005f_x005f_x005f_x000c_睨_x005f_x005f_x005f_x0017__x005f_x005f_x005f_x000d_帼U_x005f_x005f_x005f_x0001_0_x005f_x005f_x005f_x0005_j'_x005f_x005f_x005f_x0007__x005f_x005f_x005f_x0001__x005f_x005f_x005f_x0001_ 3" xfId="80"/>
    <cellStyle name="Normal" xfId="81"/>
  </cellStyles>
  <tableStyles count="0" defaultTableStyle="TableStyleMedium9"/>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externalLink" Target="externalLinks/externalLink2.xml"/><Relationship Id="rId12" Type="http://schemas.openxmlformats.org/officeDocument/2006/relationships/externalLink" Target="externalLinks/externalLink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0</xdr:row>
      <xdr:rowOff>95250</xdr:rowOff>
    </xdr:from>
    <xdr:to>
      <xdr:col>9</xdr:col>
      <xdr:colOff>130810</xdr:colOff>
      <xdr:row>52</xdr:row>
      <xdr:rowOff>114300</xdr:rowOff>
    </xdr:to>
    <xdr:pic>
      <xdr:nvPicPr>
        <xdr:cNvPr id="2" name="图片 1" descr="821851390027901378"/>
        <xdr:cNvPicPr>
          <a:picLocks noChangeAspect="1"/>
        </xdr:cNvPicPr>
      </xdr:nvPicPr>
      <xdr:blipFill>
        <a:blip r:embed="rId1"/>
        <a:srcRect l="4340" t="7160" r="6759" b="1401"/>
        <a:stretch>
          <a:fillRect/>
        </a:stretch>
      </xdr:blipFill>
      <xdr:spPr>
        <a:xfrm>
          <a:off x="9525" y="95250"/>
          <a:ext cx="5613400" cy="843915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0</xdr:row>
      <xdr:rowOff>9525</xdr:rowOff>
    </xdr:from>
    <xdr:to>
      <xdr:col>9</xdr:col>
      <xdr:colOff>3175</xdr:colOff>
      <xdr:row>48</xdr:row>
      <xdr:rowOff>9525</xdr:rowOff>
    </xdr:to>
    <xdr:pic>
      <xdr:nvPicPr>
        <xdr:cNvPr id="2" name="图片 1" descr="800960417329061281"/>
        <xdr:cNvPicPr>
          <a:picLocks noChangeAspect="1"/>
        </xdr:cNvPicPr>
      </xdr:nvPicPr>
      <xdr:blipFill>
        <a:blip r:embed="rId1"/>
        <a:srcRect l="3018" t="5142" r="3431" b="263"/>
        <a:stretch>
          <a:fillRect/>
        </a:stretch>
      </xdr:blipFill>
      <xdr:spPr>
        <a:xfrm>
          <a:off x="9525" y="9525"/>
          <a:ext cx="5485765" cy="77724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24494;&#20449;&#25991;&#20214;\WeChat%20Files\wxid_u3th4f9h0t0a12\FileStorage\File\2023-04\02&#12289;2320230222&#20215;&#26684;&#28165;&#21333;&#65288;&#20234;&#27827;&#28286;&#21806;&#27004;&#37096;&#24149;&#22681;&#24037;&#31243;&#65289;&#65288;&#23436;&#21892;&#21644;&#20462;&#25913;&#37096;&#20998;&#24050;&#26631;&#27880;&#39068;&#33394;&#6528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24494;&#20449;&#25991;&#20214;\WeChat%20Files\wxid_u3th4f9h0t0a12\FileStorage\File\2023-04\&#20215;&#26684;&#28165;&#21333;&#65288;&#20234;&#27827;&#28286;&#21806;&#27004;&#37096;&#35013;&#20462;&#24037;&#31243;&#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清单报价说明"/>
      <sheetName val="汇总表"/>
      <sheetName val="Sheet1"/>
      <sheetName val="幕墙"/>
      <sheetName val="门头钢结构工程量计算"/>
    </sheetNames>
    <sheetDataSet>
      <sheetData sheetId="0"/>
      <sheetData sheetId="1">
        <row r="4">
          <cell r="F4">
            <v>2433364.70479046</v>
          </cell>
        </row>
      </sheetData>
      <sheetData sheetId="2"/>
      <sheetData sheetId="3"/>
      <sheetData sheetId="4"/>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2"/>
      <sheetName val="Sheet1"/>
      <sheetName val="02、装饰工程"/>
      <sheetName val="03、安装工程"/>
      <sheetName val="门头钢结构工程量计算"/>
    </sheetNames>
    <sheetDataSet>
      <sheetData sheetId="0"/>
      <sheetData sheetId="1"/>
      <sheetData sheetId="2">
        <row r="10">
          <cell r="K10">
            <v>0.06</v>
          </cell>
          <cell r="L10">
            <v>0.09</v>
          </cell>
        </row>
      </sheetData>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8497B"/>
      </a:dk2>
      <a:lt2>
        <a:srgbClr val="EFEFE7"/>
      </a:lt2>
      <a:accent1>
        <a:srgbClr val="4A82BD"/>
      </a:accent1>
      <a:accent2>
        <a:srgbClr val="C6514A"/>
      </a:accent2>
      <a:accent3>
        <a:srgbClr val="9CBA5A"/>
      </a:accent3>
      <a:accent4>
        <a:srgbClr val="8465A5"/>
      </a:accent4>
      <a:accent5>
        <a:srgbClr val="4AAEC6"/>
      </a:accent5>
      <a:accent6>
        <a:srgbClr val="F79642"/>
      </a:accent6>
      <a:hlink>
        <a:srgbClr val="180CBD"/>
      </a:hlink>
      <a:folHlink>
        <a:srgbClr val="63009C"/>
      </a:folHlink>
    </a:clrScheme>
    <a:fontScheme name="Office">
      <a:majorFont>
        <a:latin typeface="Cambria"/>
        <a:ea typeface=""/>
        <a:cs typeface=""/>
        <a:font script="Jpan" typeface="ＭＳ Ｐゴシック"/>
        <a:font script="Hang" typeface="맑은 고딕"/>
        <a:font script="Hans" typeface="宋体"/>
        <a:font script="Hant" typeface="微軟正黑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minorFont>
    </a:fontScheme>
    <a:fmtScheme name="Office">
      <a:fillStyleLst>
        <a:solidFill>
          <a:schemeClr val="phClr"/>
        </a:solidFill>
        <a:gradFill rotWithShape="1">
          <a:gsLst>
            <a:gs pos="0">
              <a:schemeClr val="phClr">
                <a:tint val="50000"/>
                <a:shade val="98000"/>
                <a:satMod val="300000"/>
              </a:schemeClr>
            </a:gs>
            <a:gs pos="25000">
              <a:schemeClr val="phClr">
                <a:tint val="37000"/>
                <a:shade val="98000"/>
                <a:satMod val="300000"/>
              </a:schemeClr>
            </a:gs>
            <a:gs pos="100000">
              <a:schemeClr val="phClr">
                <a:tint val="5000"/>
                <a:satMod val="350000"/>
              </a:schemeClr>
            </a:gs>
          </a:gsLst>
          <a:lin ang="16200000" scaled="1"/>
        </a:gradFill>
        <a:gradFill rotWithShape="1">
          <a:gsLst>
            <a:gs pos="0">
              <a:schemeClr val="phClr">
                <a:shade val="75000"/>
                <a:satMod val="160000"/>
              </a:schemeClr>
            </a:gs>
            <a:gs pos="62000">
              <a:schemeClr val="phClr">
                <a:satMod val="125000"/>
              </a:schemeClr>
            </a:gs>
            <a:gs pos="100000">
              <a:schemeClr val="phClr">
                <a:tint val="80000"/>
                <a:satMod val="140000"/>
              </a:schemeClr>
            </a:gs>
          </a:gsLst>
          <a:lin ang="16200000" scaled="0"/>
        </a:gradFill>
      </a:fillStyleLst>
      <a:lnStyleLst>
        <a:ln w="6350" cap="rnd" cmpd="sng" algn="ctr">
          <a:solidFill>
            <a:schemeClr val="phClr"/>
          </a:solidFill>
          <a:prstDash val="solid"/>
        </a:ln>
        <a:ln w="25400" cap="rnd" cmpd="sng" algn="ctr">
          <a:solidFill>
            <a:schemeClr val="phClr"/>
          </a:solidFill>
          <a:prstDash val="solid"/>
        </a:ln>
        <a:ln w="34925" cap="rnd" cmpd="sng" algn="ctr">
          <a:solidFill>
            <a:schemeClr val="phClr"/>
          </a:solidFill>
          <a:prstDash val="solid"/>
        </a:ln>
      </a:lnStyleLst>
      <a:effectStyleLst>
        <a:effectStyle>
          <a:effectLst>
            <a:outerShdw blurRad="63500" dist="25400" dir="5400000">
              <a:srgbClr val="000000">
                <a:alpha val="43137"/>
              </a:srgbClr>
            </a:outerShdw>
          </a:effectLst>
        </a:effectStyle>
        <a:effectStyle>
          <a:effectLst>
            <a:outerShdw blurRad="50800" dist="38100" dir="5400000">
              <a:srgbClr val="000000">
                <a:alpha val="45882"/>
              </a:srgbClr>
            </a:outerShdw>
          </a:effectLst>
          <a:scene3d>
            <a:camera prst="orthographicFront" fov="0">
              <a:rot lat="0" lon="0" rev="0"/>
            </a:camera>
            <a:lightRig rig="contrasting" dir="t">
              <a:rot lat="0" lon="0" rev="16500000"/>
            </a:lightRig>
          </a:scene3d>
          <a:sp3d contourW="12700" prstMaterial="powder">
            <a:bevelT h="50800"/>
            <a:contourClr>
              <a:schemeClr val="phClr"/>
            </a:contourClr>
          </a:sp3d>
        </a:effectStyle>
        <a:effectStyle>
          <a:effectLst>
            <a:reflection blurRad="12700" stA="25000" endPos="28000" dist="38100" dir="5400000" sy="-100000"/>
          </a:effectLst>
          <a:scene3d>
            <a:camera prst="orthographicFront" fov="0">
              <a:rot lat="0" lon="0" rev="0"/>
            </a:camera>
            <a:lightRig rig="threePt" dir="t">
              <a:rot lat="0" lon="0" rev="0"/>
            </a:lightRig>
          </a:scene3d>
          <a:sp3d>
            <a:bevelT w="139700" h="38100"/>
            <a:contourClr>
              <a:schemeClr val="phClr"/>
            </a:contourClr>
          </a:sp3d>
        </a:effectStyle>
      </a:effectStyleLst>
      <a:bgFillStyleLst>
        <a:solidFill>
          <a:schemeClr val="phClr"/>
        </a:solidFill>
        <a:gradFill rotWithShape="1">
          <a:gsLst>
            <a:gs pos="0">
              <a:schemeClr val="phClr">
                <a:shade val="75000"/>
                <a:satMod val="250000"/>
              </a:schemeClr>
            </a:gs>
            <a:gs pos="20000">
              <a:schemeClr val="phClr">
                <a:shade val="85000"/>
                <a:satMod val="175000"/>
              </a:schemeClr>
            </a:gs>
            <a:gs pos="100000">
              <a:schemeClr val="phClr">
                <a:tint val="5000"/>
                <a:satMod val="350000"/>
              </a:schemeClr>
            </a:gs>
          </a:gsLst>
          <a:lin ang="16200000" scaled="1"/>
        </a:gradFill>
        <a:gradFill rotWithShape="1">
          <a:gsLst>
            <a:gs pos="0">
              <a:schemeClr val="phClr">
                <a:shade val="50000"/>
                <a:satMod val="145000"/>
              </a:schemeClr>
            </a:gs>
            <a:gs pos="30000">
              <a:schemeClr val="phClr">
                <a:shade val="65000"/>
                <a:satMod val="155000"/>
              </a:schemeClr>
            </a:gs>
            <a:gs pos="100000">
              <a:schemeClr val="phClr">
                <a:tint val="60000"/>
                <a:satMod val="170000"/>
              </a:schemeClr>
            </a:gs>
          </a:gsLst>
          <a:lin ang="16200000" scaled="1"/>
        </a:gradFill>
      </a:bgFillStyleLst>
    </a:fmtScheme>
  </a:themeElements>
  <a:objectDefaults/>
</a:theme>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7"/>
  <sheetViews>
    <sheetView tabSelected="1" workbookViewId="0">
      <pane ySplit="3" topLeftCell="A4" activePane="bottomLeft" state="frozen"/>
      <selection/>
      <selection pane="bottomLeft" activeCell="L5" sqref="L5"/>
    </sheetView>
  </sheetViews>
  <sheetFormatPr defaultColWidth="8.88571428571429" defaultRowHeight="15" customHeight="1" outlineLevelRow="6"/>
  <cols>
    <col min="1" max="1" width="3.04761904761905" style="290" customWidth="1"/>
    <col min="2" max="2" width="11.5714285714286" style="244" customWidth="1"/>
    <col min="3" max="3" width="12.2857142857143" style="246" customWidth="1"/>
    <col min="4" max="4" width="9.78095238095238" style="246" customWidth="1"/>
    <col min="5" max="5" width="11.4285714285714" style="291" customWidth="1"/>
    <col min="6" max="6" width="12.0761904761905" style="291" customWidth="1"/>
    <col min="7" max="7" width="9.43809523809524" style="291" customWidth="1"/>
    <col min="8" max="8" width="9.87619047619048" style="291" customWidth="1"/>
    <col min="9" max="9" width="11.447619047619" style="291" customWidth="1"/>
    <col min="10" max="10" width="8.85714285714286" style="291" customWidth="1"/>
    <col min="11" max="11" width="12" style="291" customWidth="1"/>
    <col min="12" max="12" width="12.4285714285714" style="291" customWidth="1"/>
    <col min="13" max="13" width="10.7619047619048" style="291" customWidth="1"/>
    <col min="14" max="15" width="8.88571428571429" style="290" hidden="1" customWidth="1"/>
    <col min="16" max="16" width="12.7714285714286" style="290" hidden="1" customWidth="1"/>
    <col min="17" max="16384" width="8.88571428571429" style="290"/>
  </cols>
  <sheetData>
    <row r="1" s="290" customFormat="1" customHeight="1" spans="1:16">
      <c r="A1" s="247" t="s">
        <v>0</v>
      </c>
      <c r="B1" s="248"/>
      <c r="C1" s="250"/>
      <c r="D1" s="250"/>
      <c r="E1" s="292"/>
      <c r="F1" s="292"/>
      <c r="G1" s="292"/>
      <c r="H1" s="292"/>
      <c r="I1" s="292"/>
      <c r="J1" s="292"/>
      <c r="K1" s="292"/>
      <c r="L1" s="301"/>
      <c r="M1" s="292"/>
      <c r="N1" s="302"/>
      <c r="O1" s="302"/>
      <c r="P1" s="302"/>
    </row>
    <row r="2" s="290" customFormat="1" customHeight="1" spans="1:16">
      <c r="A2" s="251" t="s">
        <v>1</v>
      </c>
      <c r="B2" s="251" t="s">
        <v>2</v>
      </c>
      <c r="C2" s="253" t="s">
        <v>3</v>
      </c>
      <c r="D2" s="253" t="s">
        <v>4</v>
      </c>
      <c r="E2" s="293" t="s">
        <v>5</v>
      </c>
      <c r="F2" s="253" t="s">
        <v>6</v>
      </c>
      <c r="G2" s="253"/>
      <c r="H2" s="253"/>
      <c r="I2" s="253" t="s">
        <v>7</v>
      </c>
      <c r="J2" s="253"/>
      <c r="K2" s="253"/>
      <c r="L2" s="266" t="s">
        <v>8</v>
      </c>
      <c r="M2" s="253"/>
      <c r="N2" s="267" t="s">
        <v>9</v>
      </c>
      <c r="O2" s="255" t="s">
        <v>10</v>
      </c>
      <c r="P2" s="255" t="s">
        <v>11</v>
      </c>
    </row>
    <row r="3" s="290" customFormat="1" ht="26" customHeight="1" spans="1:16">
      <c r="A3" s="251"/>
      <c r="B3" s="251"/>
      <c r="C3" s="253"/>
      <c r="D3" s="253"/>
      <c r="E3" s="293"/>
      <c r="F3" s="253" t="s">
        <v>12</v>
      </c>
      <c r="G3" s="253" t="s">
        <v>12</v>
      </c>
      <c r="H3" s="253" t="s">
        <v>13</v>
      </c>
      <c r="I3" s="253" t="s">
        <v>14</v>
      </c>
      <c r="J3" s="253" t="s">
        <v>15</v>
      </c>
      <c r="K3" s="253" t="s">
        <v>16</v>
      </c>
      <c r="L3" s="266" t="s">
        <v>17</v>
      </c>
      <c r="M3" s="253" t="s">
        <v>18</v>
      </c>
      <c r="N3" s="267"/>
      <c r="O3" s="255"/>
      <c r="P3" s="255"/>
    </row>
    <row r="4" s="290" customFormat="1" ht="26" customHeight="1" spans="1:13">
      <c r="A4" s="294">
        <v>1</v>
      </c>
      <c r="B4" s="295" t="s">
        <v>19</v>
      </c>
      <c r="C4" s="296">
        <f>清单明细!D4</f>
        <v>4379892.67941705</v>
      </c>
      <c r="D4" s="296">
        <v>1</v>
      </c>
      <c r="E4" s="296">
        <f>C4</f>
        <v>4379892.67941705</v>
      </c>
      <c r="F4" s="296">
        <v>0</v>
      </c>
      <c r="G4" s="296">
        <v>0</v>
      </c>
      <c r="H4" s="296">
        <v>0</v>
      </c>
      <c r="I4" s="296">
        <v>1</v>
      </c>
      <c r="J4" s="270">
        <v>0.8</v>
      </c>
      <c r="K4" s="303">
        <f>清单明细!M4</f>
        <v>2129423.56185477</v>
      </c>
      <c r="L4" s="296">
        <f>K4</f>
        <v>2129423.56185477</v>
      </c>
      <c r="M4" s="270">
        <f>L4/C4</f>
        <v>0.486181675606304</v>
      </c>
    </row>
    <row r="5" s="290" customFormat="1" ht="22" customHeight="1" spans="1:13">
      <c r="A5" s="294">
        <v>2</v>
      </c>
      <c r="B5" s="295" t="s">
        <v>20</v>
      </c>
      <c r="C5" s="296">
        <f>清单明细!D278</f>
        <v>1360769.92645368</v>
      </c>
      <c r="D5" s="296">
        <v>1</v>
      </c>
      <c r="E5" s="296">
        <v>1360762.14579536</v>
      </c>
      <c r="F5" s="296">
        <v>0</v>
      </c>
      <c r="G5" s="296">
        <v>0</v>
      </c>
      <c r="H5" s="296">
        <v>0</v>
      </c>
      <c r="I5" s="296">
        <v>1</v>
      </c>
      <c r="J5" s="270">
        <v>0.8</v>
      </c>
      <c r="K5" s="303">
        <f>清单明细!M278</f>
        <v>602070.929478176</v>
      </c>
      <c r="L5" s="296">
        <f>K5</f>
        <v>602070.929478176</v>
      </c>
      <c r="M5" s="270">
        <f>L5/C5</f>
        <v>0.442448732716514</v>
      </c>
    </row>
    <row r="6" s="290" customFormat="1" customHeight="1" spans="1:18">
      <c r="A6" s="294"/>
      <c r="B6" s="297" t="s">
        <v>21</v>
      </c>
      <c r="C6" s="298"/>
      <c r="D6" s="298"/>
      <c r="E6" s="299"/>
      <c r="F6" s="296">
        <f>SUM(F4:F5)</f>
        <v>0</v>
      </c>
      <c r="G6" s="300"/>
      <c r="H6" s="300"/>
      <c r="I6" s="300"/>
      <c r="J6" s="300"/>
      <c r="K6" s="304"/>
      <c r="L6" s="296">
        <f>SUM(L4:L5)</f>
        <v>2731494.49133294</v>
      </c>
      <c r="M6" s="296"/>
      <c r="N6" s="305"/>
      <c r="O6" s="305"/>
      <c r="P6" s="305"/>
      <c r="Q6" s="305"/>
      <c r="R6" s="305"/>
    </row>
    <row r="7" customHeight="1" spans="12:18">
      <c r="L7" s="305"/>
      <c r="M7" s="305"/>
      <c r="N7" s="305"/>
      <c r="O7" s="305"/>
      <c r="P7" s="305"/>
      <c r="Q7" s="305"/>
      <c r="R7" s="305"/>
    </row>
  </sheetData>
  <mergeCells count="13">
    <mergeCell ref="A1:P1"/>
    <mergeCell ref="F2:H2"/>
    <mergeCell ref="I2:K2"/>
    <mergeCell ref="L2:M2"/>
    <mergeCell ref="B6:E6"/>
    <mergeCell ref="A2:A3"/>
    <mergeCell ref="B2:B3"/>
    <mergeCell ref="C2:C3"/>
    <mergeCell ref="D2:D3"/>
    <mergeCell ref="E2:E3"/>
    <mergeCell ref="N2:N3"/>
    <mergeCell ref="O2:O3"/>
    <mergeCell ref="P2:P3"/>
  </mergeCells>
  <pageMargins left="0.354166666666667" right="0.196527777777778" top="1" bottom="1" header="0.5" footer="0.5"/>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6"/>
  <sheetViews>
    <sheetView zoomScale="115" zoomScaleNormal="115" topLeftCell="C1" workbookViewId="0">
      <pane ySplit="5" topLeftCell="A6" activePane="bottomLeft" state="frozen"/>
      <selection/>
      <selection pane="bottomLeft" activeCell="A2" sqref="A2:F2"/>
    </sheetView>
  </sheetViews>
  <sheetFormatPr defaultColWidth="7.71428571428571" defaultRowHeight="11.25"/>
  <cols>
    <col min="1" max="1" width="5.92380952380952" style="22" customWidth="1"/>
    <col min="2" max="2" width="15.2857142857143" style="19" customWidth="1"/>
    <col min="3" max="3" width="32.1428571428571" style="19" customWidth="1"/>
    <col min="4" max="4" width="5.04761904761905" style="19" customWidth="1"/>
    <col min="5" max="5" width="12.2857142857143" style="23" customWidth="1"/>
    <col min="6" max="6" width="7.71428571428571" style="23" customWidth="1"/>
    <col min="7" max="7" width="7.42857142857143" style="23" customWidth="1"/>
    <col min="8" max="8" width="9.78095238095238" style="23" customWidth="1"/>
    <col min="9" max="9" width="6.71428571428571" style="24" customWidth="1"/>
    <col min="10" max="10" width="8.42857142857143" style="23" customWidth="1"/>
    <col min="11" max="11" width="10.2857142857143" style="23" customWidth="1"/>
    <col min="12" max="12" width="11.7142857142857" style="23" customWidth="1"/>
    <col min="13" max="13" width="7" style="23" customWidth="1"/>
    <col min="14" max="14" width="3.73333333333333" style="23" customWidth="1"/>
    <col min="15" max="15" width="11.8571428571429" style="23" customWidth="1"/>
    <col min="16" max="28" width="7.71428571428571" style="19"/>
    <col min="29" max="16381" width="40.1428571428571" style="19"/>
    <col min="16382" max="16384" width="7.71428571428571" style="19"/>
  </cols>
  <sheetData>
    <row r="1" s="19" customFormat="1" ht="25.5" spans="1:15">
      <c r="A1" s="25" t="s">
        <v>582</v>
      </c>
      <c r="B1" s="25"/>
      <c r="C1" s="25"/>
      <c r="D1" s="25"/>
      <c r="E1" s="26"/>
      <c r="F1" s="26"/>
      <c r="G1" s="26"/>
      <c r="H1" s="26"/>
      <c r="I1" s="40"/>
      <c r="J1" s="26"/>
      <c r="K1" s="26"/>
      <c r="L1" s="26"/>
      <c r="M1" s="26"/>
      <c r="N1" s="26"/>
      <c r="O1" s="26"/>
    </row>
    <row r="2" s="19" customFormat="1" ht="20" customHeight="1" spans="1:15">
      <c r="A2" s="27" t="s">
        <v>583</v>
      </c>
      <c r="B2" s="27"/>
      <c r="C2" s="27"/>
      <c r="D2" s="27"/>
      <c r="E2" s="28"/>
      <c r="F2" s="28"/>
      <c r="G2" s="29"/>
      <c r="H2" s="29"/>
      <c r="I2" s="41"/>
      <c r="J2" s="29"/>
      <c r="K2" s="29"/>
      <c r="L2" s="29"/>
      <c r="M2" s="29"/>
      <c r="N2" s="29"/>
      <c r="O2" s="29"/>
    </row>
    <row r="3" s="19" customFormat="1" spans="1:15">
      <c r="A3" s="30" t="s">
        <v>1</v>
      </c>
      <c r="B3" s="30" t="s">
        <v>90</v>
      </c>
      <c r="C3" s="30" t="s">
        <v>91</v>
      </c>
      <c r="D3" s="30" t="s">
        <v>72</v>
      </c>
      <c r="E3" s="31" t="s">
        <v>92</v>
      </c>
      <c r="F3" s="31" t="s">
        <v>93</v>
      </c>
      <c r="G3" s="31"/>
      <c r="H3" s="31"/>
      <c r="I3" s="42"/>
      <c r="J3" s="31"/>
      <c r="K3" s="31"/>
      <c r="L3" s="31"/>
      <c r="M3" s="31" t="s">
        <v>94</v>
      </c>
      <c r="N3" s="31"/>
      <c r="O3" s="31" t="s">
        <v>95</v>
      </c>
    </row>
    <row r="4" s="19" customFormat="1" ht="45" spans="1:15">
      <c r="A4" s="30"/>
      <c r="B4" s="30"/>
      <c r="C4" s="30"/>
      <c r="D4" s="30"/>
      <c r="E4" s="31"/>
      <c r="F4" s="31" t="s">
        <v>97</v>
      </c>
      <c r="G4" s="31" t="s">
        <v>98</v>
      </c>
      <c r="H4" s="31" t="s">
        <v>99</v>
      </c>
      <c r="I4" s="42" t="s">
        <v>100</v>
      </c>
      <c r="J4" s="31" t="s">
        <v>101</v>
      </c>
      <c r="K4" s="31" t="s">
        <v>102</v>
      </c>
      <c r="L4" s="31" t="s">
        <v>103</v>
      </c>
      <c r="M4" s="31"/>
      <c r="N4" s="31"/>
      <c r="O4" s="31"/>
    </row>
    <row r="5" s="19" customFormat="1" ht="22.5" spans="1:15">
      <c r="A5" s="30"/>
      <c r="B5" s="30"/>
      <c r="C5" s="30"/>
      <c r="D5" s="30"/>
      <c r="E5" s="31"/>
      <c r="F5" s="31"/>
      <c r="G5" s="31" t="s">
        <v>104</v>
      </c>
      <c r="H5" s="31" t="s">
        <v>105</v>
      </c>
      <c r="I5" s="42" t="s">
        <v>106</v>
      </c>
      <c r="J5" s="31"/>
      <c r="K5" s="43">
        <f>'[2]02、装饰工程'!K10</f>
        <v>0.06</v>
      </c>
      <c r="L5" s="43">
        <f>'[2]02、装饰工程'!L10</f>
        <v>0.09</v>
      </c>
      <c r="M5" s="31"/>
      <c r="N5" s="31"/>
      <c r="O5" s="31"/>
    </row>
    <row r="6" s="19" customFormat="1" ht="45" hidden="1" spans="1:15">
      <c r="A6" s="30">
        <v>1</v>
      </c>
      <c r="B6" s="32" t="s">
        <v>457</v>
      </c>
      <c r="C6" s="32" t="s">
        <v>584</v>
      </c>
      <c r="D6" s="32" t="s">
        <v>379</v>
      </c>
      <c r="E6" s="31">
        <v>14</v>
      </c>
      <c r="F6" s="33">
        <v>95</v>
      </c>
      <c r="G6" s="34"/>
      <c r="H6" s="33">
        <v>320</v>
      </c>
      <c r="I6" s="44">
        <v>0.05</v>
      </c>
      <c r="J6" s="33">
        <v>235</v>
      </c>
      <c r="K6" s="34">
        <f>(F6+G6+J6)*$K$5</f>
        <v>19.8</v>
      </c>
      <c r="L6" s="34">
        <f>(F6+G6+J6+K6)*$L$5</f>
        <v>31.482</v>
      </c>
      <c r="M6" s="34">
        <f>L6+K6+J6+G6+F6</f>
        <v>381.282</v>
      </c>
      <c r="N6" s="34"/>
      <c r="O6" s="34">
        <f t="shared" ref="O6:O24" si="0">M6*E6</f>
        <v>5337.948</v>
      </c>
    </row>
    <row r="7" s="19" customFormat="1" ht="45" hidden="1" spans="1:15">
      <c r="A7" s="30">
        <v>2</v>
      </c>
      <c r="B7" s="32" t="s">
        <v>457</v>
      </c>
      <c r="C7" s="32" t="s">
        <v>585</v>
      </c>
      <c r="D7" s="32" t="s">
        <v>379</v>
      </c>
      <c r="E7" s="31">
        <v>1</v>
      </c>
      <c r="F7" s="34">
        <f>F6</f>
        <v>95</v>
      </c>
      <c r="G7" s="34"/>
      <c r="H7" s="33">
        <v>255</v>
      </c>
      <c r="I7" s="44">
        <f t="shared" ref="I7:I24" si="1">I6</f>
        <v>0.05</v>
      </c>
      <c r="J7" s="34">
        <f>J6</f>
        <v>235</v>
      </c>
      <c r="K7" s="34">
        <f>(F7+G7+J7)*$K$5</f>
        <v>19.8</v>
      </c>
      <c r="L7" s="34">
        <f>(F7+G7+J7+K7)*$L$5</f>
        <v>31.482</v>
      </c>
      <c r="M7" s="45">
        <f>L7+K7+J7+G7+F7</f>
        <v>381.282</v>
      </c>
      <c r="N7" s="46"/>
      <c r="O7" s="31">
        <f t="shared" si="0"/>
        <v>381.282</v>
      </c>
    </row>
    <row r="8" s="19" customFormat="1" ht="45" hidden="1" spans="1:15">
      <c r="A8" s="30">
        <v>3</v>
      </c>
      <c r="B8" s="32" t="s">
        <v>457</v>
      </c>
      <c r="C8" s="32" t="s">
        <v>586</v>
      </c>
      <c r="D8" s="32" t="s">
        <v>379</v>
      </c>
      <c r="E8" s="31">
        <v>1</v>
      </c>
      <c r="F8" s="34">
        <f>F7</f>
        <v>95</v>
      </c>
      <c r="G8" s="34"/>
      <c r="H8" s="33">
        <v>285</v>
      </c>
      <c r="I8" s="44">
        <f t="shared" si="1"/>
        <v>0.05</v>
      </c>
      <c r="J8" s="33">
        <v>35</v>
      </c>
      <c r="K8" s="34">
        <f>(F8+G8+J8)*$K$5</f>
        <v>7.8</v>
      </c>
      <c r="L8" s="34">
        <f>(F8+G8+J8+K8)*$L$5</f>
        <v>12.402</v>
      </c>
      <c r="M8" s="45">
        <f>K8+J8+G8+F8</f>
        <v>137.8</v>
      </c>
      <c r="N8" s="46"/>
      <c r="O8" s="31">
        <f t="shared" si="0"/>
        <v>137.8</v>
      </c>
    </row>
    <row r="9" s="19" customFormat="1" ht="45" hidden="1" spans="1:15">
      <c r="A9" s="30">
        <v>4</v>
      </c>
      <c r="B9" s="32" t="s">
        <v>587</v>
      </c>
      <c r="C9" s="32" t="s">
        <v>588</v>
      </c>
      <c r="D9" s="32" t="s">
        <v>317</v>
      </c>
      <c r="E9" s="31">
        <v>8</v>
      </c>
      <c r="F9" s="33">
        <v>50</v>
      </c>
      <c r="G9" s="34"/>
      <c r="H9" s="33">
        <v>550</v>
      </c>
      <c r="I9" s="44">
        <f t="shared" si="1"/>
        <v>0.05</v>
      </c>
      <c r="J9" s="33">
        <v>5</v>
      </c>
      <c r="K9" s="34">
        <f>(F9+G9+J9)*$K$5</f>
        <v>3.3</v>
      </c>
      <c r="L9" s="34">
        <f>(F9+G9+J9+K9)*$L$5</f>
        <v>5.247</v>
      </c>
      <c r="M9" s="45">
        <f t="shared" ref="M9:M24" si="2">L9+K9+J9+G9+F9</f>
        <v>63.547</v>
      </c>
      <c r="N9" s="46"/>
      <c r="O9" s="31">
        <f t="shared" si="0"/>
        <v>508.376</v>
      </c>
    </row>
    <row r="10" s="19" customFormat="1" ht="67.5" hidden="1" spans="1:15">
      <c r="A10" s="30">
        <v>5</v>
      </c>
      <c r="B10" s="32" t="s">
        <v>445</v>
      </c>
      <c r="C10" s="32" t="s">
        <v>589</v>
      </c>
      <c r="D10" s="32" t="s">
        <v>379</v>
      </c>
      <c r="E10" s="31">
        <v>2</v>
      </c>
      <c r="F10" s="33">
        <v>260</v>
      </c>
      <c r="G10" s="34"/>
      <c r="H10" s="33">
        <v>1350</v>
      </c>
      <c r="I10" s="44">
        <f t="shared" si="1"/>
        <v>0.05</v>
      </c>
      <c r="J10" s="33">
        <v>50</v>
      </c>
      <c r="K10" s="34">
        <f>(F10+G10+J10)*$K$5</f>
        <v>18.6</v>
      </c>
      <c r="L10" s="34">
        <f>(F10+G10+J10+K10)*$L$5</f>
        <v>29.574</v>
      </c>
      <c r="M10" s="45">
        <f t="shared" si="2"/>
        <v>358.174</v>
      </c>
      <c r="N10" s="46"/>
      <c r="O10" s="31">
        <f t="shared" si="0"/>
        <v>716.348</v>
      </c>
    </row>
    <row r="11" s="19" customFormat="1" ht="67.5" hidden="1" spans="1:15">
      <c r="A11" s="30">
        <v>6</v>
      </c>
      <c r="B11" s="32" t="s">
        <v>449</v>
      </c>
      <c r="C11" s="32" t="s">
        <v>590</v>
      </c>
      <c r="D11" s="32" t="s">
        <v>379</v>
      </c>
      <c r="E11" s="31">
        <v>7</v>
      </c>
      <c r="F11" s="33">
        <v>50</v>
      </c>
      <c r="G11" s="34"/>
      <c r="H11" s="33">
        <v>185</v>
      </c>
      <c r="I11" s="44">
        <f t="shared" si="1"/>
        <v>0.05</v>
      </c>
      <c r="J11" s="33">
        <v>20</v>
      </c>
      <c r="K11" s="34">
        <f>(F11+G11+J11)*$K$5</f>
        <v>4.2</v>
      </c>
      <c r="L11" s="34">
        <f>(F11+G11+J11+K11)*$L$5</f>
        <v>6.678</v>
      </c>
      <c r="M11" s="45">
        <f t="shared" si="2"/>
        <v>80.878</v>
      </c>
      <c r="N11" s="46"/>
      <c r="O11" s="31">
        <f t="shared" si="0"/>
        <v>566.146</v>
      </c>
    </row>
    <row r="12" s="19" customFormat="1" ht="45" hidden="1" spans="1:15">
      <c r="A12" s="30">
        <v>7</v>
      </c>
      <c r="B12" s="32" t="s">
        <v>591</v>
      </c>
      <c r="C12" s="32" t="s">
        <v>592</v>
      </c>
      <c r="D12" s="32" t="s">
        <v>138</v>
      </c>
      <c r="E12" s="31">
        <v>5</v>
      </c>
      <c r="F12" s="33">
        <v>300</v>
      </c>
      <c r="G12" s="34"/>
      <c r="H12" s="33">
        <v>200</v>
      </c>
      <c r="I12" s="44">
        <f t="shared" si="1"/>
        <v>0.05</v>
      </c>
      <c r="J12" s="33">
        <v>49.9</v>
      </c>
      <c r="K12" s="34">
        <f>(F12+G12+J12)*$K$5</f>
        <v>20.994</v>
      </c>
      <c r="L12" s="34">
        <f>(F12+G12+J12+K12)*$L$5</f>
        <v>33.38046</v>
      </c>
      <c r="M12" s="45">
        <f t="shared" si="2"/>
        <v>404.27446</v>
      </c>
      <c r="N12" s="46"/>
      <c r="O12" s="31">
        <f t="shared" si="0"/>
        <v>2021.3723</v>
      </c>
    </row>
    <row r="13" s="19" customFormat="1" ht="45" hidden="1" spans="1:15">
      <c r="A13" s="30">
        <v>8</v>
      </c>
      <c r="B13" s="32" t="s">
        <v>591</v>
      </c>
      <c r="C13" s="32" t="s">
        <v>593</v>
      </c>
      <c r="D13" s="32" t="s">
        <v>138</v>
      </c>
      <c r="E13" s="31">
        <v>1</v>
      </c>
      <c r="F13" s="33">
        <v>650</v>
      </c>
      <c r="G13" s="34"/>
      <c r="H13" s="33">
        <v>750</v>
      </c>
      <c r="I13" s="44">
        <f t="shared" si="1"/>
        <v>0.05</v>
      </c>
      <c r="J13" s="33">
        <v>120</v>
      </c>
      <c r="K13" s="34">
        <f>(F13+G13+J13)*$K$5</f>
        <v>46.2</v>
      </c>
      <c r="L13" s="34">
        <f>(F13+G13+J13+K13)*$L$5</f>
        <v>73.458</v>
      </c>
      <c r="M13" s="45">
        <f t="shared" si="2"/>
        <v>889.658</v>
      </c>
      <c r="N13" s="46"/>
      <c r="O13" s="31">
        <f t="shared" si="0"/>
        <v>889.658</v>
      </c>
    </row>
    <row r="14" s="19" customFormat="1" ht="56.25" hidden="1" spans="1:15">
      <c r="A14" s="30">
        <v>9</v>
      </c>
      <c r="B14" s="32" t="s">
        <v>461</v>
      </c>
      <c r="C14" s="32" t="s">
        <v>594</v>
      </c>
      <c r="D14" s="32" t="s">
        <v>379</v>
      </c>
      <c r="E14" s="31">
        <v>1</v>
      </c>
      <c r="F14" s="33">
        <v>260</v>
      </c>
      <c r="G14" s="34"/>
      <c r="H14" s="33"/>
      <c r="I14" s="44">
        <f t="shared" si="1"/>
        <v>0.05</v>
      </c>
      <c r="J14" s="33">
        <v>120</v>
      </c>
      <c r="K14" s="34">
        <f>(F14+G14+J14)*$K$5</f>
        <v>22.8</v>
      </c>
      <c r="L14" s="34">
        <f>(F14+G14+J14+K14)*$L$5</f>
        <v>36.252</v>
      </c>
      <c r="M14" s="45">
        <f t="shared" si="2"/>
        <v>439.052</v>
      </c>
      <c r="N14" s="46"/>
      <c r="O14" s="31">
        <f t="shared" si="0"/>
        <v>439.052</v>
      </c>
    </row>
    <row r="15" s="19" customFormat="1" ht="45" spans="1:15">
      <c r="A15" s="30">
        <v>10</v>
      </c>
      <c r="B15" s="32" t="s">
        <v>389</v>
      </c>
      <c r="C15" s="32" t="s">
        <v>595</v>
      </c>
      <c r="D15" s="32" t="s">
        <v>144</v>
      </c>
      <c r="E15" s="31">
        <v>344.23</v>
      </c>
      <c r="F15" s="33">
        <v>5</v>
      </c>
      <c r="G15" s="34">
        <f t="shared" ref="G15:G24" si="3">H15*I15+H15</f>
        <v>4.725</v>
      </c>
      <c r="H15" s="33">
        <v>4.5</v>
      </c>
      <c r="I15" s="44">
        <f t="shared" si="1"/>
        <v>0.05</v>
      </c>
      <c r="J15" s="33">
        <v>1</v>
      </c>
      <c r="K15" s="34">
        <f>(F15+G15+J15)*$K$5</f>
        <v>0.6435</v>
      </c>
      <c r="L15" s="34">
        <f>(F15+G15+J15+K15)*$L$5</f>
        <v>1.023165</v>
      </c>
      <c r="M15" s="45">
        <f t="shared" si="2"/>
        <v>12.391665</v>
      </c>
      <c r="N15" s="46"/>
      <c r="O15" s="31">
        <f t="shared" si="0"/>
        <v>4265.58284295</v>
      </c>
    </row>
    <row r="16" s="19" customFormat="1" ht="45" spans="1:15">
      <c r="A16" s="30">
        <v>11</v>
      </c>
      <c r="B16" s="32" t="s">
        <v>389</v>
      </c>
      <c r="C16" s="32" t="s">
        <v>596</v>
      </c>
      <c r="D16" s="32" t="s">
        <v>144</v>
      </c>
      <c r="E16" s="31">
        <v>12.97</v>
      </c>
      <c r="F16" s="35">
        <f>F15</f>
        <v>5</v>
      </c>
      <c r="G16" s="34">
        <f t="shared" si="3"/>
        <v>6.825</v>
      </c>
      <c r="H16" s="33">
        <v>6.5</v>
      </c>
      <c r="I16" s="44">
        <f t="shared" si="1"/>
        <v>0.05</v>
      </c>
      <c r="J16" s="35">
        <v>1</v>
      </c>
      <c r="K16" s="34">
        <f>(F16+G16+J16)*$K$5</f>
        <v>0.7695</v>
      </c>
      <c r="L16" s="34">
        <f>(F16+G16+J16+K16)*$L$5</f>
        <v>1.223505</v>
      </c>
      <c r="M16" s="45">
        <f t="shared" si="2"/>
        <v>14.818005</v>
      </c>
      <c r="N16" s="46"/>
      <c r="O16" s="31">
        <f t="shared" si="0"/>
        <v>192.18952485</v>
      </c>
    </row>
    <row r="17" s="19" customFormat="1" ht="45" spans="1:15">
      <c r="A17" s="30">
        <v>12</v>
      </c>
      <c r="B17" s="32" t="s">
        <v>389</v>
      </c>
      <c r="C17" s="32" t="s">
        <v>597</v>
      </c>
      <c r="D17" s="32" t="s">
        <v>144</v>
      </c>
      <c r="E17" s="31">
        <v>370.35</v>
      </c>
      <c r="F17" s="33">
        <v>15</v>
      </c>
      <c r="G17" s="34">
        <f t="shared" si="3"/>
        <v>23.1</v>
      </c>
      <c r="H17" s="33">
        <v>22</v>
      </c>
      <c r="I17" s="44">
        <f t="shared" si="1"/>
        <v>0.05</v>
      </c>
      <c r="J17" s="33">
        <v>3</v>
      </c>
      <c r="K17" s="34">
        <f>(F17+G17+J17)*$K$5</f>
        <v>2.466</v>
      </c>
      <c r="L17" s="34">
        <f>(F17+G17+J17+K17)*$L$5</f>
        <v>3.92094</v>
      </c>
      <c r="M17" s="45">
        <f t="shared" si="2"/>
        <v>47.48694</v>
      </c>
      <c r="N17" s="46"/>
      <c r="O17" s="31">
        <f t="shared" si="0"/>
        <v>17586.788229</v>
      </c>
    </row>
    <row r="18" s="19" customFormat="1" ht="45" spans="1:15">
      <c r="A18" s="30">
        <v>13</v>
      </c>
      <c r="B18" s="32" t="s">
        <v>399</v>
      </c>
      <c r="C18" s="32" t="s">
        <v>598</v>
      </c>
      <c r="D18" s="32" t="s">
        <v>144</v>
      </c>
      <c r="E18" s="31">
        <v>567.37</v>
      </c>
      <c r="F18" s="35">
        <f>F16</f>
        <v>5</v>
      </c>
      <c r="G18" s="34">
        <f t="shared" si="3"/>
        <v>3.36</v>
      </c>
      <c r="H18" s="33">
        <v>3.2</v>
      </c>
      <c r="I18" s="44">
        <f t="shared" si="1"/>
        <v>0.05</v>
      </c>
      <c r="J18" s="33">
        <v>0.2</v>
      </c>
      <c r="K18" s="34">
        <f>(F18+G18+J18)*$K$5</f>
        <v>0.5136</v>
      </c>
      <c r="L18" s="34">
        <f>(F18+G18+J18+K18)*$L$5</f>
        <v>0.816624</v>
      </c>
      <c r="M18" s="45">
        <f t="shared" si="2"/>
        <v>9.890224</v>
      </c>
      <c r="N18" s="46"/>
      <c r="O18" s="31">
        <f t="shared" si="0"/>
        <v>5611.41639088</v>
      </c>
    </row>
    <row r="19" s="19" customFormat="1" ht="45" spans="1:15">
      <c r="A19" s="30">
        <v>14</v>
      </c>
      <c r="B19" s="32" t="s">
        <v>399</v>
      </c>
      <c r="C19" s="32" t="s">
        <v>599</v>
      </c>
      <c r="D19" s="32" t="s">
        <v>144</v>
      </c>
      <c r="E19" s="31">
        <v>176.04</v>
      </c>
      <c r="F19" s="35">
        <f>F18</f>
        <v>5</v>
      </c>
      <c r="G19" s="34">
        <f t="shared" si="3"/>
        <v>3.99</v>
      </c>
      <c r="H19" s="33">
        <v>3.8</v>
      </c>
      <c r="I19" s="44">
        <f t="shared" si="1"/>
        <v>0.05</v>
      </c>
      <c r="J19" s="35">
        <f>J18</f>
        <v>0.2</v>
      </c>
      <c r="K19" s="34">
        <f>(F19+G19+J19)*$K$5</f>
        <v>0.5514</v>
      </c>
      <c r="L19" s="34">
        <f>(F19+G19+J19+K19)*$L$5</f>
        <v>0.876726</v>
      </c>
      <c r="M19" s="45">
        <f t="shared" si="2"/>
        <v>10.618126</v>
      </c>
      <c r="N19" s="46"/>
      <c r="O19" s="31">
        <f t="shared" si="0"/>
        <v>1869.21490104</v>
      </c>
    </row>
    <row r="20" s="19" customFormat="1" ht="45" spans="1:15">
      <c r="A20" s="30">
        <v>15</v>
      </c>
      <c r="B20" s="32" t="s">
        <v>399</v>
      </c>
      <c r="C20" s="32" t="s">
        <v>600</v>
      </c>
      <c r="D20" s="32" t="s">
        <v>144</v>
      </c>
      <c r="E20" s="31">
        <v>50</v>
      </c>
      <c r="F20" s="35">
        <f>F19</f>
        <v>5</v>
      </c>
      <c r="G20" s="34">
        <f t="shared" si="3"/>
        <v>5.775</v>
      </c>
      <c r="H20" s="33">
        <v>5.5</v>
      </c>
      <c r="I20" s="44">
        <f t="shared" si="1"/>
        <v>0.05</v>
      </c>
      <c r="J20" s="35">
        <f>J19</f>
        <v>0.2</v>
      </c>
      <c r="K20" s="34">
        <f>(F20+G20+J20)*$K$5</f>
        <v>0.6585</v>
      </c>
      <c r="L20" s="34">
        <f>(F20+G20+J20+K20)*$L$5</f>
        <v>1.047015</v>
      </c>
      <c r="M20" s="45">
        <f t="shared" si="2"/>
        <v>12.680515</v>
      </c>
      <c r="N20" s="46"/>
      <c r="O20" s="31">
        <f t="shared" si="0"/>
        <v>634.02575</v>
      </c>
    </row>
    <row r="21" s="19" customFormat="1" ht="45" spans="1:15">
      <c r="A21" s="30">
        <v>16</v>
      </c>
      <c r="B21" s="32" t="s">
        <v>442</v>
      </c>
      <c r="C21" s="32" t="s">
        <v>443</v>
      </c>
      <c r="D21" s="32" t="s">
        <v>144</v>
      </c>
      <c r="E21" s="31">
        <v>567.37</v>
      </c>
      <c r="F21" s="35">
        <f>F20</f>
        <v>5</v>
      </c>
      <c r="G21" s="34">
        <f t="shared" si="3"/>
        <v>5.04</v>
      </c>
      <c r="H21" s="33">
        <v>4.8</v>
      </c>
      <c r="I21" s="44">
        <f t="shared" si="1"/>
        <v>0.05</v>
      </c>
      <c r="J21" s="35">
        <f>J20</f>
        <v>0.2</v>
      </c>
      <c r="K21" s="34">
        <f>(F21+G21+J21)*$K$5</f>
        <v>0.6144</v>
      </c>
      <c r="L21" s="34">
        <f>(F21+G21+J21+K21)*$L$5</f>
        <v>0.976896</v>
      </c>
      <c r="M21" s="45">
        <f t="shared" si="2"/>
        <v>11.831296</v>
      </c>
      <c r="N21" s="46"/>
      <c r="O21" s="31">
        <f t="shared" si="0"/>
        <v>6712.72241152</v>
      </c>
    </row>
    <row r="22" s="19" customFormat="1" ht="45" spans="1:15">
      <c r="A22" s="30">
        <v>17</v>
      </c>
      <c r="B22" s="32" t="s">
        <v>601</v>
      </c>
      <c r="C22" s="32" t="s">
        <v>602</v>
      </c>
      <c r="D22" s="32" t="s">
        <v>144</v>
      </c>
      <c r="E22" s="31">
        <v>191.53</v>
      </c>
      <c r="F22" s="35">
        <f>F21</f>
        <v>5</v>
      </c>
      <c r="G22" s="34">
        <f t="shared" si="3"/>
        <v>3.99</v>
      </c>
      <c r="H22" s="33">
        <v>3.8</v>
      </c>
      <c r="I22" s="44">
        <f t="shared" si="1"/>
        <v>0.05</v>
      </c>
      <c r="J22" s="35">
        <f>J21</f>
        <v>0.2</v>
      </c>
      <c r="K22" s="34">
        <f>(F22+G22+J22)*$K$5</f>
        <v>0.5514</v>
      </c>
      <c r="L22" s="34">
        <f>(F22+G22+J22+K22)*$L$5</f>
        <v>0.876726</v>
      </c>
      <c r="M22" s="45">
        <f t="shared" si="2"/>
        <v>10.618126</v>
      </c>
      <c r="N22" s="46"/>
      <c r="O22" s="31">
        <f t="shared" si="0"/>
        <v>2033.68967278</v>
      </c>
    </row>
    <row r="23" s="19" customFormat="1" ht="45" spans="1:15">
      <c r="A23" s="30">
        <v>18</v>
      </c>
      <c r="B23" s="32" t="s">
        <v>603</v>
      </c>
      <c r="C23" s="32" t="s">
        <v>604</v>
      </c>
      <c r="D23" s="32" t="s">
        <v>556</v>
      </c>
      <c r="E23" s="31">
        <v>218.82</v>
      </c>
      <c r="F23" s="33"/>
      <c r="G23" s="34">
        <f t="shared" si="3"/>
        <v>0</v>
      </c>
      <c r="H23" s="33">
        <v>0</v>
      </c>
      <c r="I23" s="44">
        <f t="shared" si="1"/>
        <v>0.05</v>
      </c>
      <c r="J23" s="33">
        <v>1</v>
      </c>
      <c r="K23" s="34">
        <f>(F23+G23+J23)*$K$5</f>
        <v>0.06</v>
      </c>
      <c r="L23" s="34">
        <f>(F23+G23+J23+K23)*$L$5</f>
        <v>0.0954</v>
      </c>
      <c r="M23" s="45">
        <f t="shared" si="2"/>
        <v>1.1554</v>
      </c>
      <c r="N23" s="46"/>
      <c r="O23" s="31">
        <f t="shared" si="0"/>
        <v>252.824628</v>
      </c>
    </row>
    <row r="24" s="19" customFormat="1" ht="45" spans="1:15">
      <c r="A24" s="30">
        <v>19</v>
      </c>
      <c r="B24" s="32" t="s">
        <v>605</v>
      </c>
      <c r="C24" s="32" t="s">
        <v>606</v>
      </c>
      <c r="D24" s="32" t="s">
        <v>556</v>
      </c>
      <c r="E24" s="31">
        <v>218.82</v>
      </c>
      <c r="F24" s="33"/>
      <c r="G24" s="34">
        <f t="shared" si="3"/>
        <v>0</v>
      </c>
      <c r="H24" s="33">
        <v>0</v>
      </c>
      <c r="I24" s="44">
        <f t="shared" si="1"/>
        <v>0.05</v>
      </c>
      <c r="J24" s="33">
        <v>1</v>
      </c>
      <c r="K24" s="34">
        <f>(F24+G24+J24)*$K$5</f>
        <v>0.06</v>
      </c>
      <c r="L24" s="34">
        <f>(F24+G24+J24+K24)*$L$5</f>
        <v>0.0954</v>
      </c>
      <c r="M24" s="45">
        <f t="shared" si="2"/>
        <v>1.1554</v>
      </c>
      <c r="N24" s="46"/>
      <c r="O24" s="31">
        <f t="shared" si="0"/>
        <v>252.824628</v>
      </c>
    </row>
    <row r="25" s="20" customFormat="1" ht="26" customHeight="1" spans="1:15">
      <c r="A25" s="36">
        <v>20</v>
      </c>
      <c r="B25" s="36" t="s">
        <v>48</v>
      </c>
      <c r="C25" s="36"/>
      <c r="D25" s="36"/>
      <c r="E25" s="37"/>
      <c r="F25" s="37"/>
      <c r="G25" s="37"/>
      <c r="H25" s="37"/>
      <c r="I25" s="47"/>
      <c r="J25" s="37"/>
      <c r="K25" s="37"/>
      <c r="L25" s="37"/>
      <c r="M25" s="48"/>
      <c r="N25" s="49"/>
      <c r="O25" s="37">
        <f>O24+O23+O22+O21+O20+O19+O18+O17+O16+O15+O14+O13+O12+O11+O10+O9+O8+O7+O6</f>
        <v>50409.26127902</v>
      </c>
    </row>
    <row r="26" s="21" customFormat="1" ht="40" customHeight="1" spans="1:16">
      <c r="A26" s="38" t="s">
        <v>373</v>
      </c>
      <c r="B26" s="39" t="s">
        <v>374</v>
      </c>
      <c r="C26" s="39"/>
      <c r="D26" s="39"/>
      <c r="E26" s="39"/>
      <c r="F26" s="39"/>
      <c r="G26" s="39"/>
      <c r="H26" s="39"/>
      <c r="I26" s="39"/>
      <c r="J26" s="39"/>
      <c r="K26" s="39"/>
      <c r="L26" s="39"/>
      <c r="M26" s="39"/>
      <c r="N26" s="39"/>
      <c r="O26" s="39"/>
      <c r="P26" s="50"/>
    </row>
  </sheetData>
  <mergeCells count="35">
    <mergeCell ref="A1:O1"/>
    <mergeCell ref="A2:F2"/>
    <mergeCell ref="G2:M2"/>
    <mergeCell ref="N2:O2"/>
    <mergeCell ref="F3:L3"/>
    <mergeCell ref="M6:N6"/>
    <mergeCell ref="M7:N7"/>
    <mergeCell ref="M8:N8"/>
    <mergeCell ref="M9:N9"/>
    <mergeCell ref="M10:N10"/>
    <mergeCell ref="M11:N11"/>
    <mergeCell ref="M12:N12"/>
    <mergeCell ref="M13:N13"/>
    <mergeCell ref="M14:N14"/>
    <mergeCell ref="M15:N15"/>
    <mergeCell ref="M16:N16"/>
    <mergeCell ref="M17:N17"/>
    <mergeCell ref="M18:N18"/>
    <mergeCell ref="M19:N19"/>
    <mergeCell ref="M20:N20"/>
    <mergeCell ref="M21:N21"/>
    <mergeCell ref="M22:N22"/>
    <mergeCell ref="M23:N23"/>
    <mergeCell ref="M24:N24"/>
    <mergeCell ref="M25:N25"/>
    <mergeCell ref="B26:O26"/>
    <mergeCell ref="A3:A5"/>
    <mergeCell ref="B3:B5"/>
    <mergeCell ref="C3:C5"/>
    <mergeCell ref="D3:D5"/>
    <mergeCell ref="E3:E5"/>
    <mergeCell ref="F4:F5"/>
    <mergeCell ref="J4:J5"/>
    <mergeCell ref="O3:O5"/>
    <mergeCell ref="M3:N5"/>
  </mergeCells>
  <pageMargins left="0.751388888888889" right="0.751388888888889" top="1" bottom="1" header="0.5" footer="0.5"/>
  <pageSetup paperSize="9" scale="80" orientation="landscape" horizontalDpi="600"/>
  <headerFooter>
    <oddFooter>&amp;C第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27"/>
  <sheetViews>
    <sheetView topLeftCell="N7" workbookViewId="0">
      <selection activeCell="W12" sqref="W12"/>
    </sheetView>
  </sheetViews>
  <sheetFormatPr defaultColWidth="9.15238095238095" defaultRowHeight="12.75"/>
  <cols>
    <col min="1" max="1" width="8" style="3" customWidth="1"/>
    <col min="2" max="2" width="27.152380952381" style="4" customWidth="1"/>
    <col min="4" max="4" width="12.4285714285714" customWidth="1"/>
    <col min="5" max="6" width="13.2761904761905" customWidth="1"/>
    <col min="7" max="7" width="12.5714285714286" customWidth="1"/>
    <col min="10" max="10" width="22" customWidth="1"/>
    <col min="18" max="18" width="14.5714285714286" customWidth="1"/>
  </cols>
  <sheetData>
    <row r="1" ht="41.1" customHeight="1" spans="1:31">
      <c r="A1" s="5" t="s">
        <v>607</v>
      </c>
      <c r="B1" s="6"/>
      <c r="C1" s="5"/>
      <c r="D1" s="5"/>
      <c r="E1" s="5"/>
      <c r="F1" s="5"/>
      <c r="G1" s="5"/>
      <c r="I1" s="18" t="s">
        <v>608</v>
      </c>
      <c r="J1" s="6"/>
      <c r="K1" s="5"/>
      <c r="L1" s="5"/>
      <c r="M1" s="5"/>
      <c r="N1" s="5"/>
      <c r="O1" s="5"/>
      <c r="Q1" s="18" t="s">
        <v>609</v>
      </c>
      <c r="R1" s="6"/>
      <c r="S1" s="5"/>
      <c r="T1" s="5"/>
      <c r="U1" s="5"/>
      <c r="V1" s="5"/>
      <c r="W1" s="5"/>
      <c r="Y1" s="18" t="s">
        <v>610</v>
      </c>
      <c r="Z1" s="6"/>
      <c r="AA1" s="5"/>
      <c r="AB1" s="5"/>
      <c r="AC1" s="5"/>
      <c r="AD1" s="5"/>
      <c r="AE1" s="5"/>
    </row>
    <row r="2" s="1" customFormat="1" ht="38.1" customHeight="1" spans="1:31">
      <c r="A2" s="7" t="s">
        <v>1</v>
      </c>
      <c r="B2" s="8" t="s">
        <v>43</v>
      </c>
      <c r="C2" s="7" t="s">
        <v>72</v>
      </c>
      <c r="D2" s="7" t="s">
        <v>611</v>
      </c>
      <c r="E2" s="7" t="s">
        <v>612</v>
      </c>
      <c r="F2" s="7" t="s">
        <v>48</v>
      </c>
      <c r="G2" s="7" t="s">
        <v>45</v>
      </c>
      <c r="I2" s="7" t="s">
        <v>1</v>
      </c>
      <c r="J2" s="8" t="s">
        <v>43</v>
      </c>
      <c r="K2" s="7" t="s">
        <v>72</v>
      </c>
      <c r="L2" s="7" t="s">
        <v>611</v>
      </c>
      <c r="M2" s="7" t="s">
        <v>612</v>
      </c>
      <c r="N2" s="7" t="s">
        <v>48</v>
      </c>
      <c r="O2" s="7" t="s">
        <v>45</v>
      </c>
      <c r="Q2" s="7" t="s">
        <v>1</v>
      </c>
      <c r="R2" s="8" t="s">
        <v>43</v>
      </c>
      <c r="S2" s="7" t="s">
        <v>72</v>
      </c>
      <c r="T2" s="7" t="s">
        <v>611</v>
      </c>
      <c r="U2" s="7" t="s">
        <v>612</v>
      </c>
      <c r="V2" s="7" t="s">
        <v>48</v>
      </c>
      <c r="W2" s="7" t="s">
        <v>45</v>
      </c>
      <c r="Y2" s="7" t="s">
        <v>1</v>
      </c>
      <c r="Z2" s="8" t="s">
        <v>43</v>
      </c>
      <c r="AA2" s="7" t="s">
        <v>72</v>
      </c>
      <c r="AB2" s="7" t="s">
        <v>611</v>
      </c>
      <c r="AC2" s="7" t="s">
        <v>612</v>
      </c>
      <c r="AD2" s="7" t="s">
        <v>48</v>
      </c>
      <c r="AE2" s="7" t="s">
        <v>45</v>
      </c>
    </row>
    <row r="3" s="2" customFormat="1" ht="38.1" customHeight="1" spans="1:31">
      <c r="A3" s="7"/>
      <c r="B3" s="9" t="s">
        <v>613</v>
      </c>
      <c r="C3" s="10"/>
      <c r="D3" s="10"/>
      <c r="E3" s="10"/>
      <c r="F3" s="10"/>
      <c r="G3" s="10"/>
      <c r="I3" s="7"/>
      <c r="J3" s="9" t="s">
        <v>613</v>
      </c>
      <c r="K3" s="10"/>
      <c r="L3" s="10"/>
      <c r="M3" s="10"/>
      <c r="N3" s="10"/>
      <c r="O3" s="10"/>
      <c r="Q3" s="7"/>
      <c r="R3" s="9" t="s">
        <v>613</v>
      </c>
      <c r="S3" s="10"/>
      <c r="T3" s="10"/>
      <c r="U3" s="10"/>
      <c r="V3" s="10"/>
      <c r="W3" s="10"/>
      <c r="Y3" s="7"/>
      <c r="Z3" s="9" t="s">
        <v>613</v>
      </c>
      <c r="AA3" s="10"/>
      <c r="AB3" s="10"/>
      <c r="AC3" s="10"/>
      <c r="AD3" s="10"/>
      <c r="AE3" s="10"/>
    </row>
    <row r="4" ht="48.95" customHeight="1" spans="1:31">
      <c r="A4" s="11">
        <v>1</v>
      </c>
      <c r="B4" s="12" t="s">
        <v>614</v>
      </c>
      <c r="C4" s="13" t="s">
        <v>615</v>
      </c>
      <c r="D4" s="14">
        <v>2</v>
      </c>
      <c r="E4" s="14"/>
      <c r="F4" s="14"/>
      <c r="G4" s="14"/>
      <c r="I4" s="11">
        <v>1</v>
      </c>
      <c r="J4" s="12" t="s">
        <v>614</v>
      </c>
      <c r="K4" s="13" t="s">
        <v>615</v>
      </c>
      <c r="L4" s="14">
        <v>2</v>
      </c>
      <c r="M4" s="14"/>
      <c r="N4" s="14"/>
      <c r="O4" s="14"/>
      <c r="Q4" s="11">
        <v>1</v>
      </c>
      <c r="R4" s="12" t="s">
        <v>614</v>
      </c>
      <c r="S4" s="13" t="s">
        <v>615</v>
      </c>
      <c r="T4" s="14">
        <v>2</v>
      </c>
      <c r="U4" s="14"/>
      <c r="V4" s="14"/>
      <c r="W4" s="14"/>
      <c r="Y4" s="11">
        <v>1</v>
      </c>
      <c r="Z4" s="12" t="s">
        <v>614</v>
      </c>
      <c r="AA4" s="13" t="s">
        <v>615</v>
      </c>
      <c r="AB4" s="14">
        <v>2</v>
      </c>
      <c r="AC4" s="14"/>
      <c r="AD4" s="14"/>
      <c r="AE4" s="14"/>
    </row>
    <row r="5" ht="48.95" customHeight="1" spans="1:31">
      <c r="A5" s="11">
        <v>3</v>
      </c>
      <c r="B5" s="15" t="s">
        <v>616</v>
      </c>
      <c r="C5" s="14" t="s">
        <v>144</v>
      </c>
      <c r="D5" s="14">
        <f>5.17*2</f>
        <v>10.34</v>
      </c>
      <c r="E5" s="14">
        <v>30.62</v>
      </c>
      <c r="F5" s="14">
        <f>E5*D5</f>
        <v>316.6108</v>
      </c>
      <c r="G5" s="14"/>
      <c r="I5" s="11">
        <v>3</v>
      </c>
      <c r="J5" s="15" t="s">
        <v>616</v>
      </c>
      <c r="K5" s="14" t="s">
        <v>144</v>
      </c>
      <c r="L5" s="14">
        <f>5.17*2</f>
        <v>10.34</v>
      </c>
      <c r="M5" s="14">
        <v>30.62</v>
      </c>
      <c r="N5" s="14">
        <f>M5*L5</f>
        <v>316.6108</v>
      </c>
      <c r="O5" s="14"/>
      <c r="Q5" s="11">
        <v>3</v>
      </c>
      <c r="R5" s="15" t="s">
        <v>616</v>
      </c>
      <c r="S5" s="14" t="s">
        <v>144</v>
      </c>
      <c r="T5" s="14">
        <f>5.17*2</f>
        <v>10.34</v>
      </c>
      <c r="U5" s="14">
        <v>30.62</v>
      </c>
      <c r="V5" s="14">
        <f>U5*T5</f>
        <v>316.6108</v>
      </c>
      <c r="W5" s="14"/>
      <c r="Y5" s="11">
        <v>3</v>
      </c>
      <c r="Z5" s="15" t="s">
        <v>616</v>
      </c>
      <c r="AA5" s="14" t="s">
        <v>144</v>
      </c>
      <c r="AB5" s="14">
        <f>5.17*2</f>
        <v>10.34</v>
      </c>
      <c r="AC5" s="14">
        <v>30.62</v>
      </c>
      <c r="AD5" s="14">
        <f>AC5*AB5</f>
        <v>316.6108</v>
      </c>
      <c r="AE5" s="14"/>
    </row>
    <row r="6" ht="48.95" customHeight="1" spans="1:31">
      <c r="A6" s="11">
        <v>4</v>
      </c>
      <c r="B6" s="15" t="s">
        <v>617</v>
      </c>
      <c r="C6" s="14" t="s">
        <v>144</v>
      </c>
      <c r="D6" s="14">
        <f>5.17*8</f>
        <v>41.36</v>
      </c>
      <c r="E6" s="14">
        <v>8</v>
      </c>
      <c r="F6" s="14">
        <f>E6*D6</f>
        <v>330.88</v>
      </c>
      <c r="G6" s="14"/>
      <c r="I6" s="11">
        <v>4</v>
      </c>
      <c r="J6" s="15" t="s">
        <v>617</v>
      </c>
      <c r="K6" s="14" t="s">
        <v>144</v>
      </c>
      <c r="L6" s="14">
        <f>5.17*8</f>
        <v>41.36</v>
      </c>
      <c r="M6" s="14">
        <v>8</v>
      </c>
      <c r="N6" s="14">
        <f>M6*L6</f>
        <v>330.88</v>
      </c>
      <c r="O6" s="14"/>
      <c r="Q6" s="11">
        <v>4</v>
      </c>
      <c r="R6" s="15" t="s">
        <v>617</v>
      </c>
      <c r="S6" s="14" t="s">
        <v>144</v>
      </c>
      <c r="T6" s="14">
        <f>5.17*8</f>
        <v>41.36</v>
      </c>
      <c r="U6" s="14">
        <v>8</v>
      </c>
      <c r="V6" s="14">
        <f>U6*T6</f>
        <v>330.88</v>
      </c>
      <c r="W6" s="14"/>
      <c r="Y6" s="11">
        <v>4</v>
      </c>
      <c r="Z6" s="15" t="s">
        <v>617</v>
      </c>
      <c r="AA6" s="14" t="s">
        <v>144</v>
      </c>
      <c r="AB6" s="14">
        <f>5.17*8</f>
        <v>41.36</v>
      </c>
      <c r="AC6" s="14">
        <v>8</v>
      </c>
      <c r="AD6" s="14">
        <f>AC6*AB6</f>
        <v>330.88</v>
      </c>
      <c r="AE6" s="14"/>
    </row>
    <row r="7" ht="48.95" customHeight="1" spans="1:31">
      <c r="A7" s="11">
        <v>5</v>
      </c>
      <c r="B7" s="15" t="s">
        <v>618</v>
      </c>
      <c r="C7" s="14" t="s">
        <v>144</v>
      </c>
      <c r="D7" s="14">
        <f>(0.575+0.495+0.858+0.11+0.19+0.787+0.148+0.148+0.475+0.675+0.495+0.855)*6</f>
        <v>34.866</v>
      </c>
      <c r="E7" s="14">
        <v>3.06</v>
      </c>
      <c r="F7" s="14">
        <f t="shared" ref="F7:F21" si="0">E7*D7</f>
        <v>106.68996</v>
      </c>
      <c r="G7" s="14"/>
      <c r="I7" s="11">
        <v>5</v>
      </c>
      <c r="J7" s="15" t="s">
        <v>618</v>
      </c>
      <c r="K7" s="14" t="s">
        <v>144</v>
      </c>
      <c r="L7" s="14">
        <f>(0.575+0.495+0.858+0.11+0.19+0.787+0.148+0.148+0.475+0.675+0.495+0.855)*6</f>
        <v>34.866</v>
      </c>
      <c r="M7" s="14">
        <v>3.06</v>
      </c>
      <c r="N7" s="14">
        <f t="shared" ref="N7:N16" si="1">M7*L7</f>
        <v>106.68996</v>
      </c>
      <c r="O7" s="14"/>
      <c r="Q7" s="11">
        <v>5</v>
      </c>
      <c r="R7" s="15" t="s">
        <v>618</v>
      </c>
      <c r="S7" s="14" t="s">
        <v>144</v>
      </c>
      <c r="T7" s="14">
        <f>(0.575+0.495+0.858+0.11+0.19+0.787+0.148+0.148+0.475+0.675+0.495+0.855)*6</f>
        <v>34.866</v>
      </c>
      <c r="U7" s="14">
        <v>3.06</v>
      </c>
      <c r="V7" s="14">
        <f t="shared" ref="V7:V16" si="2">U7*T7</f>
        <v>106.68996</v>
      </c>
      <c r="W7" s="14"/>
      <c r="Y7" s="11">
        <v>5</v>
      </c>
      <c r="Z7" s="15" t="s">
        <v>618</v>
      </c>
      <c r="AA7" s="14" t="s">
        <v>144</v>
      </c>
      <c r="AB7" s="14">
        <f>(0.575+0.495+0.858+0.11+0.19+0.787+0.148+0.148+0.475+0.675+0.495+0.855)*6</f>
        <v>34.866</v>
      </c>
      <c r="AC7" s="14">
        <v>3.06</v>
      </c>
      <c r="AD7" s="14">
        <f t="shared" ref="AD7:AD16" si="3">AC7*AB7</f>
        <v>106.68996</v>
      </c>
      <c r="AE7" s="14"/>
    </row>
    <row r="8" ht="48.95" customHeight="1" spans="1:31">
      <c r="A8" s="11">
        <v>6</v>
      </c>
      <c r="B8" s="15" t="s">
        <v>619</v>
      </c>
      <c r="C8" s="14" t="s">
        <v>144</v>
      </c>
      <c r="D8" s="14">
        <f>(0.185*2+0.085*2+0.11*2+0.135+0.11*2+0.185*2+0.085*2+0.135)*6</f>
        <v>10.74</v>
      </c>
      <c r="E8" s="14">
        <v>10</v>
      </c>
      <c r="F8" s="14">
        <f t="shared" si="0"/>
        <v>107.4</v>
      </c>
      <c r="G8" s="14"/>
      <c r="I8" s="11">
        <v>6</v>
      </c>
      <c r="J8" s="15" t="s">
        <v>619</v>
      </c>
      <c r="K8" s="14" t="s">
        <v>144</v>
      </c>
      <c r="L8" s="14">
        <f>(0.185*2+0.085*2+0.11*2+0.135+0.11*2+0.185*2+0.085*2+0.135)*6</f>
        <v>10.74</v>
      </c>
      <c r="M8" s="14">
        <v>10</v>
      </c>
      <c r="N8" s="14">
        <f t="shared" si="1"/>
        <v>107.4</v>
      </c>
      <c r="O8" s="14"/>
      <c r="Q8" s="11">
        <v>6</v>
      </c>
      <c r="R8" s="15" t="s">
        <v>619</v>
      </c>
      <c r="S8" s="14" t="s">
        <v>144</v>
      </c>
      <c r="T8" s="14">
        <f>(0.185*2+0.085*2+0.11*2+0.135+0.11*2+0.185*2+0.085*2+0.135)*6</f>
        <v>10.74</v>
      </c>
      <c r="U8" s="14">
        <v>10</v>
      </c>
      <c r="V8" s="14">
        <f t="shared" si="2"/>
        <v>107.4</v>
      </c>
      <c r="W8" s="14"/>
      <c r="Y8" s="11">
        <v>6</v>
      </c>
      <c r="Z8" s="15" t="s">
        <v>619</v>
      </c>
      <c r="AA8" s="14" t="s">
        <v>144</v>
      </c>
      <c r="AB8" s="14">
        <f>(0.185*2+0.085*2+0.11*2+0.135+0.11*2+0.185*2+0.085*2+0.135)*6</f>
        <v>10.74</v>
      </c>
      <c r="AC8" s="14">
        <v>10</v>
      </c>
      <c r="AD8" s="14">
        <f t="shared" si="3"/>
        <v>107.4</v>
      </c>
      <c r="AE8" s="14"/>
    </row>
    <row r="9" ht="78" customHeight="1" spans="1:31">
      <c r="A9" s="11">
        <v>7</v>
      </c>
      <c r="B9" s="12" t="s">
        <v>620</v>
      </c>
      <c r="C9" s="13" t="s">
        <v>615</v>
      </c>
      <c r="D9" s="14">
        <f>6*6</f>
        <v>36</v>
      </c>
      <c r="E9" s="14"/>
      <c r="F9" s="14">
        <f t="shared" si="0"/>
        <v>0</v>
      </c>
      <c r="G9" s="14"/>
      <c r="I9" s="11">
        <v>7</v>
      </c>
      <c r="J9" s="12" t="s">
        <v>620</v>
      </c>
      <c r="K9" s="13" t="s">
        <v>615</v>
      </c>
      <c r="L9" s="14">
        <f>6*6</f>
        <v>36</v>
      </c>
      <c r="M9" s="14"/>
      <c r="N9" s="14">
        <f t="shared" si="1"/>
        <v>0</v>
      </c>
      <c r="O9" s="14"/>
      <c r="Q9" s="11">
        <v>7</v>
      </c>
      <c r="R9" s="12" t="s">
        <v>620</v>
      </c>
      <c r="S9" s="13" t="s">
        <v>615</v>
      </c>
      <c r="T9" s="14">
        <f>6*6</f>
        <v>36</v>
      </c>
      <c r="U9" s="14"/>
      <c r="V9" s="14">
        <f t="shared" si="2"/>
        <v>0</v>
      </c>
      <c r="W9" s="14"/>
      <c r="Y9" s="11">
        <v>7</v>
      </c>
      <c r="Z9" s="12" t="s">
        <v>620</v>
      </c>
      <c r="AA9" s="13" t="s">
        <v>615</v>
      </c>
      <c r="AB9" s="14">
        <f>6*6</f>
        <v>36</v>
      </c>
      <c r="AC9" s="14"/>
      <c r="AD9" s="14">
        <f t="shared" si="3"/>
        <v>0</v>
      </c>
      <c r="AE9" s="14"/>
    </row>
    <row r="10" ht="78" customHeight="1" spans="1:31">
      <c r="A10" s="11"/>
      <c r="B10" s="12" t="s">
        <v>621</v>
      </c>
      <c r="C10" s="13"/>
      <c r="D10" s="14">
        <f>0.21*7</f>
        <v>1.47</v>
      </c>
      <c r="E10" s="14">
        <v>3.06</v>
      </c>
      <c r="F10" s="14">
        <f t="shared" si="0"/>
        <v>4.4982</v>
      </c>
      <c r="G10" s="14"/>
      <c r="I10" s="11"/>
      <c r="J10" s="12" t="s">
        <v>621</v>
      </c>
      <c r="K10" s="13"/>
      <c r="L10" s="14">
        <f>0.21*7</f>
        <v>1.47</v>
      </c>
      <c r="M10" s="14">
        <v>3.06</v>
      </c>
      <c r="N10" s="14">
        <f t="shared" si="1"/>
        <v>4.4982</v>
      </c>
      <c r="O10" s="14"/>
      <c r="Q10" s="11"/>
      <c r="R10" s="12" t="s">
        <v>621</v>
      </c>
      <c r="S10" s="13"/>
      <c r="T10" s="14">
        <f>0.21*7</f>
        <v>1.47</v>
      </c>
      <c r="U10" s="14">
        <v>3.06</v>
      </c>
      <c r="V10" s="14">
        <f t="shared" si="2"/>
        <v>4.4982</v>
      </c>
      <c r="W10" s="14"/>
      <c r="Y10" s="11"/>
      <c r="Z10" s="12" t="s">
        <v>621</v>
      </c>
      <c r="AA10" s="13"/>
      <c r="AB10" s="14">
        <f>0.21*7</f>
        <v>1.47</v>
      </c>
      <c r="AC10" s="14">
        <v>3.06</v>
      </c>
      <c r="AD10" s="14">
        <f t="shared" si="3"/>
        <v>4.4982</v>
      </c>
      <c r="AE10" s="14"/>
    </row>
    <row r="11" ht="42" customHeight="1" spans="1:31">
      <c r="A11" s="11"/>
      <c r="B11" s="16" t="s">
        <v>622</v>
      </c>
      <c r="C11" s="13"/>
      <c r="D11" s="14"/>
      <c r="E11" s="14"/>
      <c r="F11" s="14">
        <f t="shared" si="0"/>
        <v>0</v>
      </c>
      <c r="G11" s="14"/>
      <c r="I11" s="11"/>
      <c r="J11" s="16" t="s">
        <v>622</v>
      </c>
      <c r="K11" s="13"/>
      <c r="L11" s="14"/>
      <c r="M11" s="14"/>
      <c r="N11" s="14">
        <f t="shared" si="1"/>
        <v>0</v>
      </c>
      <c r="O11" s="14"/>
      <c r="Q11" s="11"/>
      <c r="R11" s="16" t="s">
        <v>622</v>
      </c>
      <c r="S11" s="13"/>
      <c r="T11" s="14"/>
      <c r="U11" s="14"/>
      <c r="V11" s="14">
        <f t="shared" si="2"/>
        <v>0</v>
      </c>
      <c r="W11" s="14"/>
      <c r="Y11" s="11"/>
      <c r="Z11" s="16" t="s">
        <v>622</v>
      </c>
      <c r="AA11" s="13"/>
      <c r="AB11" s="14"/>
      <c r="AC11" s="14"/>
      <c r="AD11" s="14">
        <f t="shared" si="3"/>
        <v>0</v>
      </c>
      <c r="AE11" s="14"/>
    </row>
    <row r="12" ht="48.95" customHeight="1" spans="1:31">
      <c r="A12" s="11">
        <v>1</v>
      </c>
      <c r="B12" s="15" t="s">
        <v>618</v>
      </c>
      <c r="C12" s="14" t="s">
        <v>144</v>
      </c>
      <c r="D12" s="14">
        <f>(0.547+0.156+0.686+1.112+1.137)*2+1.13*4+(0.547+0.156+0.686)*3*2+(1.55+1.7+1.055)*3</f>
        <v>33.045</v>
      </c>
      <c r="E12" s="14"/>
      <c r="F12" s="14">
        <f t="shared" si="0"/>
        <v>0</v>
      </c>
      <c r="G12" s="14"/>
      <c r="I12" s="11">
        <v>1</v>
      </c>
      <c r="J12" s="15" t="s">
        <v>618</v>
      </c>
      <c r="K12" s="14" t="s">
        <v>144</v>
      </c>
      <c r="L12" s="14">
        <f>(0.547+0.156+0.686+1.112+1.137)*2+1.13*4+(0.547+0.156+0.686)*3*2+(1.55+1.7+1.055)*3</f>
        <v>33.045</v>
      </c>
      <c r="M12" s="14">
        <f>M10</f>
        <v>3.06</v>
      </c>
      <c r="N12" s="14">
        <f t="shared" si="1"/>
        <v>101.1177</v>
      </c>
      <c r="O12" s="14"/>
      <c r="Q12" s="11">
        <v>1</v>
      </c>
      <c r="R12" s="15" t="s">
        <v>618</v>
      </c>
      <c r="S12" s="14" t="s">
        <v>144</v>
      </c>
      <c r="T12" s="14">
        <f>(0.547+0.156+0.686+1.112+1.137)*2+1.13*4+(0.547+0.156+0.686)*3*2+(1.55+1.7+1.055)*3</f>
        <v>33.045</v>
      </c>
      <c r="U12" s="14">
        <f>U10</f>
        <v>3.06</v>
      </c>
      <c r="V12" s="14">
        <f t="shared" si="2"/>
        <v>101.1177</v>
      </c>
      <c r="W12" s="14"/>
      <c r="Y12" s="11">
        <v>1</v>
      </c>
      <c r="Z12" s="15" t="s">
        <v>618</v>
      </c>
      <c r="AA12" s="14" t="s">
        <v>144</v>
      </c>
      <c r="AB12" s="14">
        <f>(0.547+0.156+0.686+1.112)*2+(0.547+0.156+0.686)*3*2+(1.55+1.055)*3</f>
        <v>21.151</v>
      </c>
      <c r="AC12" s="14">
        <f>AC10</f>
        <v>3.06</v>
      </c>
      <c r="AD12" s="14">
        <f t="shared" si="3"/>
        <v>64.72206</v>
      </c>
      <c r="AE12" s="14"/>
    </row>
    <row r="13" ht="48.95" customHeight="1" spans="1:31">
      <c r="A13" s="11"/>
      <c r="B13" s="12" t="s">
        <v>623</v>
      </c>
      <c r="C13" s="13" t="s">
        <v>615</v>
      </c>
      <c r="D13" s="14">
        <f>3*2</f>
        <v>6</v>
      </c>
      <c r="E13" s="14"/>
      <c r="F13" s="14">
        <f t="shared" si="0"/>
        <v>0</v>
      </c>
      <c r="G13" s="14"/>
      <c r="I13" s="11"/>
      <c r="J13" s="12" t="s">
        <v>623</v>
      </c>
      <c r="K13" s="13" t="s">
        <v>615</v>
      </c>
      <c r="L13" s="14">
        <f>3*2</f>
        <v>6</v>
      </c>
      <c r="M13" s="14"/>
      <c r="N13" s="14">
        <f t="shared" si="1"/>
        <v>0</v>
      </c>
      <c r="O13" s="14"/>
      <c r="Q13" s="11"/>
      <c r="R13" s="12" t="s">
        <v>623</v>
      </c>
      <c r="S13" s="13" t="s">
        <v>615</v>
      </c>
      <c r="T13" s="14">
        <f>3*2</f>
        <v>6</v>
      </c>
      <c r="U13" s="14"/>
      <c r="V13" s="14">
        <f t="shared" si="2"/>
        <v>0</v>
      </c>
      <c r="W13" s="14"/>
      <c r="Y13" s="11"/>
      <c r="Z13" s="12" t="s">
        <v>623</v>
      </c>
      <c r="AA13" s="13" t="s">
        <v>615</v>
      </c>
      <c r="AB13" s="14">
        <f>3*2</f>
        <v>6</v>
      </c>
      <c r="AC13" s="14"/>
      <c r="AD13" s="14">
        <f t="shared" si="3"/>
        <v>0</v>
      </c>
      <c r="AE13" s="14"/>
    </row>
    <row r="14" ht="48.95" customHeight="1" spans="1:31">
      <c r="A14" s="11"/>
      <c r="B14" s="16" t="s">
        <v>624</v>
      </c>
      <c r="C14" s="14"/>
      <c r="D14" s="14"/>
      <c r="E14" s="14"/>
      <c r="F14" s="14">
        <f t="shared" si="0"/>
        <v>0</v>
      </c>
      <c r="G14" s="14"/>
      <c r="I14" s="11"/>
      <c r="J14" s="16" t="s">
        <v>624</v>
      </c>
      <c r="K14" s="14"/>
      <c r="L14" s="14"/>
      <c r="M14" s="14"/>
      <c r="N14" s="14">
        <f t="shared" si="1"/>
        <v>0</v>
      </c>
      <c r="O14" s="14"/>
      <c r="Q14" s="11"/>
      <c r="R14" s="16" t="s">
        <v>624</v>
      </c>
      <c r="S14" s="14"/>
      <c r="T14" s="14"/>
      <c r="U14" s="14"/>
      <c r="V14" s="14">
        <f t="shared" si="2"/>
        <v>0</v>
      </c>
      <c r="W14" s="14"/>
      <c r="Y14" s="11"/>
      <c r="Z14" s="16" t="s">
        <v>624</v>
      </c>
      <c r="AA14" s="14"/>
      <c r="AB14" s="14"/>
      <c r="AC14" s="14"/>
      <c r="AD14" s="14">
        <f t="shared" si="3"/>
        <v>0</v>
      </c>
      <c r="AE14" s="14"/>
    </row>
    <row r="15" ht="48.95" customHeight="1" spans="1:31">
      <c r="A15" s="11"/>
      <c r="B15" s="15" t="s">
        <v>618</v>
      </c>
      <c r="C15" s="14" t="s">
        <v>144</v>
      </c>
      <c r="D15" s="14">
        <f>(0.543+0.156+0.686+1.112+1.133*2+0.296*3)*3+3.98*3+(1.55+1.7+1.055)*3</f>
        <v>41.808</v>
      </c>
      <c r="E15" s="14">
        <v>3.06</v>
      </c>
      <c r="F15" s="14">
        <f t="shared" si="0"/>
        <v>127.93248</v>
      </c>
      <c r="G15" s="14"/>
      <c r="I15" s="11"/>
      <c r="J15" s="15" t="s">
        <v>618</v>
      </c>
      <c r="K15" s="14" t="s">
        <v>144</v>
      </c>
      <c r="L15" s="14">
        <f>(0.543+0.156+0.686+1.112+1.133*2+0.296*3)*3+3.98*3+(1.55+1.7+1.055)*3</f>
        <v>41.808</v>
      </c>
      <c r="M15" s="14">
        <v>3.06</v>
      </c>
      <c r="N15" s="14">
        <f t="shared" si="1"/>
        <v>127.93248</v>
      </c>
      <c r="O15" s="14"/>
      <c r="Q15" s="11"/>
      <c r="R15" s="15" t="s">
        <v>618</v>
      </c>
      <c r="S15" s="14" t="s">
        <v>144</v>
      </c>
      <c r="T15" s="14">
        <f>(0.543+0.156+0.686+1.112+1.133*2+0.296*3)*3+3.98*3+(1.55+1.7+1.055)*3</f>
        <v>41.808</v>
      </c>
      <c r="U15" s="14">
        <v>3.06</v>
      </c>
      <c r="V15" s="14">
        <f t="shared" si="2"/>
        <v>127.93248</v>
      </c>
      <c r="W15" s="14"/>
      <c r="Y15" s="11"/>
      <c r="Z15" s="15" t="s">
        <v>618</v>
      </c>
      <c r="AA15" s="14" t="s">
        <v>144</v>
      </c>
      <c r="AB15" s="14">
        <f>(0.543+0.156+0.686+1.112+1.133*2+0.296*3)*3+3.98*3+(1.55+1.7+1.055)*3</f>
        <v>41.808</v>
      </c>
      <c r="AC15" s="14">
        <v>3.06</v>
      </c>
      <c r="AD15" s="14">
        <f t="shared" si="3"/>
        <v>127.93248</v>
      </c>
      <c r="AE15" s="14"/>
    </row>
    <row r="16" ht="48.95" customHeight="1" spans="1:31">
      <c r="A16" s="11"/>
      <c r="B16" s="12" t="s">
        <v>625</v>
      </c>
      <c r="C16" s="13" t="s">
        <v>615</v>
      </c>
      <c r="D16" s="14">
        <f>5*3</f>
        <v>15</v>
      </c>
      <c r="E16" s="14"/>
      <c r="F16" s="14">
        <f t="shared" si="0"/>
        <v>0</v>
      </c>
      <c r="G16" s="14"/>
      <c r="I16" s="11"/>
      <c r="J16" s="12" t="s">
        <v>625</v>
      </c>
      <c r="K16" s="13" t="s">
        <v>615</v>
      </c>
      <c r="L16" s="14">
        <f>5*3</f>
        <v>15</v>
      </c>
      <c r="M16" s="14"/>
      <c r="N16" s="14">
        <f t="shared" si="1"/>
        <v>0</v>
      </c>
      <c r="O16" s="14"/>
      <c r="Q16" s="11"/>
      <c r="R16" s="12" t="s">
        <v>625</v>
      </c>
      <c r="S16" s="13" t="s">
        <v>615</v>
      </c>
      <c r="T16" s="14">
        <f>5*3</f>
        <v>15</v>
      </c>
      <c r="U16" s="14"/>
      <c r="V16" s="14">
        <f t="shared" si="2"/>
        <v>0</v>
      </c>
      <c r="W16" s="14"/>
      <c r="Y16" s="11"/>
      <c r="Z16" s="12" t="s">
        <v>625</v>
      </c>
      <c r="AA16" s="13" t="s">
        <v>615</v>
      </c>
      <c r="AB16" s="14">
        <f>5*3</f>
        <v>15</v>
      </c>
      <c r="AC16" s="14"/>
      <c r="AD16" s="14">
        <f t="shared" si="3"/>
        <v>0</v>
      </c>
      <c r="AE16" s="14"/>
    </row>
    <row r="17" ht="48.95" customHeight="1" spans="1:31">
      <c r="A17" s="11"/>
      <c r="B17" s="17" t="s">
        <v>626</v>
      </c>
      <c r="C17" s="14"/>
      <c r="D17" s="14"/>
      <c r="E17" s="14"/>
      <c r="F17" s="14">
        <f t="shared" si="0"/>
        <v>0</v>
      </c>
      <c r="G17" s="14"/>
      <c r="I17" s="11"/>
      <c r="J17" s="17"/>
      <c r="K17" s="14"/>
      <c r="L17" s="14"/>
      <c r="M17" s="14"/>
      <c r="N17" s="14"/>
      <c r="O17" s="14"/>
      <c r="Q17" s="11"/>
      <c r="R17" s="17"/>
      <c r="S17" s="14"/>
      <c r="T17" s="14"/>
      <c r="U17" s="14"/>
      <c r="V17" s="14"/>
      <c r="W17" s="14"/>
      <c r="Y17" s="11"/>
      <c r="Z17" s="17"/>
      <c r="AA17" s="14"/>
      <c r="AB17" s="14"/>
      <c r="AC17" s="14"/>
      <c r="AD17" s="14"/>
      <c r="AE17" s="14"/>
    </row>
    <row r="18" ht="48.95" customHeight="1" spans="1:31">
      <c r="A18" s="11">
        <v>1</v>
      </c>
      <c r="B18" s="12" t="s">
        <v>627</v>
      </c>
      <c r="C18" s="14" t="s">
        <v>144</v>
      </c>
      <c r="D18" s="14">
        <f>2.55*4*2</f>
        <v>20.4</v>
      </c>
      <c r="E18" s="14">
        <v>10.21</v>
      </c>
      <c r="F18" s="14">
        <f t="shared" si="0"/>
        <v>208.284</v>
      </c>
      <c r="G18" s="14"/>
      <c r="I18" s="11"/>
      <c r="J18" s="12"/>
      <c r="K18" s="14"/>
      <c r="L18" s="14"/>
      <c r="M18" s="14"/>
      <c r="N18" s="14"/>
      <c r="O18" s="14"/>
      <c r="Q18" s="11"/>
      <c r="R18" s="12"/>
      <c r="S18" s="14"/>
      <c r="T18" s="14"/>
      <c r="U18" s="14"/>
      <c r="V18" s="14"/>
      <c r="W18" s="14"/>
      <c r="Y18" s="11"/>
      <c r="Z18" s="12"/>
      <c r="AA18" s="14"/>
      <c r="AB18" s="14"/>
      <c r="AC18" s="14"/>
      <c r="AD18" s="14"/>
      <c r="AE18" s="14"/>
    </row>
    <row r="19" ht="48.95" customHeight="1" spans="1:31">
      <c r="A19" s="11">
        <v>2</v>
      </c>
      <c r="B19" s="12" t="s">
        <v>628</v>
      </c>
      <c r="C19" s="14"/>
      <c r="D19" s="14">
        <f>3.568*3*2+2.55*4+0.17*6*4</f>
        <v>35.688</v>
      </c>
      <c r="E19" s="14">
        <v>3.06</v>
      </c>
      <c r="F19" s="14">
        <f t="shared" si="0"/>
        <v>109.20528</v>
      </c>
      <c r="G19" s="14"/>
      <c r="I19" s="11"/>
      <c r="J19" s="12"/>
      <c r="K19" s="14"/>
      <c r="L19" s="14"/>
      <c r="M19" s="14"/>
      <c r="N19" s="14"/>
      <c r="O19" s="14"/>
      <c r="Q19" s="11"/>
      <c r="R19" s="12"/>
      <c r="S19" s="14"/>
      <c r="T19" s="14"/>
      <c r="U19" s="14"/>
      <c r="V19" s="14"/>
      <c r="W19" s="14"/>
      <c r="Y19" s="11"/>
      <c r="Z19" s="12"/>
      <c r="AA19" s="14"/>
      <c r="AB19" s="14"/>
      <c r="AC19" s="14"/>
      <c r="AD19" s="14"/>
      <c r="AE19" s="14"/>
    </row>
    <row r="20" ht="93" customHeight="1" spans="1:31">
      <c r="A20" s="11">
        <v>3</v>
      </c>
      <c r="B20" s="12" t="s">
        <v>629</v>
      </c>
      <c r="C20" s="13" t="s">
        <v>615</v>
      </c>
      <c r="D20" s="14">
        <f>4*2+2</f>
        <v>10</v>
      </c>
      <c r="E20" s="14"/>
      <c r="F20" s="14">
        <f t="shared" si="0"/>
        <v>0</v>
      </c>
      <c r="G20" s="14"/>
      <c r="I20" s="11"/>
      <c r="J20" s="12"/>
      <c r="K20" s="13"/>
      <c r="L20" s="14"/>
      <c r="M20" s="14"/>
      <c r="N20" s="14"/>
      <c r="O20" s="14"/>
      <c r="Q20" s="11"/>
      <c r="R20" s="12"/>
      <c r="S20" s="13"/>
      <c r="T20" s="14"/>
      <c r="U20" s="14"/>
      <c r="V20" s="14"/>
      <c r="W20" s="14"/>
      <c r="Y20" s="11"/>
      <c r="Z20" s="12"/>
      <c r="AA20" s="13"/>
      <c r="AB20" s="14"/>
      <c r="AC20" s="14"/>
      <c r="AD20" s="14"/>
      <c r="AE20" s="14"/>
    </row>
    <row r="21" ht="44.1" customHeight="1" spans="1:31">
      <c r="A21" s="11"/>
      <c r="B21" s="15" t="s">
        <v>630</v>
      </c>
      <c r="C21" s="14" t="s">
        <v>144</v>
      </c>
      <c r="D21" s="14">
        <f>(23.77-6)*2</f>
        <v>35.54</v>
      </c>
      <c r="E21" s="14">
        <v>0.89</v>
      </c>
      <c r="F21" s="14">
        <f t="shared" si="0"/>
        <v>31.6306</v>
      </c>
      <c r="G21" s="14"/>
      <c r="I21" s="11"/>
      <c r="J21" s="15"/>
      <c r="K21" s="14"/>
      <c r="L21" s="14"/>
      <c r="M21" s="14"/>
      <c r="N21" s="14"/>
      <c r="O21" s="14"/>
      <c r="Q21" s="11"/>
      <c r="R21" s="15"/>
      <c r="S21" s="14"/>
      <c r="T21" s="14"/>
      <c r="U21" s="14"/>
      <c r="V21" s="14"/>
      <c r="W21" s="14"/>
      <c r="Y21" s="11"/>
      <c r="Z21" s="15"/>
      <c r="AA21" s="14"/>
      <c r="AB21" s="14"/>
      <c r="AC21" s="14"/>
      <c r="AD21" s="14"/>
      <c r="AE21" s="14"/>
    </row>
    <row r="22" ht="26.1" customHeight="1" spans="1:31">
      <c r="A22" s="11"/>
      <c r="B22" s="17" t="s">
        <v>48</v>
      </c>
      <c r="C22" s="14" t="s">
        <v>388</v>
      </c>
      <c r="D22" s="14"/>
      <c r="E22" s="14"/>
      <c r="F22" s="14">
        <f>SUM(F3:F21)</f>
        <v>1343.13132</v>
      </c>
      <c r="G22" s="14"/>
      <c r="I22" s="11"/>
      <c r="J22" s="17" t="s">
        <v>48</v>
      </c>
      <c r="K22" s="14" t="s">
        <v>388</v>
      </c>
      <c r="L22" s="14"/>
      <c r="M22" s="14"/>
      <c r="N22" s="14">
        <f>SUM(N3:N21)</f>
        <v>1095.12914</v>
      </c>
      <c r="O22" s="14"/>
      <c r="Q22" s="11"/>
      <c r="R22" s="17" t="s">
        <v>48</v>
      </c>
      <c r="S22" s="14" t="s">
        <v>388</v>
      </c>
      <c r="T22" s="14"/>
      <c r="U22" s="14"/>
      <c r="V22" s="14">
        <f>SUM(V3:V21)</f>
        <v>1095.12914</v>
      </c>
      <c r="W22" s="14"/>
      <c r="Y22" s="11"/>
      <c r="Z22" s="17" t="s">
        <v>48</v>
      </c>
      <c r="AA22" s="14" t="s">
        <v>388</v>
      </c>
      <c r="AB22" s="14"/>
      <c r="AC22" s="14"/>
      <c r="AD22" s="14">
        <f>SUM(AD3:AD21)</f>
        <v>1058.7335</v>
      </c>
      <c r="AE22" s="14"/>
    </row>
    <row r="26" ht="11.1" customHeight="1"/>
    <row r="27" hidden="1"/>
  </sheetData>
  <autoFilter ref="A2:G22">
    <extLst/>
  </autoFilter>
  <mergeCells count="4">
    <mergeCell ref="A1:G1"/>
    <mergeCell ref="I1:O1"/>
    <mergeCell ref="Q1:W1"/>
    <mergeCell ref="Y1:AE1"/>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501"/>
  <sheetViews>
    <sheetView zoomScale="90" zoomScaleNormal="90" topLeftCell="A259" workbookViewId="0">
      <selection activeCell="D502" sqref="D502"/>
    </sheetView>
  </sheetViews>
  <sheetFormatPr defaultColWidth="8.88571428571429" defaultRowHeight="15" customHeight="1"/>
  <cols>
    <col min="1" max="1" width="3.04761904761905" style="244" customWidth="1"/>
    <col min="2" max="2" width="12.0666666666667" style="244" customWidth="1"/>
    <col min="3" max="3" width="19.6" style="245" customWidth="1"/>
    <col min="4" max="4" width="12.8571428571429" style="246" customWidth="1"/>
    <col min="5" max="5" width="9.78095238095238" style="246" customWidth="1"/>
    <col min="6" max="6" width="10.3904761904762" style="246" customWidth="1"/>
    <col min="7" max="7" width="12.0761904761905" style="246" customWidth="1"/>
    <col min="8" max="8" width="9.43809523809524" style="246" customWidth="1"/>
    <col min="9" max="9" width="9.87619047619048" style="246" customWidth="1"/>
    <col min="10" max="10" width="11.447619047619" style="246" customWidth="1"/>
    <col min="11" max="11" width="7.65714285714286" style="246" customWidth="1"/>
    <col min="12" max="12" width="14.152380952381" style="246" customWidth="1"/>
    <col min="13" max="13" width="12.3238095238095" style="246" customWidth="1"/>
    <col min="14" max="14" width="10.7619047619048" style="246" customWidth="1"/>
    <col min="15" max="16" width="8.88571428571429" style="244" customWidth="1"/>
    <col min="17" max="17" width="12.7714285714286" style="244" customWidth="1"/>
    <col min="18" max="18" width="12.8571428571429" style="244" customWidth="1"/>
    <col min="19" max="19" width="8.88571428571429" style="244" customWidth="1"/>
    <col min="20" max="16384" width="8.88571428571429" style="244"/>
  </cols>
  <sheetData>
    <row r="1" customHeight="1" spans="1:17">
      <c r="A1" s="247" t="s">
        <v>22</v>
      </c>
      <c r="B1" s="248"/>
      <c r="C1" s="249"/>
      <c r="D1" s="250"/>
      <c r="E1" s="250"/>
      <c r="F1" s="250"/>
      <c r="G1" s="250"/>
      <c r="H1" s="250"/>
      <c r="I1" s="250"/>
      <c r="J1" s="250"/>
      <c r="K1" s="250"/>
      <c r="L1" s="250"/>
      <c r="M1" s="265"/>
      <c r="N1" s="250"/>
      <c r="O1" s="248"/>
      <c r="P1" s="248"/>
      <c r="Q1" s="248"/>
    </row>
    <row r="2" customHeight="1" spans="1:17">
      <c r="A2" s="251" t="s">
        <v>1</v>
      </c>
      <c r="B2" s="251" t="s">
        <v>2</v>
      </c>
      <c r="C2" s="252" t="s">
        <v>23</v>
      </c>
      <c r="D2" s="253" t="s">
        <v>3</v>
      </c>
      <c r="E2" s="253" t="s">
        <v>4</v>
      </c>
      <c r="F2" s="253" t="s">
        <v>5</v>
      </c>
      <c r="G2" s="253" t="s">
        <v>6</v>
      </c>
      <c r="H2" s="253"/>
      <c r="I2" s="253"/>
      <c r="J2" s="253" t="s">
        <v>7</v>
      </c>
      <c r="K2" s="253"/>
      <c r="L2" s="253"/>
      <c r="M2" s="266" t="s">
        <v>8</v>
      </c>
      <c r="N2" s="253"/>
      <c r="O2" s="267" t="s">
        <v>9</v>
      </c>
      <c r="P2" s="255" t="s">
        <v>10</v>
      </c>
      <c r="Q2" s="255" t="s">
        <v>11</v>
      </c>
    </row>
    <row r="3" ht="26" customHeight="1" spans="1:17">
      <c r="A3" s="251"/>
      <c r="B3" s="251"/>
      <c r="C3" s="254"/>
      <c r="D3" s="253"/>
      <c r="E3" s="253"/>
      <c r="F3" s="253"/>
      <c r="G3" s="253" t="s">
        <v>12</v>
      </c>
      <c r="H3" s="253" t="s">
        <v>12</v>
      </c>
      <c r="I3" s="253" t="s">
        <v>13</v>
      </c>
      <c r="J3" s="253" t="s">
        <v>14</v>
      </c>
      <c r="K3" s="253" t="s">
        <v>15</v>
      </c>
      <c r="L3" s="253" t="s">
        <v>16</v>
      </c>
      <c r="M3" s="266" t="s">
        <v>17</v>
      </c>
      <c r="N3" s="253" t="s">
        <v>18</v>
      </c>
      <c r="O3" s="267"/>
      <c r="P3" s="255"/>
      <c r="Q3" s="255"/>
    </row>
    <row r="4" ht="26" customHeight="1" spans="1:18">
      <c r="A4" s="255"/>
      <c r="B4" s="251" t="str">
        <f>装饰工程!B6</f>
        <v>1层地面</v>
      </c>
      <c r="C4" s="256">
        <f>装饰工程!C6</f>
        <v>0</v>
      </c>
      <c r="D4" s="257">
        <f>SUM(D5:D277)</f>
        <v>4379892.67941705</v>
      </c>
      <c r="E4" s="258" t="s">
        <v>24</v>
      </c>
      <c r="F4" s="258" t="s">
        <v>24</v>
      </c>
      <c r="G4" s="257" t="s">
        <v>25</v>
      </c>
      <c r="H4" s="257"/>
      <c r="I4" s="257" t="s">
        <v>26</v>
      </c>
      <c r="J4" s="257" t="s">
        <v>27</v>
      </c>
      <c r="K4" s="257" t="s">
        <v>28</v>
      </c>
      <c r="L4" s="257" t="s">
        <v>29</v>
      </c>
      <c r="M4" s="257">
        <f>SUM(M5:M277)</f>
        <v>2129423.56185477</v>
      </c>
      <c r="N4" s="257" t="s">
        <v>30</v>
      </c>
      <c r="O4" s="268" t="s">
        <v>31</v>
      </c>
      <c r="P4" s="257" t="s">
        <v>32</v>
      </c>
      <c r="Q4" s="251" t="s">
        <v>33</v>
      </c>
      <c r="R4" s="244">
        <v>1.5</v>
      </c>
    </row>
    <row r="5" s="243" customFormat="1" customHeight="1" spans="1:18">
      <c r="A5" s="259">
        <v>1</v>
      </c>
      <c r="B5" s="251" t="str">
        <f>装饰工程!B7</f>
        <v>平面砂浆找平层</v>
      </c>
      <c r="C5" s="256" t="str">
        <f>装饰工程!C7</f>
        <v>1.30mm厚（最薄处）M20水泥砂浆找坡兼找平层。
2.部位：景观区一、景观区二
3.其它说明：满足规范和设计图纸要求</v>
      </c>
      <c r="D5" s="258">
        <f>E5*F5</f>
        <v>757.48947525</v>
      </c>
      <c r="E5" s="260">
        <f>装饰工程!E7</f>
        <v>10.11</v>
      </c>
      <c r="F5" s="260">
        <v>74.924775</v>
      </c>
      <c r="G5" s="260"/>
      <c r="H5" s="260">
        <v>0</v>
      </c>
      <c r="I5" s="260">
        <v>0</v>
      </c>
      <c r="J5" s="269">
        <f>E5</f>
        <v>10.11</v>
      </c>
      <c r="K5" s="270">
        <v>0.8</v>
      </c>
      <c r="L5" s="269">
        <f>J5*F5*K5</f>
        <v>605.9915802</v>
      </c>
      <c r="M5" s="271">
        <f>L5+I5</f>
        <v>605.9915802</v>
      </c>
      <c r="N5" s="271">
        <f>M5/D5</f>
        <v>0.8</v>
      </c>
      <c r="O5" s="272"/>
      <c r="P5" s="273"/>
      <c r="Q5" s="279"/>
      <c r="R5" s="243">
        <f>F5*$R$4</f>
        <v>112.3871625</v>
      </c>
    </row>
    <row r="6" s="243" customFormat="1" customHeight="1" spans="1:18">
      <c r="A6" s="259">
        <v>3</v>
      </c>
      <c r="B6" s="251" t="str">
        <f>装饰工程!B8</f>
        <v>石材楼地面</v>
      </c>
      <c r="C6" s="256" t="str">
        <f>装饰工程!C8</f>
        <v>1.ST01石材地面
2.石材背面刷胶封闭（石材六面防护）
3.5-8mm厚石材专用粘结剂/水泥砂浆粘贴层(根据项目需求)
4.20mm厚1:3干硬性水泥砂浆调平层
5.界面剂、水泥砂浆一道
6.10mm厚1:2.5水泥砂浆找平层
7.钢筋混凝土楼板
8.部位：大堂、景观区一、景观区二
9.其它说明：满足规范和设计图纸要求</v>
      </c>
      <c r="D6" s="258">
        <f t="shared" ref="D6:D69" si="0">E6*F6</f>
        <v>144873.0464445</v>
      </c>
      <c r="E6" s="260">
        <f>装饰工程!E8</f>
        <v>228.14</v>
      </c>
      <c r="F6" s="260">
        <v>635.018175</v>
      </c>
      <c r="G6" s="260"/>
      <c r="H6" s="260">
        <v>0</v>
      </c>
      <c r="I6" s="260">
        <v>0</v>
      </c>
      <c r="J6" s="269">
        <f t="shared" ref="J6:J69" si="1">E6</f>
        <v>228.14</v>
      </c>
      <c r="K6" s="270">
        <v>0.8</v>
      </c>
      <c r="L6" s="269">
        <f t="shared" ref="L6:L69" si="2">J6*F6*K6</f>
        <v>115898.4371556</v>
      </c>
      <c r="M6" s="271">
        <f t="shared" ref="M6:M37" si="3">L6+I6</f>
        <v>115898.4371556</v>
      </c>
      <c r="N6" s="271">
        <f>M6/D6</f>
        <v>0.8</v>
      </c>
      <c r="O6" s="274"/>
      <c r="P6" s="273"/>
      <c r="Q6" s="279"/>
      <c r="R6" s="243">
        <f t="shared" ref="R6:R69" si="4">F6*$R$4</f>
        <v>952.5272625</v>
      </c>
    </row>
    <row r="7" s="243" customFormat="1" customHeight="1" spans="1:18">
      <c r="A7" s="259">
        <v>4</v>
      </c>
      <c r="B7" s="251" t="str">
        <f>装饰工程!B9</f>
        <v>石材楼地面</v>
      </c>
      <c r="C7" s="256" t="str">
        <f>装饰工程!C9</f>
        <v>1.ST02石材地面
2.石材背面刷胶封闭（石材六面防护）
3.5-8mm厚石材专用粘结剂/水泥砂浆粘贴层(根据项目需求)
4.20mm厚1:3干硬性水泥砂浆调平层
5.界面剂、水泥砂浆一道
6.10mm厚1:2.5水泥砂浆找平层
7.钢筋混凝土楼板
8.部位：大堂
9.其它说明：满足规范和设计图纸要求</v>
      </c>
      <c r="D7" s="258">
        <f t="shared" si="0"/>
        <v>6896.2973805</v>
      </c>
      <c r="E7" s="260">
        <f>装饰工程!E9</f>
        <v>10.86</v>
      </c>
      <c r="F7" s="260">
        <v>635.018175</v>
      </c>
      <c r="G7" s="260"/>
      <c r="H7" s="260">
        <v>0</v>
      </c>
      <c r="I7" s="260">
        <v>0</v>
      </c>
      <c r="J7" s="269">
        <f t="shared" si="1"/>
        <v>10.86</v>
      </c>
      <c r="K7" s="270">
        <v>0.8</v>
      </c>
      <c r="L7" s="269">
        <f t="shared" si="2"/>
        <v>5517.0379044</v>
      </c>
      <c r="M7" s="271">
        <f t="shared" si="3"/>
        <v>5517.0379044</v>
      </c>
      <c r="N7" s="271">
        <f>M7/D7</f>
        <v>0.8</v>
      </c>
      <c r="O7" s="274"/>
      <c r="P7" s="273"/>
      <c r="Q7" s="279"/>
      <c r="R7" s="243">
        <f t="shared" si="4"/>
        <v>952.5272625</v>
      </c>
    </row>
    <row r="8" s="243" customFormat="1" customHeight="1" spans="1:18">
      <c r="A8" s="259">
        <v>5</v>
      </c>
      <c r="B8" s="251" t="str">
        <f>装饰工程!B10</f>
        <v>瓷砖楼地面（无防水）</v>
      </c>
      <c r="C8" s="256" t="str">
        <f>装饰工程!C10</f>
        <v>1.CT04瓷砖地面
2.瓷砖填缝剂处理
3.瓷砖(低吸水率硬质砖石需要背覆胶处理)
4.5mm专用瓷砖胶泥粘结层/水泥砂浆粘贴层
5.20mm厚1:3干硬性水泥砂浆调平层
6.界面剂、水泥砂浆一道
7.15mm厚1:2.5水泥砂浆找平层
8.钢筋混凝土楼板
9.部位：景观区一
10.其它说明：满足规范和设计图纸要求</v>
      </c>
      <c r="D8" s="258">
        <f t="shared" si="0"/>
        <v>8040.3454695</v>
      </c>
      <c r="E8" s="260">
        <f>装饰工程!E10</f>
        <v>29.18</v>
      </c>
      <c r="F8" s="260">
        <v>275.543025</v>
      </c>
      <c r="G8" s="260"/>
      <c r="H8" s="260">
        <v>0</v>
      </c>
      <c r="I8" s="260">
        <v>0</v>
      </c>
      <c r="J8" s="269">
        <f t="shared" si="1"/>
        <v>29.18</v>
      </c>
      <c r="K8" s="270">
        <v>0.8</v>
      </c>
      <c r="L8" s="269">
        <f t="shared" si="2"/>
        <v>6432.2763756</v>
      </c>
      <c r="M8" s="271">
        <f t="shared" si="3"/>
        <v>6432.2763756</v>
      </c>
      <c r="N8" s="271">
        <f>M8/D8</f>
        <v>0.8</v>
      </c>
      <c r="O8" s="275"/>
      <c r="P8" s="276"/>
      <c r="Q8" s="276"/>
      <c r="R8" s="243">
        <f t="shared" si="4"/>
        <v>413.3145375</v>
      </c>
    </row>
    <row r="9" customHeight="1" spans="1:18">
      <c r="A9" s="261">
        <v>6</v>
      </c>
      <c r="B9" s="251" t="str">
        <f>装饰工程!B11</f>
        <v>石材楼地面</v>
      </c>
      <c r="C9" s="256" t="str">
        <f>装饰工程!C11</f>
        <v>1.50*50*5镀锌方钢龙骨
2.9mm厚阻燃板基层
3.ST02+ST07石材地面+MT03不锈钢饰面
4.部位：大堂、景观区一
5.详见1F-DT-06节点10、11
6.其它满足规范和设计图纸要求</v>
      </c>
      <c r="D9" s="258">
        <f t="shared" si="0"/>
        <v>6855.1256025</v>
      </c>
      <c r="E9" s="260">
        <f>装饰工程!E11</f>
        <v>4.69</v>
      </c>
      <c r="F9" s="260">
        <v>1461.64725</v>
      </c>
      <c r="G9" s="260"/>
      <c r="H9" s="260">
        <v>0</v>
      </c>
      <c r="I9" s="260">
        <v>0</v>
      </c>
      <c r="J9" s="269">
        <f t="shared" si="1"/>
        <v>4.69</v>
      </c>
      <c r="K9" s="270">
        <v>0.8</v>
      </c>
      <c r="L9" s="269">
        <f t="shared" si="2"/>
        <v>5484.100482</v>
      </c>
      <c r="M9" s="271">
        <f t="shared" si="3"/>
        <v>5484.100482</v>
      </c>
      <c r="N9" s="271"/>
      <c r="O9" s="277"/>
      <c r="P9" s="262"/>
      <c r="R9" s="243">
        <f t="shared" si="4"/>
        <v>2192.470875</v>
      </c>
    </row>
    <row r="10" customHeight="1" spans="1:18">
      <c r="A10" s="262"/>
      <c r="B10" s="251" t="str">
        <f>装饰工程!B14</f>
        <v>1层天棚</v>
      </c>
      <c r="C10" s="256"/>
      <c r="D10" s="258"/>
      <c r="E10" s="260"/>
      <c r="F10" s="260"/>
      <c r="G10" s="260"/>
      <c r="H10" s="260"/>
      <c r="I10" s="260"/>
      <c r="J10" s="269"/>
      <c r="K10" s="278"/>
      <c r="L10" s="269"/>
      <c r="M10" s="271"/>
      <c r="N10" s="271"/>
      <c r="R10" s="243">
        <f t="shared" si="4"/>
        <v>0</v>
      </c>
    </row>
    <row r="11" customHeight="1" spans="1:18">
      <c r="A11" s="262"/>
      <c r="B11" s="251" t="str">
        <f>装饰工程!B15</f>
        <v>吊顶天棚</v>
      </c>
      <c r="C11" s="256" t="str">
        <f>装饰工程!C15</f>
        <v>1.木饰面天棚
2.钢筋混凝土楼板
3.膨胀螺栓,∅10钢筋吊杆,双向吊点,900~1200
4.轻钢主龙骨(金属吊件连接)
5.轻钢次龙骨、收边轻钢龙骨(专用连接挂件)
6.9.5mm厚石膏板基层
7.12mm厚阻燃夹板基层
8.木饰面
9.含风口、灯孔等
10.部位：景观区一、景观区二
11.作法详见1F-TH-01节点01、02
12.其它说明：满足规范和设计图纸要求</v>
      </c>
      <c r="D11" s="258">
        <f t="shared" si="0"/>
        <v>71751.813135</v>
      </c>
      <c r="E11" s="260">
        <f>装饰工程!E15</f>
        <v>80.39</v>
      </c>
      <c r="F11" s="260">
        <v>892.5465</v>
      </c>
      <c r="G11" s="260"/>
      <c r="H11" s="260">
        <v>0</v>
      </c>
      <c r="I11" s="260">
        <v>0</v>
      </c>
      <c r="J11" s="269">
        <f t="shared" si="1"/>
        <v>80.39</v>
      </c>
      <c r="K11" s="270">
        <v>0.65</v>
      </c>
      <c r="L11" s="269">
        <f t="shared" si="2"/>
        <v>46638.67853775</v>
      </c>
      <c r="M11" s="271">
        <f t="shared" si="3"/>
        <v>46638.67853775</v>
      </c>
      <c r="N11" s="271"/>
      <c r="R11" s="243">
        <f t="shared" si="4"/>
        <v>1338.81975</v>
      </c>
    </row>
    <row r="12" customHeight="1" spans="1:18">
      <c r="A12" s="262"/>
      <c r="B12" s="251" t="str">
        <f>装饰工程!B16</f>
        <v>吊顶天棚（跌级）</v>
      </c>
      <c r="C12" s="256" t="str">
        <f>装饰工程!C16</f>
        <v>1.木饰面天棚
2.钢筋混凝土楼板
3.膨胀螺栓,∅10钢筋吊杆,双向吊点,900~1200
4.轻钢主龙骨(金属吊件连接)
5.轻钢次龙骨、收边轻钢龙骨(专用连接挂件)
6.9.5mm厚石膏板基层
7.12mm厚阻燃夹板基层
8.木饰面
9.含风口、灯孔等
10.部位：大厅
11.作法详见1F-TH-01节点01、02
12.其它说明：满足规范和设计图纸要求</v>
      </c>
      <c r="D12" s="258">
        <f t="shared" si="0"/>
        <v>168485.462364</v>
      </c>
      <c r="E12" s="260">
        <f>装饰工程!E16</f>
        <v>170.33</v>
      </c>
      <c r="F12" s="260">
        <v>989.1708</v>
      </c>
      <c r="G12" s="260"/>
      <c r="H12" s="260">
        <v>0</v>
      </c>
      <c r="I12" s="260">
        <v>0</v>
      </c>
      <c r="J12" s="269">
        <f t="shared" si="1"/>
        <v>170.33</v>
      </c>
      <c r="K12" s="270">
        <v>0.65</v>
      </c>
      <c r="L12" s="269">
        <f t="shared" si="2"/>
        <v>109515.5505366</v>
      </c>
      <c r="M12" s="271">
        <f t="shared" si="3"/>
        <v>109515.5505366</v>
      </c>
      <c r="N12" s="271"/>
      <c r="R12" s="243">
        <f t="shared" si="4"/>
        <v>1483.7562</v>
      </c>
    </row>
    <row r="13" customHeight="1" spans="1:18">
      <c r="A13" s="262"/>
      <c r="B13" s="251" t="str">
        <f>装饰工程!B17</f>
        <v>格栅吊顶</v>
      </c>
      <c r="C13" s="256" t="str">
        <f>装饰工程!C17</f>
        <v>1.木纹铝格栅
2.部位：景观区一、景观区二
3.作法详见1F-TH-01节点03
4.其它说明：满足规范和设计图纸要求</v>
      </c>
      <c r="D13" s="258">
        <f t="shared" si="0"/>
        <v>28504.4550975</v>
      </c>
      <c r="E13" s="260">
        <f>装饰工程!E17</f>
        <v>48.55</v>
      </c>
      <c r="F13" s="260">
        <v>587.11545</v>
      </c>
      <c r="G13" s="260"/>
      <c r="H13" s="260">
        <v>0</v>
      </c>
      <c r="I13" s="260">
        <v>0</v>
      </c>
      <c r="J13" s="269">
        <f t="shared" si="1"/>
        <v>48.55</v>
      </c>
      <c r="K13" s="270">
        <v>0.65</v>
      </c>
      <c r="L13" s="269">
        <f t="shared" si="2"/>
        <v>18527.895813375</v>
      </c>
      <c r="M13" s="271">
        <f t="shared" si="3"/>
        <v>18527.895813375</v>
      </c>
      <c r="N13" s="271"/>
      <c r="R13" s="243">
        <f t="shared" si="4"/>
        <v>880.673175</v>
      </c>
    </row>
    <row r="14" customHeight="1" spans="1:18">
      <c r="A14" s="262"/>
      <c r="B14" s="251" t="str">
        <f>装饰工程!B18</f>
        <v>1层墙面</v>
      </c>
      <c r="C14" s="256"/>
      <c r="D14" s="258"/>
      <c r="E14" s="260"/>
      <c r="F14" s="260"/>
      <c r="G14" s="260"/>
      <c r="H14" s="260"/>
      <c r="I14" s="260"/>
      <c r="J14" s="269"/>
      <c r="K14" s="278"/>
      <c r="L14" s="269"/>
      <c r="M14" s="271"/>
      <c r="N14" s="271"/>
      <c r="R14" s="243">
        <f t="shared" si="4"/>
        <v>0</v>
      </c>
    </row>
    <row r="15" customHeight="1" spans="1:18">
      <c r="A15" s="262"/>
      <c r="B15" s="251" t="str">
        <f>装饰工程!B19</f>
        <v>东立面</v>
      </c>
      <c r="C15" s="256"/>
      <c r="D15" s="258"/>
      <c r="E15" s="260"/>
      <c r="F15" s="260"/>
      <c r="G15" s="260"/>
      <c r="H15" s="260"/>
      <c r="I15" s="260"/>
      <c r="J15" s="269"/>
      <c r="K15" s="278"/>
      <c r="L15" s="269"/>
      <c r="M15" s="271"/>
      <c r="N15" s="271"/>
      <c r="R15" s="243">
        <f t="shared" si="4"/>
        <v>0</v>
      </c>
    </row>
    <row r="16" customHeight="1" spans="1:18">
      <c r="A16" s="262"/>
      <c r="B16" s="251" t="str">
        <f>装饰工程!B20</f>
        <v>墙面装饰板</v>
      </c>
      <c r="C16" s="256" t="str">
        <f>装饰工程!C20</f>
        <v>1.50*50*5镀锌方钢龙骨+20*40*3镀锌方钢龙骨@600*600
2.12厚阻燃板基层
3.WD-01木饰面面层
4.作法详见1F-DT-0节点01
5.其它说明：满足规范和设计图纸要求</v>
      </c>
      <c r="D16" s="258">
        <f t="shared" si="0"/>
        <v>14331.18516</v>
      </c>
      <c r="E16" s="260">
        <f>装饰工程!E20</f>
        <v>13.36</v>
      </c>
      <c r="F16" s="260">
        <v>1072.6935</v>
      </c>
      <c r="G16" s="260"/>
      <c r="H16" s="260">
        <v>0</v>
      </c>
      <c r="I16" s="260">
        <v>0</v>
      </c>
      <c r="J16" s="269">
        <f t="shared" si="1"/>
        <v>13.36</v>
      </c>
      <c r="K16" s="270">
        <v>0.65</v>
      </c>
      <c r="L16" s="269">
        <f t="shared" si="2"/>
        <v>9315.270354</v>
      </c>
      <c r="M16" s="271">
        <f t="shared" si="3"/>
        <v>9315.270354</v>
      </c>
      <c r="N16" s="271"/>
      <c r="R16" s="243">
        <f t="shared" si="4"/>
        <v>1609.04025</v>
      </c>
    </row>
    <row r="17" customHeight="1" spans="1:18">
      <c r="A17" s="262"/>
      <c r="B17" s="251" t="str">
        <f>装饰工程!B21</f>
        <v>墙面装饰板</v>
      </c>
      <c r="C17" s="256" t="str">
        <f>装饰工程!C21</f>
        <v>1.45*25*4镀锌方钢龙骨+30*10*4镀锌方钢龙骨@600*600
2.12厚阻燃板基层
3.WD-01木饰面面层
4.作法详见1F-DT-02节点03
5.其它说明：满足规范和设计图纸要求</v>
      </c>
      <c r="D17" s="258">
        <f t="shared" si="0"/>
        <v>15554.05575</v>
      </c>
      <c r="E17" s="260">
        <f>装饰工程!E21</f>
        <v>14.5</v>
      </c>
      <c r="F17" s="260">
        <v>1072.6935</v>
      </c>
      <c r="G17" s="260"/>
      <c r="H17" s="260">
        <v>0</v>
      </c>
      <c r="I17" s="260">
        <v>0</v>
      </c>
      <c r="J17" s="269">
        <f t="shared" si="1"/>
        <v>14.5</v>
      </c>
      <c r="K17" s="270">
        <v>0.65</v>
      </c>
      <c r="L17" s="269">
        <f t="shared" si="2"/>
        <v>10110.1362375</v>
      </c>
      <c r="M17" s="271">
        <f t="shared" si="3"/>
        <v>10110.1362375</v>
      </c>
      <c r="N17" s="271"/>
      <c r="R17" s="243">
        <f t="shared" si="4"/>
        <v>1609.04025</v>
      </c>
    </row>
    <row r="18" customHeight="1" spans="1:18">
      <c r="A18" s="262"/>
      <c r="B18" s="251" t="str">
        <f>装饰工程!B22</f>
        <v>墙面装饰板</v>
      </c>
      <c r="C18" s="256" t="str">
        <f>装饰工程!C22</f>
        <v>1.12厚阻燃板基层
2.MT-03不锈钢饰面面层
3.作法详见1F-DT-02节点02
4.其它说明：满足规范和设计图纸要求</v>
      </c>
      <c r="D18" s="258">
        <f t="shared" si="0"/>
        <v>11604.611184</v>
      </c>
      <c r="E18" s="260">
        <f>装饰工程!E22</f>
        <v>10.72</v>
      </c>
      <c r="F18" s="260">
        <v>1082.5197</v>
      </c>
      <c r="G18" s="260"/>
      <c r="H18" s="260">
        <v>0</v>
      </c>
      <c r="I18" s="260">
        <v>0</v>
      </c>
      <c r="J18" s="269">
        <f t="shared" si="1"/>
        <v>10.72</v>
      </c>
      <c r="K18" s="270">
        <v>0.65</v>
      </c>
      <c r="L18" s="269">
        <f t="shared" si="2"/>
        <v>7542.9972696</v>
      </c>
      <c r="M18" s="271">
        <f t="shared" si="3"/>
        <v>7542.9972696</v>
      </c>
      <c r="N18" s="271"/>
      <c r="R18" s="243">
        <f t="shared" si="4"/>
        <v>1623.77955</v>
      </c>
    </row>
    <row r="19" customHeight="1" spans="1:18">
      <c r="A19" s="262"/>
      <c r="B19" s="251" t="str">
        <f>装饰工程!B23</f>
        <v>墙面装饰板</v>
      </c>
      <c r="C19" s="256" t="str">
        <f>装饰工程!C23</f>
        <v>1.9.5mm厚石膏板基层
2.12厚阻燃板基层
3.WD-01木饰面面层
4.作法详见详见MB-07/08
5.其它说明：满足规范和设计图纸要求</v>
      </c>
      <c r="D19" s="258">
        <f t="shared" si="0"/>
        <v>12842.8434</v>
      </c>
      <c r="E19" s="260">
        <f>装饰工程!E23</f>
        <v>13.07</v>
      </c>
      <c r="F19" s="260">
        <v>982.62</v>
      </c>
      <c r="G19" s="260"/>
      <c r="H19" s="260">
        <v>0</v>
      </c>
      <c r="I19" s="260">
        <v>0</v>
      </c>
      <c r="J19" s="269">
        <f t="shared" si="1"/>
        <v>13.07</v>
      </c>
      <c r="K19" s="270">
        <v>0.65</v>
      </c>
      <c r="L19" s="269">
        <f t="shared" si="2"/>
        <v>8347.84821</v>
      </c>
      <c r="M19" s="271">
        <f t="shared" si="3"/>
        <v>8347.84821</v>
      </c>
      <c r="N19" s="271"/>
      <c r="R19" s="243">
        <f t="shared" si="4"/>
        <v>1473.93</v>
      </c>
    </row>
    <row r="20" customHeight="1" spans="1:18">
      <c r="A20" s="262"/>
      <c r="B20" s="251" t="str">
        <f>装饰工程!B24</f>
        <v>石材踢脚线</v>
      </c>
      <c r="C20" s="256" t="str">
        <f>装饰工程!C24</f>
        <v>1.12mm厚阻燃板基层
2.ST-05踢脚线
3.作法详见1F-DT-03节点05
4.其它说明：满足规范和设计图纸要求</v>
      </c>
      <c r="D20" s="258">
        <f t="shared" si="0"/>
        <v>1004.89272</v>
      </c>
      <c r="E20" s="260">
        <f>装饰工程!E24</f>
        <v>0.8</v>
      </c>
      <c r="F20" s="260">
        <v>1256.1159</v>
      </c>
      <c r="G20" s="260"/>
      <c r="H20" s="260">
        <v>0</v>
      </c>
      <c r="I20" s="260">
        <v>0</v>
      </c>
      <c r="J20" s="269">
        <f t="shared" si="1"/>
        <v>0.8</v>
      </c>
      <c r="K20" s="270">
        <v>0.65</v>
      </c>
      <c r="L20" s="269">
        <f t="shared" si="2"/>
        <v>653.180268</v>
      </c>
      <c r="M20" s="271">
        <f t="shared" si="3"/>
        <v>653.180268</v>
      </c>
      <c r="N20" s="271"/>
      <c r="R20" s="243">
        <f t="shared" si="4"/>
        <v>1884.17385</v>
      </c>
    </row>
    <row r="21" customHeight="1" spans="1:18">
      <c r="A21" s="262"/>
      <c r="B21" s="251" t="str">
        <f>装饰工程!B25</f>
        <v>金属字</v>
      </c>
      <c r="C21" s="256" t="str">
        <f>装饰工程!C25</f>
        <v>1.发光字
2.详见1F-DT-02节点02
3.其它满足规范和设计图纸要求</v>
      </c>
      <c r="D21" s="258">
        <f t="shared" si="0"/>
        <v>811.64412</v>
      </c>
      <c r="E21" s="260">
        <f>装饰工程!E25</f>
        <v>12</v>
      </c>
      <c r="F21" s="260">
        <v>67.63701</v>
      </c>
      <c r="G21" s="260"/>
      <c r="H21" s="260">
        <v>0</v>
      </c>
      <c r="I21" s="260">
        <v>0</v>
      </c>
      <c r="J21" s="269">
        <f t="shared" si="1"/>
        <v>12</v>
      </c>
      <c r="K21" s="270">
        <v>0.8</v>
      </c>
      <c r="L21" s="269">
        <f t="shared" si="2"/>
        <v>649.315296</v>
      </c>
      <c r="M21" s="271">
        <f t="shared" si="3"/>
        <v>649.315296</v>
      </c>
      <c r="N21" s="271"/>
      <c r="R21" s="243">
        <f t="shared" si="4"/>
        <v>101.455515</v>
      </c>
    </row>
    <row r="22" customHeight="1" spans="1:18">
      <c r="A22" s="262"/>
      <c r="B22" s="251" t="str">
        <f>装饰工程!B26</f>
        <v>钢化玻璃双开门</v>
      </c>
      <c r="C22" s="256" t="str">
        <f>装饰工程!C26</f>
        <v>1.GL-01钢化玻璃双开门
2.作法详见MB-07/08
3.含定制不锈钢拉手、五金配件
4.其它说明：满足规范和设计图纸要求</v>
      </c>
      <c r="D22" s="258">
        <f t="shared" si="0"/>
        <v>8445.0047625</v>
      </c>
      <c r="E22" s="260">
        <f>装饰工程!E26</f>
        <v>2</v>
      </c>
      <c r="F22" s="260">
        <v>4222.50238125</v>
      </c>
      <c r="G22" s="260"/>
      <c r="H22" s="260">
        <v>0</v>
      </c>
      <c r="I22" s="260">
        <v>0</v>
      </c>
      <c r="J22" s="269">
        <f t="shared" si="1"/>
        <v>2</v>
      </c>
      <c r="K22" s="270">
        <v>0</v>
      </c>
      <c r="L22" s="269">
        <f t="shared" si="2"/>
        <v>0</v>
      </c>
      <c r="M22" s="271">
        <f t="shared" si="3"/>
        <v>0</v>
      </c>
      <c r="N22" s="271"/>
      <c r="R22" s="243">
        <f t="shared" si="4"/>
        <v>6333.753571875</v>
      </c>
    </row>
    <row r="23" customHeight="1" spans="1:18">
      <c r="A23" s="262"/>
      <c r="B23" s="251" t="str">
        <f>装饰工程!B27</f>
        <v>玻璃栏板</v>
      </c>
      <c r="C23" s="256" t="str">
        <f>装饰工程!C27</f>
        <v>1.楼梯玻璃栏杆，含五金配件
2.作法详见1F-DT-08
3.其它说明：满足规范和设计图纸要求</v>
      </c>
      <c r="D23" s="258">
        <f t="shared" si="0"/>
        <v>19045.47247425</v>
      </c>
      <c r="E23" s="260">
        <f>装饰工程!E27</f>
        <v>23.15</v>
      </c>
      <c r="F23" s="260">
        <v>822.698595</v>
      </c>
      <c r="G23" s="260"/>
      <c r="H23" s="260">
        <v>0</v>
      </c>
      <c r="I23" s="260">
        <v>0</v>
      </c>
      <c r="J23" s="269">
        <f t="shared" si="1"/>
        <v>23.15</v>
      </c>
      <c r="K23" s="270">
        <v>0</v>
      </c>
      <c r="L23" s="269">
        <f t="shared" si="2"/>
        <v>0</v>
      </c>
      <c r="M23" s="271">
        <f t="shared" si="3"/>
        <v>0</v>
      </c>
      <c r="N23" s="271"/>
      <c r="R23" s="243">
        <f t="shared" si="4"/>
        <v>1234.0478925</v>
      </c>
    </row>
    <row r="24" customHeight="1" spans="1:18">
      <c r="A24" s="262"/>
      <c r="B24" s="251" t="str">
        <f>装饰工程!B28</f>
        <v>西立面</v>
      </c>
      <c r="C24" s="256"/>
      <c r="D24" s="258"/>
      <c r="E24" s="260"/>
      <c r="F24" s="260"/>
      <c r="G24" s="260"/>
      <c r="H24" s="260"/>
      <c r="I24" s="260"/>
      <c r="J24" s="269"/>
      <c r="K24" s="278"/>
      <c r="L24" s="269"/>
      <c r="M24" s="271"/>
      <c r="N24" s="271"/>
      <c r="R24" s="243">
        <f t="shared" si="4"/>
        <v>0</v>
      </c>
    </row>
    <row r="25" customHeight="1" spans="1:18">
      <c r="A25" s="262"/>
      <c r="B25" s="251" t="str">
        <f>装饰工程!B29</f>
        <v>钢化玻璃双开门</v>
      </c>
      <c r="C25" s="256" t="str">
        <f>装饰工程!C29</f>
        <v>1.GL-01钢化玻璃双开门
2.作法详见MB-07/08
3.含定制不锈钢拉手、五金配件
4.其它说明：满足规范和设计图纸要求</v>
      </c>
      <c r="D25" s="258">
        <f t="shared" si="0"/>
        <v>9573.50698425</v>
      </c>
      <c r="E25" s="260">
        <f>装饰工程!E29</f>
        <v>2</v>
      </c>
      <c r="F25" s="260">
        <v>4786.753492125</v>
      </c>
      <c r="G25" s="260"/>
      <c r="H25" s="260">
        <v>0</v>
      </c>
      <c r="I25" s="260">
        <v>0</v>
      </c>
      <c r="J25" s="269">
        <f t="shared" si="1"/>
        <v>2</v>
      </c>
      <c r="K25" s="270">
        <v>0</v>
      </c>
      <c r="L25" s="269">
        <f t="shared" si="2"/>
        <v>0</v>
      </c>
      <c r="M25" s="271">
        <f t="shared" si="3"/>
        <v>0</v>
      </c>
      <c r="N25" s="271"/>
      <c r="R25" s="243">
        <f t="shared" si="4"/>
        <v>7180.1302381875</v>
      </c>
    </row>
    <row r="26" ht="38" customHeight="1" spans="1:18">
      <c r="A26" s="262"/>
      <c r="B26" s="251" t="str">
        <f>装饰工程!B30</f>
        <v>屏风</v>
      </c>
      <c r="C26" s="256" t="str">
        <f>装饰工程!C30</f>
        <v>1.屏风
2.部位：大堂西侧
3.作法详见1F-DT-05节点07
4.其它说明：满足规范和设计图纸要求</v>
      </c>
      <c r="D26" s="258">
        <f t="shared" si="0"/>
        <v>10045.422522</v>
      </c>
      <c r="E26" s="260">
        <f>装饰工程!E30</f>
        <v>9.21</v>
      </c>
      <c r="F26" s="260">
        <v>1090.7082</v>
      </c>
      <c r="G26" s="260"/>
      <c r="H26" s="260">
        <v>0</v>
      </c>
      <c r="I26" s="260">
        <v>0</v>
      </c>
      <c r="J26" s="269">
        <f t="shared" si="1"/>
        <v>9.21</v>
      </c>
      <c r="K26" s="270"/>
      <c r="L26" s="269">
        <f t="shared" si="2"/>
        <v>0</v>
      </c>
      <c r="M26" s="271">
        <f t="shared" si="3"/>
        <v>0</v>
      </c>
      <c r="N26" s="271"/>
      <c r="R26" s="243">
        <f t="shared" si="4"/>
        <v>1636.0623</v>
      </c>
    </row>
    <row r="27" customHeight="1" spans="1:18">
      <c r="A27" s="262"/>
      <c r="B27" s="251" t="str">
        <f>装饰工程!B31</f>
        <v>墙面装饰板</v>
      </c>
      <c r="C27" s="256" t="str">
        <f>装饰工程!C31</f>
        <v>1.50*50*5镀锌方钢龙骨@600*600
2.12厚双层阻燃板基层
3.WD-01木饰面面层
4.作法详见1F-DT-03节点04
5.其它说明：满足规范和设计图纸要求</v>
      </c>
      <c r="D27" s="258">
        <f t="shared" si="0"/>
        <v>24940.123875</v>
      </c>
      <c r="E27" s="260">
        <f>装饰工程!E31</f>
        <v>23.25</v>
      </c>
      <c r="F27" s="260">
        <v>1072.6935</v>
      </c>
      <c r="G27" s="260"/>
      <c r="H27" s="260">
        <v>0</v>
      </c>
      <c r="I27" s="260">
        <v>0</v>
      </c>
      <c r="J27" s="269">
        <f t="shared" si="1"/>
        <v>23.25</v>
      </c>
      <c r="K27" s="270">
        <v>0.65</v>
      </c>
      <c r="L27" s="269">
        <f t="shared" si="2"/>
        <v>16211.08051875</v>
      </c>
      <c r="M27" s="271">
        <f t="shared" si="3"/>
        <v>16211.08051875</v>
      </c>
      <c r="N27" s="271"/>
      <c r="R27" s="243">
        <f t="shared" si="4"/>
        <v>1609.04025</v>
      </c>
    </row>
    <row r="28" customHeight="1" spans="1:18">
      <c r="A28" s="262"/>
      <c r="B28" s="251" t="str">
        <f>装饰工程!B32</f>
        <v>墙面装饰板</v>
      </c>
      <c r="C28" s="256" t="str">
        <f>装饰工程!C32</f>
        <v>1.45*25*4镀锌方钢龙骨+30*10*4镀锌方钢龙骨@600*600
2.12厚双层阻燃板基层
3.WD-01木饰面面层
4.作法详见1F-DT-02节点03
5.其它说明：满足规范和设计图纸要求</v>
      </c>
      <c r="D28" s="258">
        <f t="shared" si="0"/>
        <v>15554.05575</v>
      </c>
      <c r="E28" s="260">
        <f>装饰工程!E32</f>
        <v>14.5</v>
      </c>
      <c r="F28" s="260">
        <v>1072.6935</v>
      </c>
      <c r="G28" s="260"/>
      <c r="H28" s="260">
        <v>0</v>
      </c>
      <c r="I28" s="260">
        <v>0</v>
      </c>
      <c r="J28" s="269">
        <f t="shared" si="1"/>
        <v>14.5</v>
      </c>
      <c r="K28" s="270">
        <v>0.65</v>
      </c>
      <c r="L28" s="269">
        <f t="shared" si="2"/>
        <v>10110.1362375</v>
      </c>
      <c r="M28" s="271">
        <f t="shared" si="3"/>
        <v>10110.1362375</v>
      </c>
      <c r="N28" s="271"/>
      <c r="R28" s="243">
        <f t="shared" si="4"/>
        <v>1609.04025</v>
      </c>
    </row>
    <row r="29" customHeight="1" spans="1:18">
      <c r="A29" s="262"/>
      <c r="B29" s="251" t="str">
        <f>装饰工程!B33</f>
        <v>墙面装饰板</v>
      </c>
      <c r="C29" s="256" t="str">
        <f>装饰工程!C33</f>
        <v>1.50*50*5镀锌方钢龙骨+30*40*4镀锌方钢龙骨@600*600
2.12厚双层阻燃板基层
3.WD-01木饰面面层
4.作法详见1F-DT-03节点04a
5.其它说明：满足规范和设计图纸要求</v>
      </c>
      <c r="D29" s="258">
        <f t="shared" si="0"/>
        <v>12475.425405</v>
      </c>
      <c r="E29" s="260">
        <f>装饰工程!E33</f>
        <v>11.63</v>
      </c>
      <c r="F29" s="260">
        <v>1072.6935</v>
      </c>
      <c r="G29" s="260"/>
      <c r="H29" s="260">
        <v>0</v>
      </c>
      <c r="I29" s="260">
        <v>0</v>
      </c>
      <c r="J29" s="269">
        <f t="shared" si="1"/>
        <v>11.63</v>
      </c>
      <c r="K29" s="270">
        <v>0.65</v>
      </c>
      <c r="L29" s="269">
        <f t="shared" si="2"/>
        <v>8109.02651325</v>
      </c>
      <c r="M29" s="271">
        <f t="shared" si="3"/>
        <v>8109.02651325</v>
      </c>
      <c r="N29" s="271"/>
      <c r="R29" s="243">
        <f t="shared" si="4"/>
        <v>1609.04025</v>
      </c>
    </row>
    <row r="30" customHeight="1" spans="1:18">
      <c r="A30" s="262"/>
      <c r="B30" s="251" t="str">
        <f>装饰工程!B34</f>
        <v>石材踢脚线</v>
      </c>
      <c r="C30" s="256" t="str">
        <f>装饰工程!C34</f>
        <v>1.12mm厚阻燃板基层
2.ST-05踢脚线
3.作法详见1F-DT-03节点05
4.其它说明：满足规范和设计图纸要求</v>
      </c>
      <c r="D30" s="258">
        <f t="shared" si="0"/>
        <v>2838.821934</v>
      </c>
      <c r="E30" s="260">
        <f>装饰工程!E34</f>
        <v>2.26</v>
      </c>
      <c r="F30" s="260">
        <v>1256.1159</v>
      </c>
      <c r="G30" s="260"/>
      <c r="H30" s="260">
        <v>0</v>
      </c>
      <c r="I30" s="260">
        <v>0</v>
      </c>
      <c r="J30" s="269">
        <f t="shared" si="1"/>
        <v>2.26</v>
      </c>
      <c r="K30" s="270">
        <v>0.65</v>
      </c>
      <c r="L30" s="269">
        <f t="shared" si="2"/>
        <v>1845.2342571</v>
      </c>
      <c r="M30" s="271">
        <f t="shared" si="3"/>
        <v>1845.2342571</v>
      </c>
      <c r="N30" s="271"/>
      <c r="R30" s="243">
        <f t="shared" si="4"/>
        <v>1884.17385</v>
      </c>
    </row>
    <row r="31" customHeight="1" spans="1:18">
      <c r="A31" s="262"/>
      <c r="B31" s="251" t="str">
        <f>装饰工程!B35</f>
        <v>墙面装饰板</v>
      </c>
      <c r="C31" s="256" t="str">
        <f>装饰工程!C35</f>
        <v>1.9.5mm厚石膏板基层
2.12厚阻燃板基层
3.WD-01木饰面面层
4.作法详见详见MB-07/08
5.其它说明：满足规范和设计图纸要求</v>
      </c>
      <c r="D31" s="258">
        <f t="shared" si="0"/>
        <v>10425.5982</v>
      </c>
      <c r="E31" s="260">
        <f>装饰工程!E35</f>
        <v>10.61</v>
      </c>
      <c r="F31" s="260">
        <v>982.62</v>
      </c>
      <c r="G31" s="260"/>
      <c r="H31" s="260">
        <v>0</v>
      </c>
      <c r="I31" s="260">
        <v>0</v>
      </c>
      <c r="J31" s="269">
        <f t="shared" si="1"/>
        <v>10.61</v>
      </c>
      <c r="K31" s="270">
        <v>0.65</v>
      </c>
      <c r="L31" s="269">
        <f t="shared" si="2"/>
        <v>6776.63883</v>
      </c>
      <c r="M31" s="271">
        <f t="shared" si="3"/>
        <v>6776.63883</v>
      </c>
      <c r="N31" s="271"/>
      <c r="R31" s="243">
        <f t="shared" si="4"/>
        <v>1473.93</v>
      </c>
    </row>
    <row r="32" customHeight="1" spans="1:18">
      <c r="A32" s="262"/>
      <c r="B32" s="251" t="str">
        <f>装饰工程!B36</f>
        <v>南立面</v>
      </c>
      <c r="C32" s="256"/>
      <c r="D32" s="258"/>
      <c r="E32" s="260"/>
      <c r="F32" s="260"/>
      <c r="G32" s="260"/>
      <c r="H32" s="260"/>
      <c r="I32" s="260"/>
      <c r="J32" s="269"/>
      <c r="K32" s="278"/>
      <c r="L32" s="269"/>
      <c r="M32" s="271"/>
      <c r="N32" s="271"/>
      <c r="R32" s="243">
        <f t="shared" si="4"/>
        <v>0</v>
      </c>
    </row>
    <row r="33" ht="58" customHeight="1" spans="1:18">
      <c r="A33" s="262"/>
      <c r="B33" s="251" t="str">
        <f>装饰工程!B37</f>
        <v>屏风</v>
      </c>
      <c r="C33" s="256" t="str">
        <f>装饰工程!C37</f>
        <v>1.屏风
2.部位：大堂南侧
3.做法详见1F-DT-05节点08
4.其它说明：满足规范和设计图纸要求</v>
      </c>
      <c r="D33" s="258">
        <f t="shared" si="0"/>
        <v>28205.714052</v>
      </c>
      <c r="E33" s="260">
        <f>装饰工程!E37</f>
        <v>25.86</v>
      </c>
      <c r="F33" s="260">
        <v>1090.7082</v>
      </c>
      <c r="G33" s="260"/>
      <c r="H33" s="260">
        <v>0</v>
      </c>
      <c r="I33" s="260">
        <v>0</v>
      </c>
      <c r="J33" s="269">
        <f t="shared" si="1"/>
        <v>25.86</v>
      </c>
      <c r="K33" s="270"/>
      <c r="L33" s="269">
        <f t="shared" si="2"/>
        <v>0</v>
      </c>
      <c r="M33" s="271">
        <f t="shared" si="3"/>
        <v>0</v>
      </c>
      <c r="N33" s="271"/>
      <c r="R33" s="243">
        <f t="shared" si="4"/>
        <v>1636.0623</v>
      </c>
    </row>
    <row r="34" customHeight="1" spans="1:18">
      <c r="A34" s="262"/>
      <c r="B34" s="251" t="str">
        <f>装饰工程!B38</f>
        <v>墙面装饰板</v>
      </c>
      <c r="C34" s="256" t="str">
        <f>装饰工程!C38</f>
        <v>1.50*50*5镀锌方钢竖向龙骨，@600*600
2.12厚阻燃板基层
3.WD-01木饰面面层
4.作法详见1F-DT-03节点04
5.其它说明：满足规范和设计图纸要求</v>
      </c>
      <c r="D34" s="258">
        <f t="shared" si="0"/>
        <v>24940.123875</v>
      </c>
      <c r="E34" s="260">
        <f>装饰工程!E38</f>
        <v>23.25</v>
      </c>
      <c r="F34" s="260">
        <v>1072.6935</v>
      </c>
      <c r="G34" s="260"/>
      <c r="H34" s="260">
        <v>0</v>
      </c>
      <c r="I34" s="260">
        <v>0</v>
      </c>
      <c r="J34" s="269">
        <f t="shared" si="1"/>
        <v>23.25</v>
      </c>
      <c r="K34" s="270">
        <v>0.65</v>
      </c>
      <c r="L34" s="269">
        <f t="shared" si="2"/>
        <v>16211.08051875</v>
      </c>
      <c r="M34" s="271">
        <f t="shared" si="3"/>
        <v>16211.08051875</v>
      </c>
      <c r="N34" s="271"/>
      <c r="R34" s="243">
        <f t="shared" si="4"/>
        <v>1609.04025</v>
      </c>
    </row>
    <row r="35" customHeight="1" spans="1:18">
      <c r="A35" s="262"/>
      <c r="B35" s="251" t="str">
        <f>装饰工程!B39</f>
        <v>石材踢脚线</v>
      </c>
      <c r="C35" s="256" t="str">
        <f>装饰工程!C39</f>
        <v>1.12mm厚阻燃板基层
2.ST-05踢脚线
3.作法详见1F-DT-03节点05
3.其它说明：满足规范和设计图纸要求</v>
      </c>
      <c r="D35" s="258">
        <f t="shared" si="0"/>
        <v>1143.065469</v>
      </c>
      <c r="E35" s="260">
        <f>装饰工程!E39</f>
        <v>0.91</v>
      </c>
      <c r="F35" s="260">
        <v>1256.1159</v>
      </c>
      <c r="G35" s="260"/>
      <c r="H35" s="260">
        <v>0</v>
      </c>
      <c r="I35" s="260">
        <v>0</v>
      </c>
      <c r="J35" s="269">
        <f t="shared" si="1"/>
        <v>0.91</v>
      </c>
      <c r="K35" s="270">
        <v>0.65</v>
      </c>
      <c r="L35" s="269">
        <f t="shared" si="2"/>
        <v>742.99255485</v>
      </c>
      <c r="M35" s="271">
        <f t="shared" si="3"/>
        <v>742.99255485</v>
      </c>
      <c r="N35" s="271"/>
      <c r="R35" s="243">
        <f t="shared" si="4"/>
        <v>1884.17385</v>
      </c>
    </row>
    <row r="36" customHeight="1" spans="1:18">
      <c r="A36" s="262"/>
      <c r="B36" s="251" t="str">
        <f>装饰工程!B40</f>
        <v>北立面</v>
      </c>
      <c r="C36" s="256"/>
      <c r="D36" s="258"/>
      <c r="E36" s="260"/>
      <c r="F36" s="260"/>
      <c r="G36" s="260"/>
      <c r="H36" s="260"/>
      <c r="I36" s="260"/>
      <c r="J36" s="269"/>
      <c r="K36" s="278"/>
      <c r="L36" s="269"/>
      <c r="M36" s="271"/>
      <c r="N36" s="271"/>
      <c r="R36" s="243">
        <f t="shared" si="4"/>
        <v>0</v>
      </c>
    </row>
    <row r="37" customHeight="1" spans="1:18">
      <c r="A37" s="262"/>
      <c r="B37" s="251" t="str">
        <f>装饰工程!B41</f>
        <v>墙面装饰板</v>
      </c>
      <c r="C37" s="256" t="str">
        <f>装饰工程!C41</f>
        <v>1.45*25*4镀锌方钢竖向龙骨+30*10*4横向龙骨，@600*600
2.12厚阻燃板基层
3.WD-01木饰面面层
4.作法详见1F-DT-02节点03
5.其它说明：满足规范和设计图纸要求</v>
      </c>
      <c r="D37" s="258">
        <f t="shared" si="0"/>
        <v>31097.384565</v>
      </c>
      <c r="E37" s="260">
        <f>装饰工程!E41</f>
        <v>28.99</v>
      </c>
      <c r="F37" s="260">
        <v>1072.6935</v>
      </c>
      <c r="G37" s="260"/>
      <c r="H37" s="260">
        <v>0</v>
      </c>
      <c r="I37" s="260">
        <v>0</v>
      </c>
      <c r="J37" s="269">
        <f t="shared" si="1"/>
        <v>28.99</v>
      </c>
      <c r="K37" s="270">
        <v>0.65</v>
      </c>
      <c r="L37" s="269">
        <f t="shared" si="2"/>
        <v>20213.29996725</v>
      </c>
      <c r="M37" s="271">
        <f t="shared" si="3"/>
        <v>20213.29996725</v>
      </c>
      <c r="N37" s="271"/>
      <c r="R37" s="243">
        <f t="shared" si="4"/>
        <v>1609.04025</v>
      </c>
    </row>
    <row r="38" customHeight="1" spans="1:18">
      <c r="A38" s="262"/>
      <c r="B38" s="251" t="str">
        <f>装饰工程!B42</f>
        <v>石材踢脚线</v>
      </c>
      <c r="C38" s="256" t="str">
        <f>装饰工程!C42</f>
        <v>1.12mm厚阻燃板基层
2.ST-05踢脚线
3.作法详见1F-DT-03节点05
4.其它说明：满足规范和设计图纸要求</v>
      </c>
      <c r="D38" s="258">
        <f t="shared" si="0"/>
        <v>1419.410967</v>
      </c>
      <c r="E38" s="260">
        <f>装饰工程!E42</f>
        <v>1.13</v>
      </c>
      <c r="F38" s="260">
        <v>1256.1159</v>
      </c>
      <c r="G38" s="260"/>
      <c r="H38" s="260">
        <v>0</v>
      </c>
      <c r="I38" s="260">
        <v>0</v>
      </c>
      <c r="J38" s="269">
        <f t="shared" si="1"/>
        <v>1.13</v>
      </c>
      <c r="K38" s="270">
        <v>0.65</v>
      </c>
      <c r="L38" s="269">
        <f t="shared" si="2"/>
        <v>922.61712855</v>
      </c>
      <c r="M38" s="271">
        <f t="shared" ref="M38:M57" si="5">L38+I38</f>
        <v>922.61712855</v>
      </c>
      <c r="N38" s="271"/>
      <c r="R38" s="243">
        <f t="shared" si="4"/>
        <v>1884.17385</v>
      </c>
    </row>
    <row r="39" customHeight="1" spans="1:18">
      <c r="A39" s="262"/>
      <c r="B39" s="251" t="str">
        <f>装饰工程!B43</f>
        <v>屏风</v>
      </c>
      <c r="C39" s="256" t="str">
        <f>装饰工程!C43</f>
        <v>1.屏风
2.部位：大堂北侧
3.做法详见1F-DT-04节点06
4.其它说明：满足规范和设计图纸要求</v>
      </c>
      <c r="D39" s="258">
        <f t="shared" si="0"/>
        <v>16391.9440125</v>
      </c>
      <c r="E39" s="260">
        <f>装饰工程!E43</f>
        <v>14.35</v>
      </c>
      <c r="F39" s="260">
        <v>1142.29575</v>
      </c>
      <c r="G39" s="260"/>
      <c r="H39" s="260">
        <v>0</v>
      </c>
      <c r="I39" s="260">
        <v>0</v>
      </c>
      <c r="J39" s="269">
        <f t="shared" si="1"/>
        <v>14.35</v>
      </c>
      <c r="K39" s="270"/>
      <c r="L39" s="269">
        <f t="shared" si="2"/>
        <v>0</v>
      </c>
      <c r="M39" s="271">
        <f t="shared" si="5"/>
        <v>0</v>
      </c>
      <c r="N39" s="271"/>
      <c r="R39" s="243">
        <f t="shared" si="4"/>
        <v>1713.443625</v>
      </c>
    </row>
    <row r="40" customHeight="1" spans="1:18">
      <c r="A40" s="262"/>
      <c r="B40" s="251" t="str">
        <f>装饰工程!B44</f>
        <v>电动卷帘</v>
      </c>
      <c r="C40" s="256" t="str">
        <f>装饰工程!C44</f>
        <v>1.成品电动卷帘
2.含电动装置
3.其它说明：满足规范和设计图纸要求</v>
      </c>
      <c r="D40" s="258">
        <f t="shared" si="0"/>
        <v>26331.26814</v>
      </c>
      <c r="E40" s="260">
        <f>装饰工程!E44</f>
        <v>42.2</v>
      </c>
      <c r="F40" s="260">
        <v>623.9637</v>
      </c>
      <c r="G40" s="260"/>
      <c r="H40" s="260">
        <v>0</v>
      </c>
      <c r="I40" s="260">
        <v>0</v>
      </c>
      <c r="J40" s="269">
        <f t="shared" si="1"/>
        <v>42.2</v>
      </c>
      <c r="K40" s="270">
        <v>0</v>
      </c>
      <c r="L40" s="269">
        <f t="shared" si="2"/>
        <v>0</v>
      </c>
      <c r="M40" s="271">
        <f t="shared" si="5"/>
        <v>0</v>
      </c>
      <c r="N40" s="271"/>
      <c r="R40" s="243">
        <f t="shared" si="4"/>
        <v>935.94555</v>
      </c>
    </row>
    <row r="41" customHeight="1" spans="1:18">
      <c r="A41" s="262"/>
      <c r="B41" s="251" t="str">
        <f>装饰工程!B46</f>
        <v>景观区一</v>
      </c>
      <c r="C41" s="256"/>
      <c r="D41" s="258"/>
      <c r="E41" s="260"/>
      <c r="F41" s="260"/>
      <c r="G41" s="260"/>
      <c r="H41" s="260"/>
      <c r="I41" s="260"/>
      <c r="J41" s="269"/>
      <c r="K41" s="278"/>
      <c r="L41" s="269"/>
      <c r="M41" s="271"/>
      <c r="N41" s="271"/>
      <c r="R41" s="243">
        <f t="shared" si="4"/>
        <v>0</v>
      </c>
    </row>
    <row r="42" customHeight="1" spans="1:18">
      <c r="A42" s="262"/>
      <c r="B42" s="251" t="str">
        <f>装饰工程!B47</f>
        <v>钢化玻璃双开门</v>
      </c>
      <c r="C42" s="256" t="str">
        <f>装饰工程!C47</f>
        <v>1.GL-01钢化玻璃双开门
2.详见MB-07/08
3.含定制不锈钢拉手，五金配件
4.其它说明：满足规范和设计图纸要求</v>
      </c>
      <c r="D42" s="258">
        <f t="shared" si="0"/>
        <v>5389.99824</v>
      </c>
      <c r="E42" s="260">
        <f>装饰工程!E47</f>
        <v>1</v>
      </c>
      <c r="F42" s="260">
        <v>5389.99824</v>
      </c>
      <c r="G42" s="260"/>
      <c r="H42" s="260">
        <v>0</v>
      </c>
      <c r="I42" s="260">
        <v>0</v>
      </c>
      <c r="J42" s="269">
        <f t="shared" si="1"/>
        <v>1</v>
      </c>
      <c r="K42" s="270">
        <v>0</v>
      </c>
      <c r="L42" s="269">
        <f t="shared" si="2"/>
        <v>0</v>
      </c>
      <c r="M42" s="271">
        <f t="shared" si="5"/>
        <v>0</v>
      </c>
      <c r="N42" s="271"/>
      <c r="R42" s="243">
        <f t="shared" si="4"/>
        <v>8084.99736</v>
      </c>
    </row>
    <row r="43" customHeight="1" spans="1:18">
      <c r="A43" s="262"/>
      <c r="B43" s="251" t="str">
        <f>装饰工程!B48</f>
        <v>墙面装饰板</v>
      </c>
      <c r="C43" s="256" t="str">
        <f>装饰工程!C48</f>
        <v>1.50*50*5镀锌方钢龙骨，@600*600
2.双层12厚阻燃板基层
3.WD-01木饰面面层
4.其它说明：满足规范和设计图纸要求</v>
      </c>
      <c r="D43" s="258">
        <f t="shared" si="0"/>
        <v>5578.0062</v>
      </c>
      <c r="E43" s="260">
        <f>装饰工程!E48</f>
        <v>5.2</v>
      </c>
      <c r="F43" s="260">
        <v>1072.6935</v>
      </c>
      <c r="G43" s="260"/>
      <c r="H43" s="260">
        <v>0</v>
      </c>
      <c r="I43" s="260">
        <v>0</v>
      </c>
      <c r="J43" s="269">
        <f t="shared" si="1"/>
        <v>5.2</v>
      </c>
      <c r="K43" s="270">
        <v>0.65</v>
      </c>
      <c r="L43" s="269">
        <f t="shared" si="2"/>
        <v>3625.70403</v>
      </c>
      <c r="M43" s="271">
        <f t="shared" si="5"/>
        <v>3625.70403</v>
      </c>
      <c r="N43" s="271"/>
      <c r="R43" s="243">
        <f t="shared" si="4"/>
        <v>1609.04025</v>
      </c>
    </row>
    <row r="44" customHeight="1" spans="1:18">
      <c r="A44" s="262"/>
      <c r="B44" s="251" t="str">
        <f>装饰工程!B49</f>
        <v>屏风</v>
      </c>
      <c r="C44" s="256" t="str">
        <f>装饰工程!C49</f>
        <v>1.屏风
2.部位：景观区一
3.做法详见1F-DT-07节点12
4.其它说明：满足规范和设计图纸要求</v>
      </c>
      <c r="D44" s="258">
        <f t="shared" si="0"/>
        <v>95978.858896251</v>
      </c>
      <c r="E44" s="260">
        <f>装饰工程!E49</f>
        <v>30.93</v>
      </c>
      <c r="F44" s="260">
        <v>3103.0992207</v>
      </c>
      <c r="G44" s="260"/>
      <c r="H44" s="260">
        <v>0</v>
      </c>
      <c r="I44" s="260">
        <v>0</v>
      </c>
      <c r="J44" s="269">
        <f t="shared" si="1"/>
        <v>30.93</v>
      </c>
      <c r="K44" s="270">
        <v>0</v>
      </c>
      <c r="L44" s="269">
        <f t="shared" si="2"/>
        <v>0</v>
      </c>
      <c r="M44" s="271">
        <f t="shared" si="5"/>
        <v>0</v>
      </c>
      <c r="N44" s="271"/>
      <c r="R44" s="243">
        <f t="shared" si="4"/>
        <v>4654.64883105</v>
      </c>
    </row>
    <row r="45" customHeight="1" spans="1:18">
      <c r="A45" s="262"/>
      <c r="B45" s="251" t="str">
        <f>装饰工程!B50</f>
        <v>石材踢脚线</v>
      </c>
      <c r="C45" s="256" t="str">
        <f>装饰工程!C50</f>
        <v>1.ST-01踢脚线
2.其它说明：满足规范和设计图纸要求</v>
      </c>
      <c r="D45" s="258">
        <f t="shared" si="0"/>
        <v>747.921213</v>
      </c>
      <c r="E45" s="260">
        <f>装饰工程!E50</f>
        <v>0.78</v>
      </c>
      <c r="F45" s="260">
        <v>958.87335</v>
      </c>
      <c r="G45" s="260"/>
      <c r="H45" s="260">
        <v>0</v>
      </c>
      <c r="I45" s="260">
        <v>0</v>
      </c>
      <c r="J45" s="269">
        <f t="shared" si="1"/>
        <v>0.78</v>
      </c>
      <c r="K45" s="270">
        <v>0.65</v>
      </c>
      <c r="L45" s="269">
        <f t="shared" si="2"/>
        <v>486.14878845</v>
      </c>
      <c r="M45" s="271">
        <f t="shared" si="5"/>
        <v>486.14878845</v>
      </c>
      <c r="N45" s="271"/>
      <c r="R45" s="243">
        <f t="shared" si="4"/>
        <v>1438.310025</v>
      </c>
    </row>
    <row r="46" customHeight="1" spans="1:18">
      <c r="A46" s="262"/>
      <c r="B46" s="251" t="str">
        <f>装饰工程!B51</f>
        <v>景观区二</v>
      </c>
      <c r="C46" s="256"/>
      <c r="D46" s="258"/>
      <c r="E46" s="260"/>
      <c r="F46" s="260"/>
      <c r="G46" s="260"/>
      <c r="H46" s="260"/>
      <c r="I46" s="260"/>
      <c r="J46" s="269"/>
      <c r="K46" s="278"/>
      <c r="L46" s="269"/>
      <c r="M46" s="271"/>
      <c r="N46" s="271"/>
      <c r="R46" s="243">
        <f t="shared" si="4"/>
        <v>0</v>
      </c>
    </row>
    <row r="47" customHeight="1" spans="1:18">
      <c r="A47" s="262"/>
      <c r="B47" s="251" t="str">
        <f>装饰工程!B52</f>
        <v>屏风</v>
      </c>
      <c r="C47" s="256" t="str">
        <f>装饰工程!C52</f>
        <v>1.屏风
2.部位：景观区二
3.做法详见1F-DT-07
4.其它说明：满足规范和设计图纸要求</v>
      </c>
      <c r="D47" s="258">
        <f t="shared" si="0"/>
        <v>95699.579966388</v>
      </c>
      <c r="E47" s="260">
        <f>装饰工程!E52</f>
        <v>30.84</v>
      </c>
      <c r="F47" s="260">
        <v>3103.0992207</v>
      </c>
      <c r="G47" s="260"/>
      <c r="H47" s="260">
        <v>0</v>
      </c>
      <c r="I47" s="260">
        <v>0</v>
      </c>
      <c r="J47" s="269">
        <f t="shared" si="1"/>
        <v>30.84</v>
      </c>
      <c r="K47" s="270"/>
      <c r="L47" s="269">
        <f t="shared" si="2"/>
        <v>0</v>
      </c>
      <c r="M47" s="271">
        <f t="shared" si="5"/>
        <v>0</v>
      </c>
      <c r="N47" s="271"/>
      <c r="R47" s="243">
        <f t="shared" si="4"/>
        <v>4654.64883105</v>
      </c>
    </row>
    <row r="48" customHeight="1" spans="1:18">
      <c r="A48" s="262"/>
      <c r="B48" s="251" t="str">
        <f>装饰工程!B53</f>
        <v>钢化玻璃双开门</v>
      </c>
      <c r="C48" s="256" t="str">
        <f>装饰工程!C53</f>
        <v>1.GL-01钢化玻璃双开门
2.详见MB-07/08
3.含定制不锈钢拉手、五金配件
4.其它说明：满足规范和设计图纸要求</v>
      </c>
      <c r="D48" s="258">
        <f t="shared" si="0"/>
        <v>5389.99824</v>
      </c>
      <c r="E48" s="260">
        <f>装饰工程!E53</f>
        <v>1</v>
      </c>
      <c r="F48" s="260">
        <v>5389.99824</v>
      </c>
      <c r="G48" s="260"/>
      <c r="H48" s="260">
        <v>0</v>
      </c>
      <c r="I48" s="260">
        <v>0</v>
      </c>
      <c r="J48" s="269">
        <f t="shared" si="1"/>
        <v>1</v>
      </c>
      <c r="K48" s="270"/>
      <c r="L48" s="269">
        <f t="shared" si="2"/>
        <v>0</v>
      </c>
      <c r="M48" s="271">
        <f t="shared" si="5"/>
        <v>0</v>
      </c>
      <c r="N48" s="271"/>
      <c r="R48" s="243">
        <f t="shared" si="4"/>
        <v>8084.99736</v>
      </c>
    </row>
    <row r="49" customHeight="1" spans="1:18">
      <c r="A49" s="262"/>
      <c r="B49" s="251" t="str">
        <f>装饰工程!B54</f>
        <v>墙面装饰板</v>
      </c>
      <c r="C49" s="256" t="str">
        <f>装饰工程!C54</f>
        <v>1.50*50*5镀锌方钢龙骨/45*25*4镀锌方钢龙骨，@600*600
2.12厚阻燃板基层
3.WD-01木饰面面层
4.其它说明：满足规范和设计图纸要求</v>
      </c>
      <c r="D49" s="258">
        <f t="shared" si="0"/>
        <v>24489.592605</v>
      </c>
      <c r="E49" s="260">
        <f>装饰工程!E54</f>
        <v>22.83</v>
      </c>
      <c r="F49" s="260">
        <v>1072.6935</v>
      </c>
      <c r="G49" s="260"/>
      <c r="H49" s="260">
        <v>0</v>
      </c>
      <c r="I49" s="260">
        <v>0</v>
      </c>
      <c r="J49" s="269">
        <f t="shared" si="1"/>
        <v>22.83</v>
      </c>
      <c r="K49" s="270">
        <v>0.65</v>
      </c>
      <c r="L49" s="269">
        <f t="shared" si="2"/>
        <v>15918.23519325</v>
      </c>
      <c r="M49" s="271">
        <f t="shared" si="5"/>
        <v>15918.23519325</v>
      </c>
      <c r="N49" s="271"/>
      <c r="R49" s="243">
        <f t="shared" si="4"/>
        <v>1609.04025</v>
      </c>
    </row>
    <row r="50" customHeight="1" spans="1:18">
      <c r="A50" s="262"/>
      <c r="B50" s="251" t="str">
        <f>装饰工程!B55</f>
        <v>石材墙面</v>
      </c>
      <c r="C50" s="256" t="str">
        <f>装饰工程!C55</f>
        <v>1.ST-03 石材
2.50*50*5镀锌角铁（预埋件）+M12膨胀螺栓+不锈钢石材干挂件+石材
3.作法详见1F-DT-08节点13
4.其它说明：满足规范和设计图纸要求</v>
      </c>
      <c r="D50" s="258">
        <f t="shared" si="0"/>
        <v>4352.2286925</v>
      </c>
      <c r="E50" s="260">
        <f>装饰工程!E55</f>
        <v>3.7</v>
      </c>
      <c r="F50" s="260">
        <v>1176.278025</v>
      </c>
      <c r="G50" s="260"/>
      <c r="H50" s="260">
        <v>0</v>
      </c>
      <c r="I50" s="260">
        <v>0</v>
      </c>
      <c r="J50" s="269">
        <f t="shared" si="1"/>
        <v>3.7</v>
      </c>
      <c r="K50" s="270">
        <v>0.65</v>
      </c>
      <c r="L50" s="269">
        <f t="shared" si="2"/>
        <v>2828.948650125</v>
      </c>
      <c r="M50" s="271">
        <f t="shared" si="5"/>
        <v>2828.948650125</v>
      </c>
      <c r="N50" s="271"/>
      <c r="R50" s="243">
        <f t="shared" si="4"/>
        <v>1764.4170375</v>
      </c>
    </row>
    <row r="51" customHeight="1" spans="1:18">
      <c r="A51" s="262"/>
      <c r="B51" s="251" t="str">
        <f>装饰工程!B56</f>
        <v>金属扶手、栏杆、栏板</v>
      </c>
      <c r="C51" s="256" t="str">
        <f>装饰工程!C56</f>
        <v>1.不锈钢扶手，含五金配件
2.作法详见1F-DT-08节点13
3.其它说明：满足规范和设计图纸要求</v>
      </c>
      <c r="D51" s="258">
        <f t="shared" si="0"/>
        <v>3345.624576</v>
      </c>
      <c r="E51" s="260">
        <f>装饰工程!E56</f>
        <v>3.36</v>
      </c>
      <c r="F51" s="260">
        <v>995.7216</v>
      </c>
      <c r="G51" s="260"/>
      <c r="H51" s="260">
        <v>0</v>
      </c>
      <c r="I51" s="260">
        <v>0</v>
      </c>
      <c r="J51" s="269">
        <f t="shared" si="1"/>
        <v>3.36</v>
      </c>
      <c r="K51" s="270"/>
      <c r="L51" s="269">
        <f t="shared" si="2"/>
        <v>0</v>
      </c>
      <c r="M51" s="271">
        <f t="shared" si="5"/>
        <v>0</v>
      </c>
      <c r="N51" s="271"/>
      <c r="R51" s="243">
        <f t="shared" si="4"/>
        <v>1493.5824</v>
      </c>
    </row>
    <row r="52" customHeight="1" spans="1:18">
      <c r="A52" s="262"/>
      <c r="B52" s="251" t="str">
        <f>装饰工程!B57</f>
        <v>石材踢脚线</v>
      </c>
      <c r="C52" s="256" t="str">
        <f>装饰工程!C57</f>
        <v>1.12mm厚阻燃板基层
2.ST-05踢脚线
3.作法详见1F-DT-03节点05
4.其它说明：满足规范和设计图纸要求</v>
      </c>
      <c r="D52" s="258">
        <f t="shared" si="0"/>
        <v>652.033878</v>
      </c>
      <c r="E52" s="260">
        <f>装饰工程!E57</f>
        <v>0.68</v>
      </c>
      <c r="F52" s="260">
        <v>958.87335</v>
      </c>
      <c r="G52" s="260"/>
      <c r="H52" s="260">
        <v>0</v>
      </c>
      <c r="I52" s="260">
        <v>0</v>
      </c>
      <c r="J52" s="269">
        <f t="shared" si="1"/>
        <v>0.68</v>
      </c>
      <c r="K52" s="270">
        <v>0.65</v>
      </c>
      <c r="L52" s="269">
        <f t="shared" si="2"/>
        <v>423.8220207</v>
      </c>
      <c r="M52" s="271">
        <f t="shared" si="5"/>
        <v>423.8220207</v>
      </c>
      <c r="N52" s="271"/>
      <c r="R52" s="243">
        <f t="shared" si="4"/>
        <v>1438.310025</v>
      </c>
    </row>
    <row r="53" customHeight="1" spans="1:18">
      <c r="A53" s="262"/>
      <c r="B53" s="251" t="str">
        <f>装饰工程!B58</f>
        <v>石材踢脚线</v>
      </c>
      <c r="C53" s="256" t="str">
        <f>装饰工程!C58</f>
        <v>1.12mm厚阻燃板基层
2.ST-01踢脚线
3.其它说明：满足规范和设计图纸要求</v>
      </c>
      <c r="D53" s="258">
        <f t="shared" si="0"/>
        <v>517.791609</v>
      </c>
      <c r="E53" s="260">
        <f>装饰工程!E58</f>
        <v>0.54</v>
      </c>
      <c r="F53" s="260">
        <v>958.87335</v>
      </c>
      <c r="G53" s="260"/>
      <c r="H53" s="260">
        <v>0</v>
      </c>
      <c r="I53" s="260">
        <v>0</v>
      </c>
      <c r="J53" s="269">
        <f t="shared" si="1"/>
        <v>0.54</v>
      </c>
      <c r="K53" s="270">
        <v>0.65</v>
      </c>
      <c r="L53" s="269">
        <f t="shared" si="2"/>
        <v>336.56454585</v>
      </c>
      <c r="M53" s="271">
        <f t="shared" si="5"/>
        <v>336.56454585</v>
      </c>
      <c r="N53" s="271"/>
      <c r="R53" s="243">
        <f t="shared" si="4"/>
        <v>1438.310025</v>
      </c>
    </row>
    <row r="54" customHeight="1" spans="1:18">
      <c r="A54" s="262"/>
      <c r="B54" s="251" t="str">
        <f>装饰工程!B59</f>
        <v>玻璃栏板</v>
      </c>
      <c r="C54" s="256" t="str">
        <f>装饰工程!C59</f>
        <v>1.GL-01钢化玻璃
2.热镀锌U型槽+MT-03不锈钢（间距1600一根不锈钢立柱）+钢化玻璃+不锈钢扶手
3.其它说明：满足规范和设计图纸要求</v>
      </c>
      <c r="D54" s="258">
        <f t="shared" si="0"/>
        <v>6032.107656</v>
      </c>
      <c r="E54" s="260">
        <f>装饰工程!E59</f>
        <v>4.8</v>
      </c>
      <c r="F54" s="260">
        <v>1256.689095</v>
      </c>
      <c r="G54" s="260"/>
      <c r="H54" s="260">
        <v>0</v>
      </c>
      <c r="I54" s="260">
        <v>0</v>
      </c>
      <c r="J54" s="269">
        <f t="shared" si="1"/>
        <v>4.8</v>
      </c>
      <c r="K54" s="270">
        <v>0</v>
      </c>
      <c r="L54" s="269">
        <f t="shared" si="2"/>
        <v>0</v>
      </c>
      <c r="M54" s="271">
        <f t="shared" si="5"/>
        <v>0</v>
      </c>
      <c r="N54" s="271"/>
      <c r="R54" s="243">
        <f t="shared" si="4"/>
        <v>1885.0336425</v>
      </c>
    </row>
    <row r="55" customHeight="1" spans="1:18">
      <c r="A55" s="262"/>
      <c r="B55" s="251" t="str">
        <f>装饰工程!B60</f>
        <v>MT-03不锈钢线条</v>
      </c>
      <c r="C55" s="256" t="str">
        <f>装饰工程!C60</f>
        <v>1.MT-03不锈钢线条
2.其它满足规范和设计图纸要求</v>
      </c>
      <c r="D55" s="258">
        <f t="shared" si="0"/>
        <v>487.93224375</v>
      </c>
      <c r="E55" s="260">
        <f>装饰工程!E60</f>
        <v>5.25</v>
      </c>
      <c r="F55" s="260">
        <v>92.939475</v>
      </c>
      <c r="G55" s="260"/>
      <c r="H55" s="260">
        <v>0</v>
      </c>
      <c r="I55" s="260">
        <v>0</v>
      </c>
      <c r="J55" s="269">
        <f t="shared" si="1"/>
        <v>5.25</v>
      </c>
      <c r="K55" s="270">
        <v>0</v>
      </c>
      <c r="L55" s="269">
        <f t="shared" si="2"/>
        <v>0</v>
      </c>
      <c r="M55" s="271">
        <f t="shared" si="5"/>
        <v>0</v>
      </c>
      <c r="N55" s="271"/>
      <c r="R55" s="243">
        <f t="shared" si="4"/>
        <v>139.4092125</v>
      </c>
    </row>
    <row r="56" customHeight="1" spans="1:18">
      <c r="A56" s="262"/>
      <c r="B56" s="251" t="str">
        <f>装饰工程!B61</f>
        <v>墙面装饰板</v>
      </c>
      <c r="C56" s="256" t="str">
        <f>装饰工程!C61</f>
        <v>1.ST-01石材
2.其它说明：详见相关设计、要求及规范</v>
      </c>
      <c r="D56" s="258">
        <f t="shared" si="0"/>
        <v>1687.617096</v>
      </c>
      <c r="E56" s="260">
        <f>装饰工程!E61</f>
        <v>1.76</v>
      </c>
      <c r="F56" s="260">
        <v>958.87335</v>
      </c>
      <c r="G56" s="260"/>
      <c r="H56" s="260">
        <v>0</v>
      </c>
      <c r="I56" s="260">
        <v>0</v>
      </c>
      <c r="J56" s="269">
        <f t="shared" si="1"/>
        <v>1.76</v>
      </c>
      <c r="K56" s="270">
        <v>0.65</v>
      </c>
      <c r="L56" s="269">
        <f t="shared" si="2"/>
        <v>1096.9511124</v>
      </c>
      <c r="M56" s="271">
        <f t="shared" si="5"/>
        <v>1096.9511124</v>
      </c>
      <c r="N56" s="271"/>
      <c r="R56" s="243">
        <f t="shared" si="4"/>
        <v>1438.310025</v>
      </c>
    </row>
    <row r="57" customHeight="1" spans="1:18">
      <c r="A57" s="262"/>
      <c r="B57" s="251" t="str">
        <f>装饰工程!B62</f>
        <v>1层家具</v>
      </c>
      <c r="C57" s="256"/>
      <c r="D57" s="258"/>
      <c r="E57" s="260"/>
      <c r="F57" s="260"/>
      <c r="G57" s="260"/>
      <c r="H57" s="260"/>
      <c r="I57" s="260"/>
      <c r="J57" s="269"/>
      <c r="K57" s="278"/>
      <c r="L57" s="269"/>
      <c r="M57" s="271"/>
      <c r="N57" s="271"/>
      <c r="R57" s="243">
        <f t="shared" si="4"/>
        <v>0</v>
      </c>
    </row>
    <row r="58" ht="24" customHeight="1" spans="1:18">
      <c r="A58" s="262"/>
      <c r="B58" s="251" t="str">
        <f>装饰工程!B63</f>
        <v>服务台</v>
      </c>
      <c r="C58" s="263" t="str">
        <f>装饰工程!C63</f>
        <v>1.接待前台
2.部位：大堂南侧
3.做法详见01/1F-JJ-01
4.其它说明：满足规范和设计图纸要求</v>
      </c>
      <c r="D58" s="258">
        <f>E58*F58</f>
        <v>35524.33332</v>
      </c>
      <c r="E58" s="260">
        <v>7</v>
      </c>
      <c r="F58" s="260">
        <v>5074.90476</v>
      </c>
      <c r="G58" s="264"/>
      <c r="H58" s="260"/>
      <c r="I58" s="260"/>
      <c r="J58" s="269"/>
      <c r="K58" s="270">
        <v>0</v>
      </c>
      <c r="L58" s="269">
        <f>J58*F58*K58</f>
        <v>0</v>
      </c>
      <c r="M58" s="271"/>
      <c r="N58" s="271"/>
      <c r="R58" s="243">
        <f t="shared" si="4"/>
        <v>7612.35714</v>
      </c>
    </row>
    <row r="59" customHeight="1" spans="1:18">
      <c r="A59" s="262"/>
      <c r="B59" s="251" t="str">
        <f>装饰工程!B66</f>
        <v>-1层地面</v>
      </c>
      <c r="C59" s="256"/>
      <c r="D59" s="258"/>
      <c r="E59" s="260"/>
      <c r="F59" s="260"/>
      <c r="G59" s="260"/>
      <c r="H59" s="260"/>
      <c r="I59" s="260"/>
      <c r="J59" s="269"/>
      <c r="K59" s="278"/>
      <c r="L59" s="269"/>
      <c r="M59" s="271"/>
      <c r="N59" s="271"/>
      <c r="R59" s="243">
        <f t="shared" si="4"/>
        <v>0</v>
      </c>
    </row>
    <row r="60" customHeight="1" spans="1:18">
      <c r="A60" s="262"/>
      <c r="B60" s="251" t="str">
        <f>装饰工程!B67</f>
        <v>石材楼地面</v>
      </c>
      <c r="C60" s="256" t="str">
        <f>装饰工程!C67</f>
        <v>1.ST01石材地面
2.石材背面刷胶封闭（石材六面防护）
3.5-8mm厚石材专用粘结剂/水泥砂浆粘贴层(根据项目需求)
4.20mm厚1:3干硬性水泥砂浆调平层
5.界面剂、水泥砂浆一道
6.10mm厚1:2.5水泥砂浆找平层
7.钢筋混凝土楼板
8.部位：VIP室、财务签约室、沙盘区、3D影音室、台球室、乒乓球室、走道
9.其它说明：满足规范和设计图纸要求</v>
      </c>
      <c r="D60" s="258">
        <f t="shared" si="0"/>
        <v>413517.48537825</v>
      </c>
      <c r="E60" s="260">
        <f>装饰工程!E67</f>
        <v>651.19</v>
      </c>
      <c r="F60" s="260">
        <v>635.018175</v>
      </c>
      <c r="G60" s="260"/>
      <c r="H60" s="260">
        <v>0</v>
      </c>
      <c r="I60" s="260">
        <v>0</v>
      </c>
      <c r="J60" s="269">
        <f t="shared" si="1"/>
        <v>651.19</v>
      </c>
      <c r="K60" s="270">
        <v>0.8</v>
      </c>
      <c r="L60" s="269">
        <f t="shared" si="2"/>
        <v>330813.9883026</v>
      </c>
      <c r="M60" s="271">
        <f t="shared" ref="M59:M90" si="6">L60+I60</f>
        <v>330813.9883026</v>
      </c>
      <c r="N60" s="271"/>
      <c r="R60" s="243">
        <f t="shared" si="4"/>
        <v>952.5272625</v>
      </c>
    </row>
    <row r="61" customHeight="1" spans="1:18">
      <c r="A61" s="262"/>
      <c r="B61" s="251" t="str">
        <f>装饰工程!B68</f>
        <v>过门石</v>
      </c>
      <c r="C61" s="256" t="str">
        <f>装饰工程!C68</f>
        <v>1.ST01石材地面
2.石材背面刷胶封闭（石材六面防护）
3.5-8mm厚石材专用粘结剂/水泥砂浆粘贴层(根据项目需求)
4.20mm厚1:3干硬性水泥砂浆调平层
5.界面剂、水泥砂浆一道
6.10mm厚1:2.5水泥砂浆找平层
7.钢筋混凝土楼板
8.部位：过门石
9.其它说明：满足规范和设计图纸要求</v>
      </c>
      <c r="D61" s="258">
        <f t="shared" si="0"/>
        <v>1661.921583</v>
      </c>
      <c r="E61" s="260">
        <f>装饰工程!E68</f>
        <v>2.18</v>
      </c>
      <c r="F61" s="260">
        <v>762.34935</v>
      </c>
      <c r="G61" s="260"/>
      <c r="H61" s="260">
        <v>0</v>
      </c>
      <c r="I61" s="260">
        <v>0</v>
      </c>
      <c r="J61" s="269">
        <f t="shared" si="1"/>
        <v>2.18</v>
      </c>
      <c r="K61" s="270">
        <v>0.8</v>
      </c>
      <c r="L61" s="269">
        <f t="shared" si="2"/>
        <v>1329.5372664</v>
      </c>
      <c r="M61" s="271">
        <f t="shared" si="6"/>
        <v>1329.5372664</v>
      </c>
      <c r="N61" s="271"/>
      <c r="R61" s="243">
        <f t="shared" si="4"/>
        <v>1143.524025</v>
      </c>
    </row>
    <row r="62" customHeight="1" spans="1:18">
      <c r="A62" s="262"/>
      <c r="B62" s="251" t="str">
        <f>装饰工程!B69</f>
        <v>石材楼地面</v>
      </c>
      <c r="C62" s="256" t="str">
        <f>装饰工程!C69</f>
        <v>1.ST01石材地面
2.石材背面刷胶封闭（石材六面防护）
3.5-8mm厚石材专用粘结剂/水泥砂浆粘贴层(根据项目需求)
4.20mm厚1:3干硬性水泥砂浆调平层
5.界面剂、水泥砂浆一道
6.10mm厚1:2.5水泥砂浆找平层
7.钢筋混凝土楼板
8.部位：楼梯
9.其它说明：满足规范和设计图纸要求</v>
      </c>
      <c r="D62" s="258">
        <f t="shared" si="0"/>
        <v>14326.010028</v>
      </c>
      <c r="E62" s="260">
        <f>装饰工程!E69</f>
        <v>15.04</v>
      </c>
      <c r="F62" s="260">
        <v>952.5272625</v>
      </c>
      <c r="G62" s="260"/>
      <c r="H62" s="260">
        <v>0</v>
      </c>
      <c r="I62" s="260">
        <v>0</v>
      </c>
      <c r="J62" s="269">
        <f t="shared" si="1"/>
        <v>15.04</v>
      </c>
      <c r="K62" s="270">
        <v>0.8</v>
      </c>
      <c r="L62" s="269">
        <f t="shared" si="2"/>
        <v>11460.8080224</v>
      </c>
      <c r="M62" s="271">
        <f t="shared" si="6"/>
        <v>11460.8080224</v>
      </c>
      <c r="N62" s="271"/>
      <c r="R62" s="243">
        <f t="shared" si="4"/>
        <v>1428.79089375</v>
      </c>
    </row>
    <row r="63" customHeight="1" spans="1:18">
      <c r="A63" s="262"/>
      <c r="B63" s="251" t="str">
        <f>装饰工程!B70</f>
        <v>瓷砖楼地面（无防水）</v>
      </c>
      <c r="C63" s="256" t="str">
        <f>装饰工程!C70</f>
        <v>1.CT01瓷砖地面
2.瓷砖填缝剂处理
3.瓷砖(低吸水率硬质砖石需要背覆胶处理)
4.5mm专用瓷砖胶泥粘结层/水泥砂浆粘贴层
5.20mm厚1:3干硬性水泥砂浆调平层
6.界面剂、水泥砂浆一道
7.15mm厚1:2.5水泥砂浆找平层
8.钢筋混凝土楼板
9.部位：总监办公室、经理办公室、按揭办公室、休息室、会议室、储藏室、麻将室、更衣间、工具室、走道
10.其它说明：满足规范和设计图纸要求</v>
      </c>
      <c r="D63" s="258">
        <f t="shared" si="0"/>
        <v>32001.5669235</v>
      </c>
      <c r="E63" s="260">
        <f>装饰工程!E70</f>
        <v>116.14</v>
      </c>
      <c r="F63" s="260">
        <v>275.543025</v>
      </c>
      <c r="G63" s="260"/>
      <c r="H63" s="260">
        <v>0</v>
      </c>
      <c r="I63" s="260">
        <v>0</v>
      </c>
      <c r="J63" s="269">
        <f t="shared" si="1"/>
        <v>116.14</v>
      </c>
      <c r="K63" s="270">
        <v>0.8</v>
      </c>
      <c r="L63" s="269">
        <f t="shared" si="2"/>
        <v>25601.2535388</v>
      </c>
      <c r="M63" s="271">
        <f t="shared" si="6"/>
        <v>25601.2535388</v>
      </c>
      <c r="N63" s="271"/>
      <c r="R63" s="243">
        <f t="shared" si="4"/>
        <v>413.3145375</v>
      </c>
    </row>
    <row r="64" customHeight="1" spans="1:18">
      <c r="A64" s="262"/>
      <c r="B64" s="251" t="str">
        <f>装饰工程!B71</f>
        <v>瓷砖楼地面（有防水）</v>
      </c>
      <c r="C64" s="256" t="str">
        <f>装饰工程!C71</f>
        <v>1.CT02瓷砖地面
2.瓷砖填缝剂处理
3.瓷砖(低吸水率硬质砖石需要背覆胶处理)
4.5mm专用瓷砖胶泥粘结层/水泥砂浆粘贴层
5.20mm厚(最薄处)M20聚合物水泥砂浆保护兼找坡层(向地漏位置找坡)
6.1.5mm厚JS-Ⅱ防水涂料(附加层(内贴玻璃纤维布))
7.界面剂、水泥砂浆一道,四周墙角水泥砂浆做圆角
8.15mm厚1:2.5水泥砂浆找平层
9.钢筋混凝土楼板
10.部位：卫生间、保洁工具室
11.其它说明：满足规范和设计图纸要求</v>
      </c>
      <c r="D64" s="258">
        <f t="shared" si="0"/>
        <v>11312.1752835</v>
      </c>
      <c r="E64" s="260">
        <f>装饰工程!E71</f>
        <v>30.94</v>
      </c>
      <c r="F64" s="260">
        <v>365.616525</v>
      </c>
      <c r="G64" s="260"/>
      <c r="H64" s="260">
        <v>0</v>
      </c>
      <c r="I64" s="260">
        <v>0</v>
      </c>
      <c r="J64" s="269">
        <f t="shared" si="1"/>
        <v>30.94</v>
      </c>
      <c r="K64" s="270">
        <v>0.8</v>
      </c>
      <c r="L64" s="269">
        <f t="shared" si="2"/>
        <v>9049.7402268</v>
      </c>
      <c r="M64" s="271">
        <f t="shared" si="6"/>
        <v>9049.7402268</v>
      </c>
      <c r="N64" s="271"/>
      <c r="R64" s="243">
        <f t="shared" si="4"/>
        <v>548.4247875</v>
      </c>
    </row>
    <row r="65" customHeight="1" spans="1:18">
      <c r="A65" s="262"/>
      <c r="B65" s="251" t="str">
        <f>装饰工程!B72</f>
        <v>瓷砖楼地面（有防水）</v>
      </c>
      <c r="C65" s="256" t="str">
        <f>装饰工程!C72</f>
        <v>1.CT04瓷砖地面
2.瓷砖填缝剂处理
3.瓷砖(低吸水率硬质砖石需要背覆胶处理)
4.5mm专用瓷砖胶泥粘结层/水泥砂浆粘贴层
5.20mm厚(最薄处)M20聚合物水泥砂浆保护兼找坡层(向地漏位置找坡)
6.1.5mm厚JS-Ⅱ防水涂料(附加层(内贴玻璃纤维布))
7.界面剂、水泥砂浆一道,四周墙角水泥砂浆做圆角
8.15mm厚1:2.5水泥砂浆找平层
9.钢筋混凝土楼板
10.部位：水景区
11.其它说明：满足规范和设计图纸要求</v>
      </c>
      <c r="D65" s="258">
        <f t="shared" si="0"/>
        <v>10617.503886</v>
      </c>
      <c r="E65" s="260">
        <f>装饰工程!E72</f>
        <v>29.04</v>
      </c>
      <c r="F65" s="260">
        <v>365.616525</v>
      </c>
      <c r="G65" s="260"/>
      <c r="H65" s="260">
        <v>0</v>
      </c>
      <c r="I65" s="260">
        <v>0</v>
      </c>
      <c r="J65" s="269">
        <f t="shared" si="1"/>
        <v>29.04</v>
      </c>
      <c r="K65" s="270">
        <v>0.8</v>
      </c>
      <c r="L65" s="269">
        <f t="shared" si="2"/>
        <v>8494.0031088</v>
      </c>
      <c r="M65" s="271">
        <f t="shared" si="6"/>
        <v>8494.0031088</v>
      </c>
      <c r="N65" s="271"/>
      <c r="R65" s="243">
        <f t="shared" si="4"/>
        <v>548.4247875</v>
      </c>
    </row>
    <row r="66" customHeight="1" spans="1:18">
      <c r="A66" s="262"/>
      <c r="B66" s="251" t="str">
        <f>装饰工程!B73</f>
        <v>细石楼地面</v>
      </c>
      <c r="C66" s="256" t="str">
        <f>装饰工程!C73</f>
        <v>1.细石楼地面
2.细石
2.20mm厚(最薄处)M20聚合物水泥砂浆保护兼找坡层(向地漏位置找坡)
3.1.5mm厚JS-Ⅱ防水涂料(附加层(内贴玻璃纤维布))
4.界面剂、水泥砂浆一道,四周墙角水泥砂浆做圆角
5.15mm厚1:2.5水泥砂浆找平层
6.钢筋混凝土楼板
7.部位：卫生间
8.其它说明：满足规范和设计图纸要求</v>
      </c>
      <c r="D66" s="258">
        <f t="shared" si="0"/>
        <v>562.009509</v>
      </c>
      <c r="E66" s="260">
        <f>装饰工程!E73</f>
        <v>3.72</v>
      </c>
      <c r="F66" s="260">
        <v>151.077825</v>
      </c>
      <c r="G66" s="260"/>
      <c r="H66" s="260">
        <v>0</v>
      </c>
      <c r="I66" s="260">
        <v>0</v>
      </c>
      <c r="J66" s="269">
        <f t="shared" si="1"/>
        <v>3.72</v>
      </c>
      <c r="K66" s="270">
        <v>0.8</v>
      </c>
      <c r="L66" s="269">
        <f t="shared" si="2"/>
        <v>449.6076072</v>
      </c>
      <c r="M66" s="271">
        <f t="shared" si="6"/>
        <v>449.6076072</v>
      </c>
      <c r="N66" s="271"/>
      <c r="R66" s="243">
        <f t="shared" si="4"/>
        <v>226.6167375</v>
      </c>
    </row>
    <row r="67" customHeight="1" spans="1:18">
      <c r="A67" s="262"/>
      <c r="B67" s="251" t="str">
        <f>装饰工程!B74</f>
        <v>鹅卵石楼地面</v>
      </c>
      <c r="C67" s="256" t="str">
        <f>装饰工程!C74</f>
        <v>1.鹅卵石楼地面
2.鹅卵石
3.20mm厚1:3干硬性水泥砂浆调平层
4.界面剂、水泥砂浆一道
5.15mm厚1:2.5水泥砂浆找平层
6.钢筋混凝土楼板
7.部位：休息区、儿童区一侧
8.其它说明：满足规范和设计图纸要求</v>
      </c>
      <c r="D67" s="258">
        <f t="shared" si="0"/>
        <v>2840.91819</v>
      </c>
      <c r="E67" s="260">
        <f>装饰工程!E74</f>
        <v>8.36</v>
      </c>
      <c r="F67" s="260">
        <v>339.82275</v>
      </c>
      <c r="G67" s="260"/>
      <c r="H67" s="260">
        <v>0</v>
      </c>
      <c r="I67" s="260">
        <v>0</v>
      </c>
      <c r="J67" s="269">
        <f t="shared" si="1"/>
        <v>8.36</v>
      </c>
      <c r="K67" s="270">
        <v>0.8</v>
      </c>
      <c r="L67" s="269">
        <f t="shared" si="2"/>
        <v>2272.734552</v>
      </c>
      <c r="M67" s="271">
        <f t="shared" si="6"/>
        <v>2272.734552</v>
      </c>
      <c r="N67" s="271"/>
      <c r="R67" s="243">
        <f t="shared" si="4"/>
        <v>509.734125</v>
      </c>
    </row>
    <row r="68" customHeight="1" spans="1:18">
      <c r="A68" s="262"/>
      <c r="B68" s="251" t="str">
        <f>装饰工程!B75</f>
        <v>实木地板楼地面</v>
      </c>
      <c r="C68" s="256" t="str">
        <f>装饰工程!C75</f>
        <v>1.FL01木地板
2.双层9mm阻燃板（防火涂料三度）
3.40*40*2镀锌方通，双层，1000*1000间距
4.3mm厚铝膜防潮层
5.10mm厚1:2.5水泥砂浆找平层
6.钢筋混凝土楼板
7.部位：健身区
8.其它说明：满足规范和设计图纸要求</v>
      </c>
      <c r="D68" s="258">
        <f t="shared" si="0"/>
        <v>78396.35917725</v>
      </c>
      <c r="E68" s="260">
        <f>装饰工程!E75</f>
        <v>110.49</v>
      </c>
      <c r="F68" s="260">
        <v>709.533525</v>
      </c>
      <c r="G68" s="260"/>
      <c r="H68" s="260">
        <v>0</v>
      </c>
      <c r="I68" s="260">
        <v>0</v>
      </c>
      <c r="J68" s="269">
        <f t="shared" si="1"/>
        <v>110.49</v>
      </c>
      <c r="K68" s="270">
        <v>0.8</v>
      </c>
      <c r="L68" s="269">
        <f t="shared" si="2"/>
        <v>62717.0873418</v>
      </c>
      <c r="M68" s="271">
        <f t="shared" si="6"/>
        <v>62717.0873418</v>
      </c>
      <c r="N68" s="271"/>
      <c r="R68" s="243">
        <f t="shared" si="4"/>
        <v>1064.3002875</v>
      </c>
    </row>
    <row r="69" customHeight="1" spans="1:18">
      <c r="A69" s="262"/>
      <c r="B69" s="251" t="str">
        <f>装饰工程!B76</f>
        <v>木饰面地板楼地面</v>
      </c>
      <c r="C69" s="256" t="str">
        <f>装饰工程!C76</f>
        <v>1.WD01木饰面
2.双层12mm阻燃板
3.40*40*2镀锌方通，双层
4.10mm厚1:2.5水泥砂浆找平层
5.钢筋混凝土楼板
6.部位：水吧总台
7.其它说明：满足规范和设计图纸要求</v>
      </c>
      <c r="D69" s="258">
        <f t="shared" si="0"/>
        <v>14509.19905575</v>
      </c>
      <c r="E69" s="260">
        <f>装饰工程!E76</f>
        <v>12.67</v>
      </c>
      <c r="F69" s="260">
        <v>1145.161725</v>
      </c>
      <c r="G69" s="260"/>
      <c r="H69" s="260">
        <v>0</v>
      </c>
      <c r="I69" s="260">
        <v>0</v>
      </c>
      <c r="J69" s="269">
        <f t="shared" si="1"/>
        <v>12.67</v>
      </c>
      <c r="K69" s="270">
        <v>0.8</v>
      </c>
      <c r="L69" s="269">
        <f t="shared" si="2"/>
        <v>11607.3592446</v>
      </c>
      <c r="M69" s="271">
        <f t="shared" si="6"/>
        <v>11607.3592446</v>
      </c>
      <c r="N69" s="271"/>
      <c r="R69" s="243">
        <f t="shared" si="4"/>
        <v>1717.7425875</v>
      </c>
    </row>
    <row r="70" customHeight="1" spans="1:18">
      <c r="A70" s="262"/>
      <c r="B70" s="251" t="str">
        <f>装饰工程!B77</f>
        <v>实木地板楼地面</v>
      </c>
      <c r="C70" s="256" t="str">
        <f>装饰工程!C77</f>
        <v>1.FL01木地板(含3mm金属条）
2.3厚铝膜防潮垫
3.5mm自流平面层
4.20mm厚1:3水泥沙浆找平
5.界面剂、水泥砂浆一道
6.10mm厚1:2.5水泥砂浆找平层
7.钢筋混凝土楼板
8.部位：展示区
9.其它说明：满足规范和设计图纸要求</v>
      </c>
      <c r="D70" s="258">
        <f t="shared" ref="D70:D133" si="7">E70*F70</f>
        <v>13550.24382075</v>
      </c>
      <c r="E70" s="260">
        <f>装饰工程!E77</f>
        <v>31.43</v>
      </c>
      <c r="F70" s="260">
        <v>431.124525</v>
      </c>
      <c r="G70" s="260"/>
      <c r="H70" s="260">
        <v>0</v>
      </c>
      <c r="I70" s="260">
        <v>0</v>
      </c>
      <c r="J70" s="269">
        <f t="shared" ref="J70:J133" si="8">E70</f>
        <v>31.43</v>
      </c>
      <c r="K70" s="270">
        <v>0.8</v>
      </c>
      <c r="L70" s="269">
        <f t="shared" ref="L70:L133" si="9">J70*F70*K70</f>
        <v>10840.1950566</v>
      </c>
      <c r="M70" s="271">
        <f t="shared" si="6"/>
        <v>10840.1950566</v>
      </c>
      <c r="N70" s="271"/>
      <c r="R70" s="243">
        <f t="shared" ref="R70:R133" si="10">F70*$R$4</f>
        <v>646.6867875</v>
      </c>
    </row>
    <row r="71" customHeight="1" spans="1:18">
      <c r="A71" s="262"/>
      <c r="B71" s="251" t="str">
        <f>装饰工程!B78</f>
        <v>绿植皮楼地面</v>
      </c>
      <c r="C71" s="256" t="str">
        <f>装饰工程!C78</f>
        <v>1.SP01绿植皮
2.20mm厚1:3干硬性水泥砂浆调平层
3.界面剂、水泥砂浆一道
5.10mm厚1:2.5水泥砂浆找平层
6.钢筋混凝土楼板
7.部位：沙盘区一侧
8.其它说明：满足规范和设计图纸要求</v>
      </c>
      <c r="D71" s="258">
        <f t="shared" si="7"/>
        <v>2821.576953</v>
      </c>
      <c r="E71" s="260">
        <f>装饰工程!E78</f>
        <v>9.14</v>
      </c>
      <c r="F71" s="260">
        <v>308.70645</v>
      </c>
      <c r="G71" s="260"/>
      <c r="H71" s="260">
        <v>0</v>
      </c>
      <c r="I71" s="260">
        <v>0</v>
      </c>
      <c r="J71" s="269">
        <f t="shared" si="8"/>
        <v>9.14</v>
      </c>
      <c r="K71" s="270">
        <v>0.8</v>
      </c>
      <c r="L71" s="269">
        <f t="shared" si="9"/>
        <v>2257.2615624</v>
      </c>
      <c r="M71" s="271">
        <f t="shared" si="6"/>
        <v>2257.2615624</v>
      </c>
      <c r="N71" s="271"/>
      <c r="R71" s="243">
        <f t="shared" si="10"/>
        <v>463.059675</v>
      </c>
    </row>
    <row r="72" customHeight="1" spans="1:18">
      <c r="A72" s="262"/>
      <c r="B72" s="251" t="str">
        <f>装饰工程!B79</f>
        <v>皮革楼地面</v>
      </c>
      <c r="C72" s="256" t="str">
        <f>装饰工程!C79</f>
        <v>1.UP01 皮革地面
2.双层9mm阻燃板
3.40*40*2镀锌方通，双层，1000*1000间距
4.10mm厚1:2.5水泥砂浆找平层
5.钢筋混凝土楼板
6.部位：泡泡池
7.其它说明：满足规范和设计图纸要求</v>
      </c>
      <c r="D72" s="258">
        <f t="shared" si="7"/>
        <v>7696.11321225</v>
      </c>
      <c r="E72" s="260">
        <f>装饰工程!E79</f>
        <v>12.31</v>
      </c>
      <c r="F72" s="260">
        <v>625.191975</v>
      </c>
      <c r="G72" s="260"/>
      <c r="H72" s="260">
        <v>0</v>
      </c>
      <c r="I72" s="260">
        <v>0</v>
      </c>
      <c r="J72" s="269">
        <f t="shared" si="8"/>
        <v>12.31</v>
      </c>
      <c r="K72" s="270">
        <v>0.8</v>
      </c>
      <c r="L72" s="269">
        <f t="shared" si="9"/>
        <v>6156.8905698</v>
      </c>
      <c r="M72" s="271">
        <f t="shared" si="6"/>
        <v>6156.8905698</v>
      </c>
      <c r="N72" s="271"/>
      <c r="R72" s="243">
        <f t="shared" si="10"/>
        <v>937.7879625</v>
      </c>
    </row>
    <row r="73" customHeight="1" spans="1:18">
      <c r="A73" s="262"/>
      <c r="B73" s="251" t="str">
        <f>装饰工程!B80</f>
        <v>-1层天棚</v>
      </c>
      <c r="C73" s="256"/>
      <c r="D73" s="258"/>
      <c r="E73" s="260"/>
      <c r="F73" s="260"/>
      <c r="G73" s="260"/>
      <c r="H73" s="260"/>
      <c r="I73" s="260"/>
      <c r="J73" s="269"/>
      <c r="K73" s="278"/>
      <c r="L73" s="269"/>
      <c r="M73" s="271">
        <f t="shared" si="6"/>
        <v>0</v>
      </c>
      <c r="N73" s="271"/>
      <c r="R73" s="243">
        <f t="shared" si="10"/>
        <v>0</v>
      </c>
    </row>
    <row r="74" customHeight="1" spans="1:18">
      <c r="A74" s="262"/>
      <c r="B74" s="251" t="str">
        <f>装饰工程!B81</f>
        <v>吊顶天棚</v>
      </c>
      <c r="C74" s="256" t="str">
        <f>装饰工程!C81</f>
        <v>1.米白色防水肌理漆吊顶（各种颜色）
2.部位：卫生间
3.膨胀螺栓,10钢筋吊杆,双向吊点,900~1200
4.轻钢主龙骨(金属吊件连接)
5.轻钢次龙骨、收边轻钢龙骨(专用连接挂件)
6.9.5mm厚防水石膏板基层+12mm阻燃板基层
7.钉眼防锈处理,石膏板接缝处理,阴、阳角护角收边
8.刮专用腻子找平二遍、打磨
9.刷抗碱度漆一道
10.刷肌理漆一道
11.喷肌理漆一道
12.含风口、灯孔等
13.作法详见-1F-TH-04节点12
14.其它说明：满足规范和设计图纸要求</v>
      </c>
      <c r="D74" s="258">
        <f t="shared" si="7"/>
        <v>11729.65875012</v>
      </c>
      <c r="E74" s="260">
        <f>装饰工程!E81</f>
        <v>30.19</v>
      </c>
      <c r="F74" s="260">
        <v>388.527948</v>
      </c>
      <c r="G74" s="260"/>
      <c r="H74" s="260">
        <v>0</v>
      </c>
      <c r="I74" s="260">
        <v>0</v>
      </c>
      <c r="J74" s="269">
        <f t="shared" si="8"/>
        <v>30.19</v>
      </c>
      <c r="K74" s="270">
        <v>0.65</v>
      </c>
      <c r="L74" s="269">
        <f t="shared" si="9"/>
        <v>7624.278187578</v>
      </c>
      <c r="M74" s="271">
        <f t="shared" si="6"/>
        <v>7624.278187578</v>
      </c>
      <c r="N74" s="271"/>
      <c r="P74" s="244">
        <f>F74/1.5</f>
        <v>259.018632</v>
      </c>
      <c r="R74" s="243">
        <f t="shared" si="10"/>
        <v>582.791922</v>
      </c>
    </row>
    <row r="75" customHeight="1" spans="1:18">
      <c r="A75" s="262"/>
      <c r="B75" s="251" t="str">
        <f>装饰工程!B83</f>
        <v>吊顶天棚</v>
      </c>
      <c r="C75" s="256" t="str">
        <f>装饰工程!C83</f>
        <v>1.木饰面吊顶
2.部位：休息区
3.膨胀螺栓,10钢筋吊杆,双向吊点,900~1200
4.轻钢主龙骨(金属吊件连接)
5.轻钢次龙骨、收边轻钢龙骨(专用连接挂件)转换层可以取消，采用反支撑
6.双层12mm厚阻燃板基层
7.木饰面
8.含风口、灯孔等
9.作法详见-1F-TH-04节点09、10、15
10.其它说明：满足规范和设计图纸要求</v>
      </c>
      <c r="D75" s="258">
        <f t="shared" si="7"/>
        <v>68149.11879</v>
      </c>
      <c r="E75" s="260">
        <f>装饰工程!E83</f>
        <v>70.53</v>
      </c>
      <c r="F75" s="260">
        <v>966.243</v>
      </c>
      <c r="G75" s="260"/>
      <c r="H75" s="260">
        <v>0</v>
      </c>
      <c r="I75" s="260">
        <v>0</v>
      </c>
      <c r="J75" s="269">
        <f t="shared" si="8"/>
        <v>70.53</v>
      </c>
      <c r="K75" s="270">
        <v>0.65</v>
      </c>
      <c r="L75" s="269">
        <f t="shared" si="9"/>
        <v>44296.9272135</v>
      </c>
      <c r="M75" s="271">
        <f t="shared" si="6"/>
        <v>44296.9272135</v>
      </c>
      <c r="N75" s="271"/>
      <c r="R75" s="243">
        <f t="shared" si="10"/>
        <v>1449.3645</v>
      </c>
    </row>
    <row r="76" customHeight="1" spans="1:18">
      <c r="A76" s="262"/>
      <c r="B76" s="251" t="str">
        <f>装饰工程!B84</f>
        <v>吊顶天棚（跌级）</v>
      </c>
      <c r="C76" s="256" t="str">
        <f>装饰工程!C84</f>
        <v>1.木饰面吊顶
2.部位：水吧台、休闲区
3.膨胀螺栓,10钢筋吊杆,双向吊点,900~1200
4.轻钢主龙骨(金属吊件连接)
5.轻钢次龙骨、收边轻钢龙骨(专用连接挂件)转换层可以取消，采用反支撑
6.双层12mm厚阻燃板基层
7.木饰面
8.含风口、灯孔等
9.作法详见-1F-TH-02节点03、04
10.其它说明：满足规范和设计图纸要求</v>
      </c>
      <c r="D76" s="258">
        <f t="shared" si="7"/>
        <v>149384.574216</v>
      </c>
      <c r="E76" s="260">
        <f>装饰工程!E84</f>
        <v>151.02</v>
      </c>
      <c r="F76" s="260">
        <v>989.1708</v>
      </c>
      <c r="G76" s="260"/>
      <c r="H76" s="260">
        <v>0</v>
      </c>
      <c r="I76" s="260">
        <v>0</v>
      </c>
      <c r="J76" s="269">
        <f t="shared" si="8"/>
        <v>151.02</v>
      </c>
      <c r="K76" s="270">
        <v>0.65</v>
      </c>
      <c r="L76" s="269">
        <f t="shared" si="9"/>
        <v>97099.9732404</v>
      </c>
      <c r="M76" s="271">
        <f t="shared" si="6"/>
        <v>97099.9732404</v>
      </c>
      <c r="N76" s="271"/>
      <c r="R76" s="243">
        <f t="shared" si="10"/>
        <v>1483.7562</v>
      </c>
    </row>
    <row r="77" customHeight="1" spans="1:18">
      <c r="A77" s="262"/>
      <c r="B77" s="251" t="str">
        <f>装饰工程!B85</f>
        <v>吊顶天棚</v>
      </c>
      <c r="C77" s="256" t="str">
        <f>装饰工程!C85</f>
        <v>1.哑光色铝板+米白色肌理漆（各种颜色）+木饰面
2.部位：健身区
3.40*40*2镀锌方通骨架
4.12mm厚阻燃板基层+9.5mm石膏板基层，含专用腻子等
5.哑光色铝板+米白色肌理漆+木饰面
6.含风口、灯孔等
7.作法详见-1F-TH-03节点07、08
8.其它说明：满足规范和设计图纸要求</v>
      </c>
      <c r="D77" s="258">
        <f t="shared" si="7"/>
        <v>62393.7414915</v>
      </c>
      <c r="E77" s="260">
        <f>装饰工程!E85</f>
        <v>60.33</v>
      </c>
      <c r="F77" s="260">
        <v>1034.20755</v>
      </c>
      <c r="G77" s="260"/>
      <c r="H77" s="260">
        <v>0</v>
      </c>
      <c r="I77" s="260">
        <v>0</v>
      </c>
      <c r="J77" s="269">
        <f t="shared" si="8"/>
        <v>60.33</v>
      </c>
      <c r="K77" s="270">
        <v>0.65</v>
      </c>
      <c r="L77" s="269">
        <f t="shared" si="9"/>
        <v>40555.931969475</v>
      </c>
      <c r="M77" s="271">
        <f t="shared" si="6"/>
        <v>40555.931969475</v>
      </c>
      <c r="N77" s="271"/>
      <c r="R77" s="243">
        <f t="shared" si="10"/>
        <v>1551.311325</v>
      </c>
    </row>
    <row r="78" ht="29" customHeight="1" spans="1:18">
      <c r="A78" s="262"/>
      <c r="B78" s="251" t="str">
        <f>装饰工程!B88</f>
        <v>吊顶天棚</v>
      </c>
      <c r="C78" s="256" t="str">
        <f>装饰工程!C88</f>
        <v>1.深橙色肌理漆天棚
2.部位：休息区
3.膨胀螺栓,10钢筋吊杆,双向吊点,900~1200
4.轻钢主龙骨(金属吊件连接)
5.轻钢次龙骨、收边轻钢龙骨(专用连接挂件)转换层可以取消，采用反支撑
6.12mm厚阻燃板基层+9.5mm厚石膏板基层
7.钉眼防锈处理,石膏板接缝处理,阴、阳角护角收边
8.刮专用腻子找平二遍、打磨
9.刷抗碱度漆一道
10.刷肌理漆一道
11.喷肌理漆一道
12.作法详见-1F-TH-04节点10
13.其它说明：满足规范和设计图纸要求</v>
      </c>
      <c r="D78" s="258">
        <f t="shared" si="7"/>
        <v>6543.1617672</v>
      </c>
      <c r="E78" s="260">
        <f>装饰工程!E88</f>
        <v>12.56</v>
      </c>
      <c r="F78" s="260">
        <v>520.95237</v>
      </c>
      <c r="G78" s="260"/>
      <c r="H78" s="260">
        <v>0</v>
      </c>
      <c r="I78" s="260">
        <v>0</v>
      </c>
      <c r="J78" s="269">
        <f t="shared" si="8"/>
        <v>12.56</v>
      </c>
      <c r="K78" s="270">
        <v>0.65</v>
      </c>
      <c r="L78" s="269">
        <f t="shared" si="9"/>
        <v>4253.05514868</v>
      </c>
      <c r="M78" s="271">
        <f t="shared" si="6"/>
        <v>4253.05514868</v>
      </c>
      <c r="N78" s="271"/>
      <c r="R78" s="243">
        <f t="shared" si="10"/>
        <v>781.428555</v>
      </c>
    </row>
    <row r="79" customHeight="1" spans="1:18">
      <c r="A79" s="262"/>
      <c r="B79" s="251" t="str">
        <f>装饰工程!B90</f>
        <v>吊顶天棚</v>
      </c>
      <c r="C79" s="256" t="str">
        <f>装饰工程!C90</f>
        <v>1.深橙色肌理漆天棚
2.部位：走廊
3.膨胀螺栓,10钢筋吊杆,双向吊点,900~1200
4.轻钢主龙骨(金属吊件连接)
5.轻钢次龙骨、收边轻钢龙骨(专用连接挂件)转换层可以取消，采用反支撑
6.双层9.5mm厚石膏板基层
7.钉眼防锈处理,石膏板接缝处理,阴、阳角护角收边
8.刮专用腻子找平二遍、打磨
9.刷抗碱度漆一道
10.刷肌理漆一道
11.喷肌理漆一道
12.含风口、灯孔等
13.其它说明：满足规范和设计图纸要求</v>
      </c>
      <c r="D79" s="258">
        <f t="shared" si="7"/>
        <v>13508.781351</v>
      </c>
      <c r="E79" s="260">
        <f>装饰工程!E90</f>
        <v>29.65</v>
      </c>
      <c r="F79" s="260">
        <v>455.60814</v>
      </c>
      <c r="G79" s="260"/>
      <c r="H79" s="260">
        <v>0</v>
      </c>
      <c r="I79" s="260">
        <v>0</v>
      </c>
      <c r="J79" s="269">
        <f t="shared" si="8"/>
        <v>29.65</v>
      </c>
      <c r="K79" s="270">
        <v>0.65</v>
      </c>
      <c r="L79" s="269">
        <f t="shared" si="9"/>
        <v>8780.70787815</v>
      </c>
      <c r="M79" s="271">
        <f t="shared" si="6"/>
        <v>8780.70787815</v>
      </c>
      <c r="N79" s="271"/>
      <c r="R79" s="243">
        <f t="shared" si="10"/>
        <v>683.41221</v>
      </c>
    </row>
    <row r="80" customHeight="1" spans="1:18">
      <c r="A80" s="262"/>
      <c r="B80" s="251" t="str">
        <f>装饰工程!B91</f>
        <v>吊顶天棚</v>
      </c>
      <c r="C80" s="256" t="str">
        <f>装饰工程!C91</f>
        <v>1.红色夯土肌理漆天棚
2.部位：走廊
3.膨胀螺栓,10钢筋吊杆,双向吊点,900~1200
4.轻钢主龙骨(金属吊件连接)
5.轻钢次龙骨、收边轻钢龙骨(专用连接挂件)转换层可以取消，采用反支撑
6.12mm厚阻燃板基层+9.5mm厚石膏板基层
7.钉眼防锈处理,石膏板接缝处理,阴、阳角护角收边
8.刮专用腻子找平二遍、打磨
9.刷抗碱度漆一道
10.刷肌理漆一道
11.喷肌理漆一道
12.含风口、灯孔等
13.作法详见-1F-TH-03节点06
14.其它说明：满足规范和设计图纸要求</v>
      </c>
      <c r="D80" s="258">
        <f t="shared" si="7"/>
        <v>27215.3182524</v>
      </c>
      <c r="E80" s="260">
        <f>装饰工程!E91</f>
        <v>29.2</v>
      </c>
      <c r="F80" s="260">
        <v>932.031447</v>
      </c>
      <c r="G80" s="260"/>
      <c r="H80" s="260">
        <v>0</v>
      </c>
      <c r="I80" s="260">
        <v>0</v>
      </c>
      <c r="J80" s="269">
        <f t="shared" si="8"/>
        <v>29.2</v>
      </c>
      <c r="K80" s="270">
        <v>0.65</v>
      </c>
      <c r="L80" s="269">
        <f t="shared" si="9"/>
        <v>17689.95686406</v>
      </c>
      <c r="M80" s="271">
        <f t="shared" si="6"/>
        <v>17689.95686406</v>
      </c>
      <c r="N80" s="271"/>
      <c r="R80" s="243">
        <f t="shared" si="10"/>
        <v>1398.0471705</v>
      </c>
    </row>
    <row r="81" ht="36" customHeight="1" spans="1:18">
      <c r="A81" s="262"/>
      <c r="B81" s="251" t="str">
        <f>装饰工程!B93</f>
        <v>吊顶天棚</v>
      </c>
      <c r="C81" s="256" t="str">
        <f>装饰工程!C93</f>
        <v>1.米白色肌理漆天棚（各种颜色）
2.部位：走廊、麻将室、乒乓球室、台球室、3D影音室、VIP室、签约财务室
3.膨胀螺栓,10钢筋吊杆,双向吊点,900~1200
4.轻钢主龙骨(金属吊件连接)
5.轻钢次龙骨、收边轻钢龙骨(专用连接挂件)转换层可以取消，采用反支撑
6.12mm阻燃板基层+9.5mm厚石膏板基层
7.钉眼防锈处理,石膏板接缝处理,阴、阳角护角收边
8.刮专用腻子找平二遍、打磨
9.刷抗碱度漆一道
10.刷肌理漆一道
11.喷肌理漆一道
12.含风口、灯孔等
13.作法详见-1F-TH-04节点05、11
14.其它说明：满足规范和设计图纸要求</v>
      </c>
      <c r="D81" s="258">
        <f t="shared" si="7"/>
        <v>257808.9088656</v>
      </c>
      <c r="E81" s="260">
        <f>装饰工程!E93</f>
        <v>494.88</v>
      </c>
      <c r="F81" s="260">
        <v>520.95237</v>
      </c>
      <c r="G81" s="260"/>
      <c r="H81" s="260">
        <v>0</v>
      </c>
      <c r="I81" s="260">
        <v>0</v>
      </c>
      <c r="J81" s="269">
        <f t="shared" si="8"/>
        <v>494.88</v>
      </c>
      <c r="K81" s="270">
        <v>0.65</v>
      </c>
      <c r="L81" s="269">
        <f t="shared" si="9"/>
        <v>167575.79076264</v>
      </c>
      <c r="M81" s="271">
        <f t="shared" si="6"/>
        <v>167575.79076264</v>
      </c>
      <c r="N81" s="271"/>
      <c r="P81" s="244">
        <f>F81/1.5</f>
        <v>347.30158</v>
      </c>
      <c r="R81" s="243">
        <f t="shared" si="10"/>
        <v>781.428555</v>
      </c>
    </row>
    <row r="82" customHeight="1" spans="1:18">
      <c r="A82" s="262"/>
      <c r="B82" s="251" t="str">
        <f>装饰工程!B95</f>
        <v>楼梯踏步天棚</v>
      </c>
      <c r="C82" s="256" t="str">
        <f>装饰工程!C95</f>
        <v>1.MT02 金属天棚+ST01 石材
2.部位：楼梯踏步底面天棚
3.作法详见-1F-DF-02节点07
4.其它说明：满足规范和设计图纸要求</v>
      </c>
      <c r="D82" s="258">
        <f t="shared" si="7"/>
        <v>17049.11208</v>
      </c>
      <c r="E82" s="260">
        <f>装饰工程!E95</f>
        <v>14.3</v>
      </c>
      <c r="F82" s="260">
        <v>1192.2456</v>
      </c>
      <c r="G82" s="260"/>
      <c r="H82" s="260">
        <v>0</v>
      </c>
      <c r="I82" s="260">
        <v>0</v>
      </c>
      <c r="J82" s="269">
        <f t="shared" si="8"/>
        <v>14.3</v>
      </c>
      <c r="K82" s="270">
        <v>0.65</v>
      </c>
      <c r="L82" s="269">
        <f t="shared" si="9"/>
        <v>11081.922852</v>
      </c>
      <c r="M82" s="271">
        <f t="shared" si="6"/>
        <v>11081.922852</v>
      </c>
      <c r="N82" s="271"/>
      <c r="R82" s="243">
        <f t="shared" si="10"/>
        <v>1788.3684</v>
      </c>
    </row>
    <row r="83" customHeight="1" spans="1:18">
      <c r="A83" s="262"/>
      <c r="B83" s="251" t="str">
        <f>装饰工程!B97</f>
        <v>吊顶天棚</v>
      </c>
      <c r="C83" s="256" t="str">
        <f>装饰工程!C97</f>
        <v>1.白色哑光漆铝板检修口
2.40*40*2镀锌角钢骨架
3.白色哑光漆铝板
4.做法详见-1F-TH-04节点14、15
5.其它说明：满足规范和设计图纸要求</v>
      </c>
      <c r="D83" s="258">
        <f t="shared" si="7"/>
        <v>2442.203748</v>
      </c>
      <c r="E83" s="260">
        <f>装饰工程!E97</f>
        <v>2.72</v>
      </c>
      <c r="F83" s="260">
        <v>897.869025</v>
      </c>
      <c r="G83" s="260"/>
      <c r="H83" s="260">
        <v>0</v>
      </c>
      <c r="I83" s="260">
        <v>0</v>
      </c>
      <c r="J83" s="269">
        <f t="shared" si="8"/>
        <v>2.72</v>
      </c>
      <c r="K83" s="270">
        <v>0.65</v>
      </c>
      <c r="L83" s="269">
        <f t="shared" si="9"/>
        <v>1587.4324362</v>
      </c>
      <c r="M83" s="271">
        <f t="shared" si="6"/>
        <v>1587.4324362</v>
      </c>
      <c r="N83" s="271"/>
      <c r="R83" s="243">
        <f t="shared" si="10"/>
        <v>1346.8035375</v>
      </c>
    </row>
    <row r="84" customHeight="1" spans="1:18">
      <c r="A84" s="262"/>
      <c r="B84" s="251" t="str">
        <f>装饰工程!B98</f>
        <v>-1层墙面</v>
      </c>
      <c r="C84" s="256"/>
      <c r="D84" s="258"/>
      <c r="E84" s="260"/>
      <c r="F84" s="260"/>
      <c r="G84" s="260"/>
      <c r="H84" s="260"/>
      <c r="I84" s="260"/>
      <c r="J84" s="269"/>
      <c r="K84" s="278"/>
      <c r="L84" s="269"/>
      <c r="M84" s="271"/>
      <c r="N84" s="271"/>
      <c r="R84" s="243">
        <f t="shared" si="10"/>
        <v>0</v>
      </c>
    </row>
    <row r="85" customHeight="1" spans="1:18">
      <c r="A85" s="262"/>
      <c r="B85" s="251" t="str">
        <f>装饰工程!B99</f>
        <v>健身区</v>
      </c>
      <c r="C85" s="256"/>
      <c r="D85" s="258"/>
      <c r="E85" s="260"/>
      <c r="F85" s="260"/>
      <c r="G85" s="260"/>
      <c r="H85" s="260"/>
      <c r="I85" s="260"/>
      <c r="J85" s="269"/>
      <c r="K85" s="278"/>
      <c r="L85" s="269"/>
      <c r="M85" s="271"/>
      <c r="N85" s="271"/>
      <c r="R85" s="243">
        <f t="shared" si="10"/>
        <v>0</v>
      </c>
    </row>
    <row r="86" ht="14" customHeight="1" spans="1:18">
      <c r="A86" s="262"/>
      <c r="B86" s="251" t="str">
        <f>装饰工程!B100</f>
        <v>木门窗套</v>
      </c>
      <c r="C86" s="256" t="str">
        <f>装饰工程!C100</f>
        <v>1.WD-01木饰面
2.具体做法详见-1F-DT-06节点17
3.其它说明：满足规范和设计图纸要求</v>
      </c>
      <c r="D86" s="258">
        <f t="shared" si="7"/>
        <v>4097.68917</v>
      </c>
      <c r="E86" s="260">
        <f>装饰工程!E100</f>
        <v>3.82</v>
      </c>
      <c r="F86" s="260">
        <v>1072.6935</v>
      </c>
      <c r="G86" s="260"/>
      <c r="H86" s="260">
        <v>0</v>
      </c>
      <c r="I86" s="260">
        <v>0</v>
      </c>
      <c r="J86" s="269">
        <f t="shared" si="8"/>
        <v>3.82</v>
      </c>
      <c r="K86" s="270">
        <v>0</v>
      </c>
      <c r="L86" s="269">
        <f t="shared" si="9"/>
        <v>0</v>
      </c>
      <c r="M86" s="271">
        <f t="shared" si="6"/>
        <v>0</v>
      </c>
      <c r="N86" s="271"/>
      <c r="R86" s="243">
        <f t="shared" si="10"/>
        <v>1609.04025</v>
      </c>
    </row>
    <row r="87" ht="27" customHeight="1" spans="1:18">
      <c r="A87" s="262"/>
      <c r="B87" s="251" t="str">
        <f>装饰工程!B101</f>
        <v>玻璃隔断</v>
      </c>
      <c r="C87" s="256" t="str">
        <f>装饰工程!C101</f>
        <v>1.GL01 玻璃隔断
2.详见-1F-DT-10节点27
3.其它说明：满足规范和设计图纸要求</v>
      </c>
      <c r="D87" s="258">
        <f t="shared" si="7"/>
        <v>8950.816596</v>
      </c>
      <c r="E87" s="260">
        <f>装饰工程!E101</f>
        <v>9.83</v>
      </c>
      <c r="F87" s="260">
        <v>910.5612</v>
      </c>
      <c r="G87" s="260"/>
      <c r="H87" s="260">
        <v>0</v>
      </c>
      <c r="I87" s="260">
        <v>0</v>
      </c>
      <c r="J87" s="269">
        <f t="shared" si="8"/>
        <v>9.83</v>
      </c>
      <c r="K87" s="270">
        <v>0</v>
      </c>
      <c r="L87" s="269">
        <f t="shared" si="9"/>
        <v>0</v>
      </c>
      <c r="M87" s="271">
        <f t="shared" si="6"/>
        <v>0</v>
      </c>
      <c r="N87" s="271"/>
      <c r="R87" s="243">
        <f t="shared" si="10"/>
        <v>1365.8418</v>
      </c>
    </row>
    <row r="88" customHeight="1" spans="1:18">
      <c r="A88" s="262"/>
      <c r="B88" s="251" t="str">
        <f>装饰工程!B102</f>
        <v>隔墙</v>
      </c>
      <c r="C88" s="256" t="str">
        <f>装饰工程!C102</f>
        <v>1.40*40*2镀锌方通骨架
2.12厚阻燃板基层
3.WD-01木饰面+AL-01哑光铝材面层
4.作法详见-1F-DT-06节点17
5.其它说明：满足规范和设计图纸要求</v>
      </c>
      <c r="D88" s="258">
        <f t="shared" si="7"/>
        <v>39367.605795</v>
      </c>
      <c r="E88" s="260">
        <f>装饰工程!E102</f>
        <v>27.79</v>
      </c>
      <c r="F88" s="260">
        <v>1416.6105</v>
      </c>
      <c r="G88" s="260"/>
      <c r="H88" s="260">
        <v>0</v>
      </c>
      <c r="I88" s="260">
        <v>0</v>
      </c>
      <c r="J88" s="269">
        <f t="shared" si="8"/>
        <v>27.79</v>
      </c>
      <c r="K88" s="270">
        <v>0.8</v>
      </c>
      <c r="L88" s="269">
        <f t="shared" si="9"/>
        <v>31494.084636</v>
      </c>
      <c r="M88" s="271">
        <f t="shared" si="6"/>
        <v>31494.084636</v>
      </c>
      <c r="N88" s="271"/>
      <c r="R88" s="243">
        <f t="shared" si="10"/>
        <v>2124.91575</v>
      </c>
    </row>
    <row r="89" customHeight="1" spans="1:18">
      <c r="A89" s="262"/>
      <c r="B89" s="251" t="str">
        <f>装饰工程!B104</f>
        <v>杜邦纸木饰面隔墙</v>
      </c>
      <c r="C89" s="256" t="str">
        <f>装饰工程!C104</f>
        <v>1.40*40*2镀锌方通骨架
2.12厚阻燃板基层
3.WC杜邦纸+木饰面+木装饰条
4.作法详见-1F-DT-08节点20
5.其它说明：满足规范和设计图纸要求</v>
      </c>
      <c r="D89" s="258">
        <f t="shared" si="7"/>
        <v>11581.798023</v>
      </c>
      <c r="E89" s="260">
        <f>装饰工程!E104</f>
        <v>10.83</v>
      </c>
      <c r="F89" s="260">
        <v>1069.4181</v>
      </c>
      <c r="G89" s="260"/>
      <c r="H89" s="260">
        <v>0</v>
      </c>
      <c r="I89" s="260">
        <v>0</v>
      </c>
      <c r="J89" s="269">
        <f t="shared" si="8"/>
        <v>10.83</v>
      </c>
      <c r="K89" s="270">
        <v>0.8</v>
      </c>
      <c r="L89" s="269">
        <f t="shared" si="9"/>
        <v>9265.4384184</v>
      </c>
      <c r="M89" s="271">
        <f t="shared" si="6"/>
        <v>9265.4384184</v>
      </c>
      <c r="N89" s="271"/>
      <c r="R89" s="243">
        <f t="shared" si="10"/>
        <v>1604.12715</v>
      </c>
    </row>
    <row r="90" customHeight="1" spans="1:18">
      <c r="A90" s="262"/>
      <c r="B90" s="251" t="str">
        <f>装饰工程!B106</f>
        <v>木质装饰线</v>
      </c>
      <c r="C90" s="256" t="str">
        <f>装饰工程!C106</f>
        <v>1.30*30木质装饰条
2.详见-1F-DT-04节点10 
3.其它说明：满足规范和设计图纸要求</v>
      </c>
      <c r="D90" s="258">
        <f t="shared" si="7"/>
        <v>2396.217132</v>
      </c>
      <c r="E90" s="260">
        <f>装饰工程!E106</f>
        <v>21.92</v>
      </c>
      <c r="F90" s="260">
        <v>109.316475</v>
      </c>
      <c r="G90" s="260" t="s">
        <v>34</v>
      </c>
      <c r="H90" s="260">
        <v>0</v>
      </c>
      <c r="I90" s="260">
        <v>0</v>
      </c>
      <c r="J90" s="269">
        <f t="shared" si="8"/>
        <v>21.92</v>
      </c>
      <c r="K90" s="270">
        <v>0</v>
      </c>
      <c r="L90" s="269">
        <f t="shared" si="9"/>
        <v>0</v>
      </c>
      <c r="M90" s="271">
        <f t="shared" si="6"/>
        <v>0</v>
      </c>
      <c r="N90" s="271"/>
      <c r="R90" s="243">
        <f t="shared" si="10"/>
        <v>163.9747125</v>
      </c>
    </row>
    <row r="91" customHeight="1" spans="1:18">
      <c r="A91" s="262"/>
      <c r="B91" s="251" t="str">
        <f>装饰工程!B107</f>
        <v>木质装饰线</v>
      </c>
      <c r="C91" s="256" t="str">
        <f>装饰工程!C107</f>
        <v>1.30*15木质装饰条
2.详见-1F-DT-05节点10
3.其它说明：满足规范和设计图纸要求</v>
      </c>
      <c r="D91" s="258">
        <f t="shared" si="7"/>
        <v>25756.1210016</v>
      </c>
      <c r="E91" s="260">
        <f>装饰工程!E107</f>
        <v>247.28</v>
      </c>
      <c r="F91" s="260">
        <v>104.15772</v>
      </c>
      <c r="G91" s="260"/>
      <c r="H91" s="260">
        <v>0</v>
      </c>
      <c r="I91" s="260">
        <v>0</v>
      </c>
      <c r="J91" s="269">
        <f t="shared" si="8"/>
        <v>247.28</v>
      </c>
      <c r="K91" s="270">
        <v>0</v>
      </c>
      <c r="L91" s="269">
        <f t="shared" si="9"/>
        <v>0</v>
      </c>
      <c r="M91" s="271">
        <f t="shared" ref="M91:M108" si="11">L91+I91</f>
        <v>0</v>
      </c>
      <c r="N91" s="271"/>
      <c r="R91" s="243">
        <f t="shared" si="10"/>
        <v>156.23658</v>
      </c>
    </row>
    <row r="92" customHeight="1" spans="1:18">
      <c r="A92" s="262"/>
      <c r="B92" s="251" t="str">
        <f>装饰工程!B108</f>
        <v>休息区</v>
      </c>
      <c r="C92" s="256"/>
      <c r="D92" s="258"/>
      <c r="E92" s="260"/>
      <c r="F92" s="260"/>
      <c r="G92" s="260"/>
      <c r="H92" s="260"/>
      <c r="I92" s="260"/>
      <c r="J92" s="269"/>
      <c r="K92" s="278"/>
      <c r="L92" s="269"/>
      <c r="M92" s="271"/>
      <c r="N92" s="271"/>
      <c r="R92" s="243">
        <f t="shared" si="10"/>
        <v>0</v>
      </c>
    </row>
    <row r="93" customHeight="1" spans="1:18">
      <c r="A93" s="262"/>
      <c r="B93" s="251" t="str">
        <f>装饰工程!B109</f>
        <v>儿童区18/-1F-DT-07</v>
      </c>
      <c r="C93" s="256"/>
      <c r="D93" s="258"/>
      <c r="E93" s="260"/>
      <c r="F93" s="260"/>
      <c r="G93" s="260"/>
      <c r="H93" s="260"/>
      <c r="I93" s="260"/>
      <c r="J93" s="269"/>
      <c r="K93" s="278"/>
      <c r="L93" s="269"/>
      <c r="M93" s="271"/>
      <c r="N93" s="271"/>
      <c r="R93" s="243">
        <f t="shared" si="10"/>
        <v>0</v>
      </c>
    </row>
    <row r="94" customHeight="1" spans="1:18">
      <c r="A94" s="262"/>
      <c r="B94" s="251" t="str">
        <f>装饰工程!B110</f>
        <v>科技区造型隔墙</v>
      </c>
      <c r="C94" s="256" t="str">
        <f>装饰工程!C110</f>
        <v>1.75系列轻钢龙骨，壁厚1.2mm骨架
2.12厚阻燃板基层+9厚石膏板基层，含专用腻子等
3.UP02软包+PT05 深橙色肌理漆+WD-01木饰面
4.作法详见-1F-DT-07节点18
5.其它说明：满足规范和设计图纸要求</v>
      </c>
      <c r="D94" s="258">
        <f t="shared" si="7"/>
        <v>29364.5767752</v>
      </c>
      <c r="E94" s="260">
        <f>装饰工程!E110</f>
        <v>38.76</v>
      </c>
      <c r="F94" s="260">
        <v>757.60002</v>
      </c>
      <c r="G94" s="260"/>
      <c r="H94" s="260">
        <v>0</v>
      </c>
      <c r="I94" s="260">
        <v>0</v>
      </c>
      <c r="J94" s="269">
        <f t="shared" si="8"/>
        <v>38.76</v>
      </c>
      <c r="K94" s="270">
        <v>0.8</v>
      </c>
      <c r="L94" s="269">
        <f t="shared" si="9"/>
        <v>23491.66142016</v>
      </c>
      <c r="M94" s="271">
        <f t="shared" si="11"/>
        <v>23491.66142016</v>
      </c>
      <c r="N94" s="271"/>
      <c r="R94" s="243">
        <f t="shared" si="10"/>
        <v>1136.40003</v>
      </c>
    </row>
    <row r="95" customHeight="1" spans="1:18">
      <c r="A95" s="262"/>
      <c r="B95" s="251" t="str">
        <f>装饰工程!B113</f>
        <v>泡泡池19/-1F-DT-06</v>
      </c>
      <c r="C95" s="256"/>
      <c r="D95" s="258"/>
      <c r="E95" s="260"/>
      <c r="F95" s="260"/>
      <c r="G95" s="260"/>
      <c r="H95" s="260"/>
      <c r="I95" s="260"/>
      <c r="J95" s="269"/>
      <c r="K95" s="278"/>
      <c r="L95" s="269"/>
      <c r="M95" s="271">
        <f t="shared" si="11"/>
        <v>0</v>
      </c>
      <c r="N95" s="271"/>
      <c r="R95" s="243">
        <f t="shared" si="10"/>
        <v>0</v>
      </c>
    </row>
    <row r="96" customHeight="1" spans="1:18">
      <c r="A96" s="262"/>
      <c r="B96" s="251" t="str">
        <f>装饰工程!B114</f>
        <v>科技区造型隔墙</v>
      </c>
      <c r="C96" s="256" t="str">
        <f>装饰工程!C114</f>
        <v>1.75系列轻钢龙骨，壁厚1.2mm骨架
2.12厚阻燃板基层+9厚石膏板基层，含专用腻子等
3.UP02软包+PT05 深橙色肌理漆+WD-01木饰面
4.作法详见-1F-DT-07节点18
5.其它说明：满足规范和设计图纸要求</v>
      </c>
      <c r="D96" s="258">
        <f t="shared" si="7"/>
        <v>29364.5767752</v>
      </c>
      <c r="E96" s="260">
        <f>装饰工程!E114</f>
        <v>38.76</v>
      </c>
      <c r="F96" s="260">
        <v>757.60002</v>
      </c>
      <c r="G96" s="260"/>
      <c r="H96" s="260">
        <v>0</v>
      </c>
      <c r="I96" s="260">
        <v>0</v>
      </c>
      <c r="J96" s="269">
        <f t="shared" si="8"/>
        <v>38.76</v>
      </c>
      <c r="K96" s="270">
        <v>0.8</v>
      </c>
      <c r="L96" s="269">
        <f t="shared" si="9"/>
        <v>23491.66142016</v>
      </c>
      <c r="M96" s="271">
        <f t="shared" si="11"/>
        <v>23491.66142016</v>
      </c>
      <c r="N96" s="271"/>
      <c r="R96" s="243">
        <f t="shared" si="10"/>
        <v>1136.40003</v>
      </c>
    </row>
    <row r="97" customHeight="1" spans="1:18">
      <c r="A97" s="262"/>
      <c r="B97" s="251" t="str">
        <f>装饰工程!B118</f>
        <v>休息区16/-1F-DT-06</v>
      </c>
      <c r="C97" s="256"/>
      <c r="D97" s="258"/>
      <c r="E97" s="260"/>
      <c r="F97" s="260"/>
      <c r="G97" s="260"/>
      <c r="H97" s="260"/>
      <c r="I97" s="260"/>
      <c r="J97" s="269"/>
      <c r="K97" s="278"/>
      <c r="L97" s="269"/>
      <c r="M97" s="271">
        <f t="shared" si="11"/>
        <v>0</v>
      </c>
      <c r="N97" s="271"/>
      <c r="R97" s="243">
        <f t="shared" si="10"/>
        <v>0</v>
      </c>
    </row>
    <row r="98" ht="35" customHeight="1" spans="1:18">
      <c r="A98" s="262"/>
      <c r="B98" s="251" t="str">
        <f>装饰工程!B119</f>
        <v>抹灰面油漆</v>
      </c>
      <c r="C98" s="256" t="str">
        <f>装饰工程!C119</f>
        <v>1.米白色肌理漆（各种颜色），含专用腻子、打磨等
2.阴阳角护角收边
3.3-5mm厚薄抹灰砂浆层
4.界面剂，接缝处网格布处理
5.其它说明：满足规范和设计图纸要求</v>
      </c>
      <c r="D98" s="258">
        <f t="shared" si="7"/>
        <v>1981.76029875</v>
      </c>
      <c r="E98" s="260">
        <f>装饰工程!E119</f>
        <v>15.87</v>
      </c>
      <c r="F98" s="260">
        <v>124.874625</v>
      </c>
      <c r="G98" s="260"/>
      <c r="H98" s="260">
        <v>0</v>
      </c>
      <c r="I98" s="260">
        <v>0</v>
      </c>
      <c r="J98" s="269">
        <f t="shared" si="8"/>
        <v>15.87</v>
      </c>
      <c r="K98" s="270">
        <v>0</v>
      </c>
      <c r="L98" s="269">
        <f t="shared" si="9"/>
        <v>0</v>
      </c>
      <c r="M98" s="271">
        <f t="shared" si="11"/>
        <v>0</v>
      </c>
      <c r="N98" s="271"/>
      <c r="R98" s="243">
        <f t="shared" si="10"/>
        <v>187.3119375</v>
      </c>
    </row>
    <row r="99" customHeight="1" spans="1:18">
      <c r="A99" s="262"/>
      <c r="B99" s="251" t="str">
        <f>装饰工程!B120</f>
        <v>金属踢脚线</v>
      </c>
      <c r="C99" s="256" t="str">
        <f>装饰工程!C120</f>
        <v>1.12mm厚阻燃板基层
2.MT01金属（踢脚线）
3.其它说明：满足规范和设计图纸要求</v>
      </c>
      <c r="D99" s="258">
        <f t="shared" si="7"/>
        <v>1156.9105848</v>
      </c>
      <c r="E99" s="260">
        <f>装饰工程!E120</f>
        <v>15.56</v>
      </c>
      <c r="F99" s="260">
        <v>74.35158</v>
      </c>
      <c r="G99" s="260"/>
      <c r="H99" s="260">
        <v>0</v>
      </c>
      <c r="I99" s="260">
        <v>0</v>
      </c>
      <c r="J99" s="269">
        <f t="shared" si="8"/>
        <v>15.56</v>
      </c>
      <c r="K99" s="270">
        <v>0</v>
      </c>
      <c r="L99" s="269">
        <f t="shared" si="9"/>
        <v>0</v>
      </c>
      <c r="M99" s="271">
        <f t="shared" si="11"/>
        <v>0</v>
      </c>
      <c r="N99" s="271"/>
      <c r="R99" s="243">
        <f t="shared" si="10"/>
        <v>111.52737</v>
      </c>
    </row>
    <row r="100" customHeight="1" spans="1:18">
      <c r="A100" s="262"/>
      <c r="B100" s="251" t="str">
        <f>装饰工程!B121</f>
        <v>墙面装饰板</v>
      </c>
      <c r="C100" s="256" t="str">
        <f>装饰工程!C121</f>
        <v>1.9mm石膏板基层
2.12mm厚阻燃板基层，含专用腻子等
3.PT05 深橙色肌理漆
4.其它说明：满足规范和设计图纸要求</v>
      </c>
      <c r="D100" s="258">
        <f t="shared" si="7"/>
        <v>16305.24008025</v>
      </c>
      <c r="E100" s="260">
        <f>装饰工程!E121</f>
        <v>36.57</v>
      </c>
      <c r="F100" s="260">
        <v>445.863825</v>
      </c>
      <c r="G100" s="260"/>
      <c r="H100" s="260">
        <v>0</v>
      </c>
      <c r="I100" s="260">
        <v>0</v>
      </c>
      <c r="J100" s="269">
        <f t="shared" si="8"/>
        <v>36.57</v>
      </c>
      <c r="K100" s="270">
        <v>0.65</v>
      </c>
      <c r="L100" s="269">
        <f t="shared" si="9"/>
        <v>10598.4060521625</v>
      </c>
      <c r="M100" s="271">
        <f t="shared" si="11"/>
        <v>10598.4060521625</v>
      </c>
      <c r="N100" s="271"/>
      <c r="R100" s="243">
        <f t="shared" si="10"/>
        <v>668.7957375</v>
      </c>
    </row>
    <row r="101" customHeight="1" spans="1:18">
      <c r="A101" s="262"/>
      <c r="B101" s="251" t="str">
        <f>装饰工程!B122</f>
        <v>走廊</v>
      </c>
      <c r="C101" s="256"/>
      <c r="D101" s="258"/>
      <c r="E101" s="260"/>
      <c r="F101" s="260"/>
      <c r="G101" s="260"/>
      <c r="H101" s="260">
        <v>0</v>
      </c>
      <c r="I101" s="260">
        <v>0</v>
      </c>
      <c r="J101" s="269">
        <f t="shared" si="8"/>
        <v>0</v>
      </c>
      <c r="K101" s="278"/>
      <c r="L101" s="269"/>
      <c r="M101" s="271">
        <f t="shared" si="11"/>
        <v>0</v>
      </c>
      <c r="N101" s="271"/>
      <c r="R101" s="243">
        <f t="shared" si="10"/>
        <v>0</v>
      </c>
    </row>
    <row r="102" customHeight="1" spans="1:18">
      <c r="A102" s="262"/>
      <c r="B102" s="251" t="str">
        <f>装饰工程!B123</f>
        <v>木饰面隔墙</v>
      </c>
      <c r="C102" s="256" t="str">
        <f>装饰工程!C123</f>
        <v>1.40*40*2镀锌方通骨架
2.12厚阻燃板基层
3.WD-01木饰面
4.作法详见-1F-DT-05节点13
5.其它说明：满足规范和设计图纸要求</v>
      </c>
      <c r="D102" s="258">
        <f t="shared" si="7"/>
        <v>81117.08247</v>
      </c>
      <c r="E102" s="260">
        <f>装饰工程!E123</f>
        <v>75.62</v>
      </c>
      <c r="F102" s="260">
        <v>1072.6935</v>
      </c>
      <c r="G102" s="260"/>
      <c r="H102" s="260">
        <v>0</v>
      </c>
      <c r="I102" s="260">
        <v>0</v>
      </c>
      <c r="J102" s="269">
        <f t="shared" si="8"/>
        <v>75.62</v>
      </c>
      <c r="K102" s="270">
        <v>0.8</v>
      </c>
      <c r="L102" s="269">
        <f t="shared" si="9"/>
        <v>64893.665976</v>
      </c>
      <c r="M102" s="271">
        <f t="shared" si="11"/>
        <v>64893.665976</v>
      </c>
      <c r="N102" s="271"/>
      <c r="R102" s="243">
        <f t="shared" si="10"/>
        <v>1609.04025</v>
      </c>
    </row>
    <row r="103" customHeight="1" spans="1:18">
      <c r="A103" s="262"/>
      <c r="B103" s="251" t="str">
        <f>装饰工程!B124</f>
        <v>木饰面隔墙</v>
      </c>
      <c r="C103" s="256" t="str">
        <f>装饰工程!C124</f>
        <v>1.40*40*2镀锌方通骨架
2.12厚阻燃板基层
3.WD-01木饰面
4.作法详见-1F-DT-05节点14
5.其它说明：满足规范和设计图纸要求</v>
      </c>
      <c r="D103" s="258">
        <f t="shared" si="7"/>
        <v>22698.19446</v>
      </c>
      <c r="E103" s="260">
        <f>装饰工程!E124</f>
        <v>21.16</v>
      </c>
      <c r="F103" s="260">
        <v>1072.6935</v>
      </c>
      <c r="G103" s="260"/>
      <c r="H103" s="260">
        <v>0</v>
      </c>
      <c r="I103" s="260">
        <v>0</v>
      </c>
      <c r="J103" s="269">
        <f t="shared" si="8"/>
        <v>21.16</v>
      </c>
      <c r="K103" s="270">
        <v>0.8</v>
      </c>
      <c r="L103" s="269">
        <f t="shared" si="9"/>
        <v>18158.555568</v>
      </c>
      <c r="M103" s="271">
        <f t="shared" si="11"/>
        <v>18158.555568</v>
      </c>
      <c r="N103" s="271"/>
      <c r="R103" s="243">
        <f t="shared" si="10"/>
        <v>1609.04025</v>
      </c>
    </row>
    <row r="104" customHeight="1" spans="1:18">
      <c r="A104" s="262"/>
      <c r="B104" s="251" t="str">
        <f>装饰工程!B127</f>
        <v>木饰面隔墙</v>
      </c>
      <c r="C104" s="256" t="str">
        <f>装饰工程!C127</f>
        <v>1.40*40*2镀锌方通骨架
2.12厚阻燃板基层
3.WD-01木饰面
4.作法详见-1F-DT-01节点02b
5.其它说明：满足规范和设计图纸要求</v>
      </c>
      <c r="D104" s="258">
        <f t="shared" si="7"/>
        <v>27031.8762</v>
      </c>
      <c r="E104" s="260">
        <f>装饰工程!E127</f>
        <v>25.2</v>
      </c>
      <c r="F104" s="260">
        <v>1072.6935</v>
      </c>
      <c r="G104" s="260"/>
      <c r="H104" s="260">
        <v>0</v>
      </c>
      <c r="I104" s="260">
        <v>0</v>
      </c>
      <c r="J104" s="269">
        <f t="shared" si="8"/>
        <v>25.2</v>
      </c>
      <c r="K104" s="270">
        <v>0.8</v>
      </c>
      <c r="L104" s="269">
        <f t="shared" si="9"/>
        <v>21625.50096</v>
      </c>
      <c r="M104" s="271">
        <f t="shared" si="11"/>
        <v>21625.50096</v>
      </c>
      <c r="N104" s="271"/>
      <c r="R104" s="243">
        <f t="shared" si="10"/>
        <v>1609.04025</v>
      </c>
    </row>
    <row r="105" customHeight="1" spans="1:18">
      <c r="A105" s="262"/>
      <c r="B105" s="251" t="str">
        <f>装饰工程!B130</f>
        <v>抹灰面油漆</v>
      </c>
      <c r="C105" s="256" t="str">
        <f>装饰工程!C130</f>
        <v>1.米白色肌理漆（各种颜色），含专用腻子等
2.阴阳角护角收边
3.3-5mm厚薄抹灰砂浆层
4.界面剂，接缝处网格布处理
5.其它说明：满足规范和设计图纸要求</v>
      </c>
      <c r="D105" s="258">
        <f t="shared" si="7"/>
        <v>23808.5960025</v>
      </c>
      <c r="E105" s="260">
        <f>装饰工程!E130</f>
        <v>190.66</v>
      </c>
      <c r="F105" s="260">
        <v>124.874625</v>
      </c>
      <c r="G105" s="260"/>
      <c r="H105" s="260">
        <v>0</v>
      </c>
      <c r="I105" s="260">
        <v>0</v>
      </c>
      <c r="J105" s="269">
        <f t="shared" si="8"/>
        <v>190.66</v>
      </c>
      <c r="K105" s="270">
        <v>0</v>
      </c>
      <c r="L105" s="269">
        <f t="shared" si="9"/>
        <v>0</v>
      </c>
      <c r="M105" s="271">
        <f t="shared" si="11"/>
        <v>0</v>
      </c>
      <c r="N105" s="271"/>
      <c r="R105" s="243">
        <f t="shared" si="10"/>
        <v>187.3119375</v>
      </c>
    </row>
    <row r="106" customHeight="1" spans="1:18">
      <c r="A106" s="262"/>
      <c r="B106" s="251" t="str">
        <f>装饰工程!B131</f>
        <v>金属踢脚线</v>
      </c>
      <c r="C106" s="256" t="str">
        <f>装饰工程!C131</f>
        <v>1.12mm厚阻燃板基层
2.MT01金属（踢脚线）30高
3.其它说明：满足规范和设计图纸要求</v>
      </c>
      <c r="D106" s="258">
        <f t="shared" si="7"/>
        <v>7496.1262956</v>
      </c>
      <c r="E106" s="260">
        <f>装饰工程!E131</f>
        <v>100.82</v>
      </c>
      <c r="F106" s="260">
        <v>74.35158</v>
      </c>
      <c r="G106" s="260"/>
      <c r="H106" s="260">
        <v>0</v>
      </c>
      <c r="I106" s="260">
        <v>0</v>
      </c>
      <c r="J106" s="269">
        <f t="shared" si="8"/>
        <v>100.82</v>
      </c>
      <c r="K106" s="270">
        <v>0.8</v>
      </c>
      <c r="L106" s="269">
        <f t="shared" si="9"/>
        <v>5996.90103648</v>
      </c>
      <c r="M106" s="271">
        <f t="shared" si="11"/>
        <v>5996.90103648</v>
      </c>
      <c r="N106" s="271"/>
      <c r="R106" s="243">
        <f t="shared" si="10"/>
        <v>111.52737</v>
      </c>
    </row>
    <row r="107" customHeight="1" spans="1:18">
      <c r="A107" s="262"/>
      <c r="B107" s="251" t="str">
        <f>装饰工程!B132</f>
        <v>电动卷帘</v>
      </c>
      <c r="C107" s="256" t="str">
        <f>装饰工程!C132</f>
        <v>1.成品电动卷帘
2.电动装置
3.其它说明：满足规范和设计图纸要求</v>
      </c>
      <c r="D107" s="258">
        <f t="shared" si="7"/>
        <v>59750.763912</v>
      </c>
      <c r="E107" s="260">
        <f>装饰工程!E132</f>
        <v>95.76</v>
      </c>
      <c r="F107" s="260">
        <v>623.9637</v>
      </c>
      <c r="G107" s="260"/>
      <c r="H107" s="260">
        <v>0</v>
      </c>
      <c r="I107" s="260">
        <v>0</v>
      </c>
      <c r="J107" s="269">
        <f t="shared" si="8"/>
        <v>95.76</v>
      </c>
      <c r="K107" s="270">
        <v>0</v>
      </c>
      <c r="L107" s="269">
        <f t="shared" si="9"/>
        <v>0</v>
      </c>
      <c r="M107" s="271">
        <f t="shared" si="11"/>
        <v>0</v>
      </c>
      <c r="N107" s="271"/>
      <c r="R107" s="243">
        <f t="shared" si="10"/>
        <v>935.94555</v>
      </c>
    </row>
    <row r="108" customHeight="1" spans="1:18">
      <c r="A108" s="262"/>
      <c r="B108" s="251" t="str">
        <f>装饰工程!B134</f>
        <v>木质门</v>
      </c>
      <c r="C108" s="256" t="str">
        <f>装饰工程!C134</f>
        <v>1.M-03
2.具体做法详-1F-MB-03
3.其它说明：满足规范和设计图纸要求</v>
      </c>
      <c r="D108" s="258">
        <f t="shared" si="7"/>
        <v>2637.483096</v>
      </c>
      <c r="E108" s="260">
        <f>装饰工程!E134</f>
        <v>1</v>
      </c>
      <c r="F108" s="260">
        <v>2637.483096</v>
      </c>
      <c r="G108" s="260"/>
      <c r="H108" s="260">
        <v>0</v>
      </c>
      <c r="I108" s="260">
        <v>0</v>
      </c>
      <c r="J108" s="269">
        <f t="shared" si="8"/>
        <v>1</v>
      </c>
      <c r="K108" s="270">
        <v>0</v>
      </c>
      <c r="L108" s="269">
        <f t="shared" si="9"/>
        <v>0</v>
      </c>
      <c r="M108" s="271">
        <f t="shared" si="11"/>
        <v>0</v>
      </c>
      <c r="N108" s="271"/>
      <c r="R108" s="243">
        <f t="shared" si="10"/>
        <v>3956.224644</v>
      </c>
    </row>
    <row r="109" ht="19" customHeight="1" spans="1:18">
      <c r="A109" s="262"/>
      <c r="B109" s="251" t="str">
        <f>装饰工程!B136</f>
        <v>总台区</v>
      </c>
      <c r="C109" s="263"/>
      <c r="D109" s="258"/>
      <c r="E109" s="260">
        <f>装饰工程!E136</f>
        <v>0</v>
      </c>
      <c r="F109" s="260">
        <v>0</v>
      </c>
      <c r="G109" s="264"/>
      <c r="H109" s="260">
        <v>0</v>
      </c>
      <c r="I109" s="260">
        <v>0</v>
      </c>
      <c r="J109" s="269">
        <f t="shared" si="8"/>
        <v>0</v>
      </c>
      <c r="K109" s="278"/>
      <c r="L109" s="269"/>
      <c r="M109" s="271"/>
      <c r="N109" s="271"/>
      <c r="R109" s="243">
        <f t="shared" si="10"/>
        <v>0</v>
      </c>
    </row>
    <row r="110" customHeight="1" spans="1:18">
      <c r="A110" s="262"/>
      <c r="B110" s="251" t="str">
        <f>装饰工程!B137</f>
        <v>南立面04/-1F-1E-02</v>
      </c>
      <c r="C110" s="256"/>
      <c r="D110" s="258"/>
      <c r="E110" s="260">
        <f>装饰工程!E137</f>
        <v>0</v>
      </c>
      <c r="F110" s="260">
        <v>0</v>
      </c>
      <c r="G110" s="260">
        <v>0</v>
      </c>
      <c r="H110" s="260">
        <v>0</v>
      </c>
      <c r="I110" s="260">
        <v>0</v>
      </c>
      <c r="J110" s="269">
        <f t="shared" si="8"/>
        <v>0</v>
      </c>
      <c r="K110" s="278"/>
      <c r="L110" s="269"/>
      <c r="M110" s="271"/>
      <c r="N110" s="271"/>
      <c r="R110" s="243">
        <f t="shared" si="10"/>
        <v>0</v>
      </c>
    </row>
    <row r="111" customHeight="1" spans="1:18">
      <c r="A111" s="262"/>
      <c r="B111" s="251" t="str">
        <f>装饰工程!B138</f>
        <v>木饰面隔墙</v>
      </c>
      <c r="C111" s="256" t="str">
        <f>装饰工程!C138</f>
        <v>1.40*40*2镀锌方通骨架
2.12厚阻燃板基层
3.WD-01木饰面
4.作法详见-1F-DT-05节点13
5.其它说明：满足规范和设计图纸要求</v>
      </c>
      <c r="D111" s="258">
        <f t="shared" si="7"/>
        <v>21700.589505</v>
      </c>
      <c r="E111" s="260">
        <f>装饰工程!E138</f>
        <v>20.23</v>
      </c>
      <c r="F111" s="260">
        <v>1072.6935</v>
      </c>
      <c r="G111" s="260"/>
      <c r="H111" s="260">
        <v>0</v>
      </c>
      <c r="I111" s="260">
        <v>0</v>
      </c>
      <c r="J111" s="269">
        <f t="shared" si="8"/>
        <v>20.23</v>
      </c>
      <c r="K111" s="270">
        <v>0.8</v>
      </c>
      <c r="L111" s="269">
        <f t="shared" si="9"/>
        <v>17360.471604</v>
      </c>
      <c r="M111" s="271">
        <f t="shared" ref="M110:M146" si="12">L111+I111</f>
        <v>17360.471604</v>
      </c>
      <c r="N111" s="271"/>
      <c r="R111" s="243">
        <f t="shared" si="10"/>
        <v>1609.04025</v>
      </c>
    </row>
    <row r="112" customHeight="1" spans="1:18">
      <c r="A112" s="262"/>
      <c r="B112" s="251" t="str">
        <f>装饰工程!B139</f>
        <v>抹灰面油漆</v>
      </c>
      <c r="C112" s="256" t="str">
        <f>装饰工程!C139</f>
        <v>1.米白色肌理漆（各种颜色），含专用腻子等
2.阴阳角护角收边
3.3-5mm厚薄抹灰砂浆层
4.界面剂，接缝处网格布处理
5.其它说明：满足规范和设计图纸要求</v>
      </c>
      <c r="D112" s="258">
        <f t="shared" si="7"/>
        <v>369.62889</v>
      </c>
      <c r="E112" s="260">
        <f>装饰工程!E139</f>
        <v>2.96</v>
      </c>
      <c r="F112" s="260">
        <v>124.874625</v>
      </c>
      <c r="G112" s="260"/>
      <c r="H112" s="260">
        <v>0</v>
      </c>
      <c r="I112" s="260">
        <v>0</v>
      </c>
      <c r="J112" s="269">
        <f t="shared" si="8"/>
        <v>2.96</v>
      </c>
      <c r="K112" s="270">
        <v>0</v>
      </c>
      <c r="L112" s="269">
        <f t="shared" si="9"/>
        <v>0</v>
      </c>
      <c r="M112" s="271">
        <f t="shared" si="12"/>
        <v>0</v>
      </c>
      <c r="N112" s="271"/>
      <c r="R112" s="243">
        <f t="shared" si="10"/>
        <v>187.3119375</v>
      </c>
    </row>
    <row r="113" customHeight="1" spans="1:18">
      <c r="A113" s="262"/>
      <c r="B113" s="251" t="str">
        <f>装饰工程!B140</f>
        <v>金属踢脚线</v>
      </c>
      <c r="C113" s="256" t="str">
        <f>装饰工程!C140</f>
        <v>1.12mm厚阻燃板基层
2.MT01金属（踢脚线）30高
3.其它说明：满足规范和设计图纸要求</v>
      </c>
      <c r="D113" s="258">
        <f t="shared" si="7"/>
        <v>509.308323</v>
      </c>
      <c r="E113" s="260">
        <f>装饰工程!E140</f>
        <v>6.85</v>
      </c>
      <c r="F113" s="260">
        <v>74.35158</v>
      </c>
      <c r="G113" s="260"/>
      <c r="H113" s="260">
        <v>0</v>
      </c>
      <c r="I113" s="260">
        <v>0</v>
      </c>
      <c r="J113" s="269">
        <f t="shared" si="8"/>
        <v>6.85</v>
      </c>
      <c r="K113" s="270">
        <v>0</v>
      </c>
      <c r="L113" s="269">
        <f t="shared" si="9"/>
        <v>0</v>
      </c>
      <c r="M113" s="271">
        <f t="shared" si="12"/>
        <v>0</v>
      </c>
      <c r="N113" s="271"/>
      <c r="R113" s="243">
        <f t="shared" si="10"/>
        <v>111.52737</v>
      </c>
    </row>
    <row r="114" customHeight="1" spans="1:18">
      <c r="A114" s="262"/>
      <c r="B114" s="251" t="str">
        <f>装饰工程!B141</f>
        <v>电动卷帘</v>
      </c>
      <c r="C114" s="256" t="str">
        <f>装饰工程!C141</f>
        <v>1.成品电动卷帘
2.电动装置
3.其它说明：满足规范和设计图纸要求</v>
      </c>
      <c r="D114" s="258">
        <f t="shared" si="7"/>
        <v>27791.343198</v>
      </c>
      <c r="E114" s="260">
        <f>装饰工程!E141</f>
        <v>44.54</v>
      </c>
      <c r="F114" s="260">
        <v>623.9637</v>
      </c>
      <c r="G114" s="260"/>
      <c r="H114" s="260">
        <v>0</v>
      </c>
      <c r="I114" s="260">
        <v>0</v>
      </c>
      <c r="J114" s="269">
        <f t="shared" si="8"/>
        <v>44.54</v>
      </c>
      <c r="K114" s="270">
        <v>0</v>
      </c>
      <c r="L114" s="269">
        <f t="shared" si="9"/>
        <v>0</v>
      </c>
      <c r="M114" s="271">
        <f t="shared" si="12"/>
        <v>0</v>
      </c>
      <c r="N114" s="271"/>
      <c r="R114" s="243">
        <f t="shared" si="10"/>
        <v>935.94555</v>
      </c>
    </row>
    <row r="115" customHeight="1" spans="1:18">
      <c r="A115" s="262"/>
      <c r="B115" s="251" t="str">
        <f>装饰工程!B143</f>
        <v>东立面03/-1F-1E-02</v>
      </c>
      <c r="C115" s="256"/>
      <c r="D115" s="258">
        <f t="shared" si="7"/>
        <v>0</v>
      </c>
      <c r="E115" s="260">
        <f>装饰工程!E143</f>
        <v>0</v>
      </c>
      <c r="F115" s="260"/>
      <c r="G115" s="260"/>
      <c r="H115" s="260">
        <v>0</v>
      </c>
      <c r="I115" s="260">
        <v>0</v>
      </c>
      <c r="J115" s="269">
        <f t="shared" si="8"/>
        <v>0</v>
      </c>
      <c r="K115" s="278"/>
      <c r="L115" s="269"/>
      <c r="M115" s="271"/>
      <c r="N115" s="271"/>
      <c r="R115" s="243">
        <f t="shared" si="10"/>
        <v>0</v>
      </c>
    </row>
    <row r="116" customHeight="1" spans="1:18">
      <c r="A116" s="262"/>
      <c r="B116" s="251" t="str">
        <f>装饰工程!B144</f>
        <v>墙面装饰板</v>
      </c>
      <c r="C116" s="256" t="str">
        <f>装饰工程!C144</f>
        <v>1.1:3水泥砂浆找平层
2.12mm厚阻燃板基层
3.WD-01木饰面
4.其它说明：满足规范和设计图纸要求</v>
      </c>
      <c r="D116" s="258">
        <f t="shared" si="7"/>
        <v>31940.0631</v>
      </c>
      <c r="E116" s="260">
        <f>装饰工程!E144</f>
        <v>35.46</v>
      </c>
      <c r="F116" s="260">
        <v>900.735</v>
      </c>
      <c r="G116" s="260"/>
      <c r="H116" s="260">
        <v>0</v>
      </c>
      <c r="I116" s="260">
        <v>0</v>
      </c>
      <c r="J116" s="269">
        <f t="shared" si="8"/>
        <v>35.46</v>
      </c>
      <c r="K116" s="270">
        <v>0.65</v>
      </c>
      <c r="L116" s="269">
        <f t="shared" si="9"/>
        <v>20761.041015</v>
      </c>
      <c r="M116" s="271">
        <f t="shared" si="12"/>
        <v>20761.041015</v>
      </c>
      <c r="N116" s="271"/>
      <c r="R116" s="243">
        <f t="shared" si="10"/>
        <v>1351.1025</v>
      </c>
    </row>
    <row r="117" customHeight="1" spans="1:18">
      <c r="A117" s="262"/>
      <c r="B117" s="251" t="str">
        <f>装饰工程!B145</f>
        <v>木质装饰线</v>
      </c>
      <c r="C117" s="256" t="str">
        <f>装饰工程!C145</f>
        <v>1.30*30木质装饰条
2.详见-1F-DT-04节点10
3.其它说明：满足规范和设计图纸要求</v>
      </c>
      <c r="D117" s="258">
        <f t="shared" si="7"/>
        <v>1311.7977</v>
      </c>
      <c r="E117" s="260">
        <f>装饰工程!E145</f>
        <v>12</v>
      </c>
      <c r="F117" s="260">
        <v>109.316475</v>
      </c>
      <c r="G117" s="260"/>
      <c r="H117" s="260">
        <v>0</v>
      </c>
      <c r="I117" s="260">
        <v>0</v>
      </c>
      <c r="J117" s="269">
        <f t="shared" si="8"/>
        <v>12</v>
      </c>
      <c r="K117" s="270">
        <v>0</v>
      </c>
      <c r="L117" s="269">
        <f t="shared" si="9"/>
        <v>0</v>
      </c>
      <c r="M117" s="271">
        <f t="shared" si="12"/>
        <v>0</v>
      </c>
      <c r="N117" s="271"/>
      <c r="R117" s="243">
        <f t="shared" si="10"/>
        <v>163.9747125</v>
      </c>
    </row>
    <row r="118" customHeight="1" spans="1:18">
      <c r="A118" s="262"/>
      <c r="B118" s="251" t="str">
        <f>装饰工程!B146</f>
        <v>木质装饰线</v>
      </c>
      <c r="C118" s="256" t="str">
        <f>装饰工程!C146</f>
        <v>1.30*35木质装饰条
2.详见-1F-DT-05节点10
3.其它说明：满足规范和设计图纸要求</v>
      </c>
      <c r="D118" s="258">
        <f t="shared" si="7"/>
        <v>104.15772</v>
      </c>
      <c r="E118" s="260">
        <f>装饰工程!E146</f>
        <v>1</v>
      </c>
      <c r="F118" s="260">
        <v>104.15772</v>
      </c>
      <c r="G118" s="260"/>
      <c r="H118" s="260">
        <v>0</v>
      </c>
      <c r="I118" s="260">
        <v>0</v>
      </c>
      <c r="J118" s="269">
        <f t="shared" si="8"/>
        <v>1</v>
      </c>
      <c r="K118" s="270">
        <v>0</v>
      </c>
      <c r="L118" s="269">
        <f t="shared" si="9"/>
        <v>0</v>
      </c>
      <c r="M118" s="271">
        <f t="shared" si="12"/>
        <v>0</v>
      </c>
      <c r="N118" s="271"/>
      <c r="R118" s="243">
        <f t="shared" si="10"/>
        <v>156.23658</v>
      </c>
    </row>
    <row r="119" customHeight="1" spans="1:18">
      <c r="A119" s="262"/>
      <c r="B119" s="251" t="str">
        <f>装饰工程!B147</f>
        <v>金属字</v>
      </c>
      <c r="C119" s="256" t="str">
        <f>装饰工程!C147</f>
        <v>1.发光字
2.详见-1F-DT-05节点10 
3.其它说明：满足规范和设计图纸要求</v>
      </c>
      <c r="D119" s="258">
        <f t="shared" si="7"/>
        <v>811.64412</v>
      </c>
      <c r="E119" s="260">
        <f>装饰工程!E147</f>
        <v>12</v>
      </c>
      <c r="F119" s="260">
        <v>67.63701</v>
      </c>
      <c r="G119" s="260"/>
      <c r="H119" s="260">
        <v>0</v>
      </c>
      <c r="I119" s="260">
        <v>0</v>
      </c>
      <c r="J119" s="269">
        <f t="shared" si="8"/>
        <v>12</v>
      </c>
      <c r="K119" s="270">
        <v>0</v>
      </c>
      <c r="L119" s="269">
        <f t="shared" si="9"/>
        <v>0</v>
      </c>
      <c r="M119" s="271">
        <f t="shared" si="12"/>
        <v>0</v>
      </c>
      <c r="N119" s="271"/>
      <c r="R119" s="243">
        <f t="shared" si="10"/>
        <v>101.455515</v>
      </c>
    </row>
    <row r="120" customHeight="1" spans="1:18">
      <c r="A120" s="262"/>
      <c r="B120" s="251" t="str">
        <f>装饰工程!B148</f>
        <v>墙面装饰板</v>
      </c>
      <c r="C120" s="256" t="str">
        <f>装饰工程!C148</f>
        <v>1.40*40*2镀锌方通骨架
2.12厚阻燃板+12厚埃特板
3.WD-01木饰面+白色乳胶漆
4.作法详见-1F-DT-05节点12
5.其它说明：满足规范和设计图纸要求</v>
      </c>
      <c r="D120" s="258">
        <f t="shared" si="7"/>
        <v>24403.777125</v>
      </c>
      <c r="E120" s="260">
        <f>装饰工程!E148</f>
        <v>22.75</v>
      </c>
      <c r="F120" s="260">
        <v>1072.6935</v>
      </c>
      <c r="G120" s="260"/>
      <c r="H120" s="260">
        <v>0</v>
      </c>
      <c r="I120" s="260">
        <v>0</v>
      </c>
      <c r="J120" s="269">
        <f t="shared" si="8"/>
        <v>22.75</v>
      </c>
      <c r="K120" s="270">
        <v>0.65</v>
      </c>
      <c r="L120" s="269">
        <f t="shared" si="9"/>
        <v>15862.45513125</v>
      </c>
      <c r="M120" s="271">
        <f t="shared" si="12"/>
        <v>15862.45513125</v>
      </c>
      <c r="N120" s="271"/>
      <c r="R120" s="243">
        <f t="shared" si="10"/>
        <v>1609.04025</v>
      </c>
    </row>
    <row r="121" customHeight="1" spans="1:18">
      <c r="A121" s="262"/>
      <c r="B121" s="251" t="str">
        <f>装饰工程!B151</f>
        <v>金属踢脚线</v>
      </c>
      <c r="C121" s="256" t="str">
        <f>装饰工程!C151</f>
        <v>1.12mm厚阻燃板基层
2.MT01金属（踢脚线）30高
3.其它说明：满足规范和设计图纸要求</v>
      </c>
      <c r="D121" s="258">
        <f t="shared" si="7"/>
        <v>618.6051456</v>
      </c>
      <c r="E121" s="260">
        <f>装饰工程!E151</f>
        <v>8.32</v>
      </c>
      <c r="F121" s="260">
        <v>74.35158</v>
      </c>
      <c r="G121" s="260"/>
      <c r="H121" s="260">
        <v>0</v>
      </c>
      <c r="I121" s="260">
        <v>0</v>
      </c>
      <c r="J121" s="269">
        <f t="shared" si="8"/>
        <v>8.32</v>
      </c>
      <c r="K121" s="270">
        <v>0.65</v>
      </c>
      <c r="L121" s="269">
        <f t="shared" si="9"/>
        <v>402.09334464</v>
      </c>
      <c r="M121" s="271">
        <f t="shared" si="12"/>
        <v>402.09334464</v>
      </c>
      <c r="N121" s="271"/>
      <c r="R121" s="243">
        <f t="shared" si="10"/>
        <v>111.52737</v>
      </c>
    </row>
    <row r="122" customHeight="1" spans="1:18">
      <c r="A122" s="262"/>
      <c r="B122" s="251" t="str">
        <f>装饰工程!B152</f>
        <v>正立面01/-1F-1E-01</v>
      </c>
      <c r="C122" s="256"/>
      <c r="D122" s="258">
        <f t="shared" si="7"/>
        <v>0</v>
      </c>
      <c r="E122" s="260"/>
      <c r="F122" s="260"/>
      <c r="G122" s="260"/>
      <c r="H122" s="260">
        <v>0</v>
      </c>
      <c r="I122" s="260">
        <v>0</v>
      </c>
      <c r="J122" s="269">
        <f t="shared" si="8"/>
        <v>0</v>
      </c>
      <c r="K122" s="278"/>
      <c r="L122" s="269"/>
      <c r="M122" s="271"/>
      <c r="N122" s="271"/>
      <c r="R122" s="243">
        <f t="shared" si="10"/>
        <v>0</v>
      </c>
    </row>
    <row r="123" customHeight="1" spans="1:18">
      <c r="A123" s="262"/>
      <c r="B123" s="251" t="str">
        <f>装饰工程!B153</f>
        <v>墙面装饰板</v>
      </c>
      <c r="C123" s="256" t="str">
        <f>装饰工程!C153</f>
        <v>1.1:3水泥砂浆找平层
2.9mm厚阻燃夹板基层
3.SP-03毛石饰面板
4.其它说明：满足规范和设计图纸要求</v>
      </c>
      <c r="D123" s="258">
        <f t="shared" si="7"/>
        <v>19273.43622</v>
      </c>
      <c r="E123" s="260">
        <f>装饰工程!E153</f>
        <v>26.08</v>
      </c>
      <c r="F123" s="260">
        <v>739.012125</v>
      </c>
      <c r="G123" s="260"/>
      <c r="H123" s="260">
        <v>0</v>
      </c>
      <c r="I123" s="260">
        <v>0</v>
      </c>
      <c r="J123" s="269">
        <f t="shared" si="8"/>
        <v>26.08</v>
      </c>
      <c r="K123" s="270">
        <v>0.65</v>
      </c>
      <c r="L123" s="269">
        <f t="shared" si="9"/>
        <v>12527.733543</v>
      </c>
      <c r="M123" s="271">
        <f t="shared" si="12"/>
        <v>12527.733543</v>
      </c>
      <c r="N123" s="271"/>
      <c r="R123" s="243">
        <f t="shared" si="10"/>
        <v>1108.5181875</v>
      </c>
    </row>
    <row r="124" customHeight="1" spans="1:18">
      <c r="A124" s="262"/>
      <c r="B124" s="251" t="str">
        <f>装饰工程!B154</f>
        <v>墙面装饰板</v>
      </c>
      <c r="C124" s="256" t="str">
        <f>装饰工程!C154</f>
        <v>1.40*40*2镀锌方通骨架
2.12厚阻燃板基层
3.作法详见-1F-DT-02节点03
4.其它说明：满足规范和设计图纸要求</v>
      </c>
      <c r="D124" s="258">
        <f t="shared" si="7"/>
        <v>16871.09409</v>
      </c>
      <c r="E124" s="260">
        <f>装饰工程!E154</f>
        <v>27.6</v>
      </c>
      <c r="F124" s="260">
        <v>611.271525</v>
      </c>
      <c r="G124" s="260"/>
      <c r="H124" s="260">
        <v>0</v>
      </c>
      <c r="I124" s="260">
        <v>0</v>
      </c>
      <c r="J124" s="269">
        <f t="shared" si="8"/>
        <v>27.6</v>
      </c>
      <c r="K124" s="270">
        <v>0.65</v>
      </c>
      <c r="L124" s="269">
        <f t="shared" si="9"/>
        <v>10966.2111585</v>
      </c>
      <c r="M124" s="271">
        <f t="shared" si="12"/>
        <v>10966.2111585</v>
      </c>
      <c r="N124" s="271"/>
      <c r="R124" s="243">
        <f t="shared" si="10"/>
        <v>916.9072875</v>
      </c>
    </row>
    <row r="125" customHeight="1" spans="1:18">
      <c r="A125" s="262"/>
      <c r="B125" s="251" t="str">
        <f>装饰工程!B155</f>
        <v>LED显示屏</v>
      </c>
      <c r="C125" s="256" t="str">
        <f>装饰工程!C155</f>
        <v>1.LED显示屏
2.参数：P2.5级别
3.其它说明：满足规范和设计图纸要求</v>
      </c>
      <c r="D125" s="258">
        <f t="shared" si="7"/>
        <v>52032.67686</v>
      </c>
      <c r="E125" s="260">
        <f>装饰工程!E155</f>
        <v>13.68</v>
      </c>
      <c r="F125" s="260">
        <v>3803.55825</v>
      </c>
      <c r="G125" s="260"/>
      <c r="H125" s="260">
        <v>0</v>
      </c>
      <c r="I125" s="260">
        <v>0</v>
      </c>
      <c r="J125" s="269">
        <f t="shared" si="8"/>
        <v>13.68</v>
      </c>
      <c r="K125" s="270">
        <v>0</v>
      </c>
      <c r="L125" s="269">
        <f t="shared" si="9"/>
        <v>0</v>
      </c>
      <c r="M125" s="271">
        <f t="shared" si="12"/>
        <v>0</v>
      </c>
      <c r="N125" s="271"/>
      <c r="R125" s="243">
        <f t="shared" si="10"/>
        <v>5705.337375</v>
      </c>
    </row>
    <row r="126" customHeight="1" spans="1:18">
      <c r="A126" s="262"/>
      <c r="B126" s="251" t="str">
        <f>装饰工程!B156</f>
        <v>LED显示屏</v>
      </c>
      <c r="C126" s="256" t="str">
        <f>装饰工程!C156</f>
        <v>1.LED显示屏（甲供）
2.参数：P2.5级别 
3.品牌：亮彩
4.其它说明：满足规范和设计图纸要求</v>
      </c>
      <c r="D126" s="258">
        <f t="shared" si="7"/>
        <v>8662.77792</v>
      </c>
      <c r="E126" s="260">
        <f>装饰工程!E156</f>
        <v>13.92</v>
      </c>
      <c r="F126" s="260">
        <v>622.326</v>
      </c>
      <c r="G126" s="260"/>
      <c r="H126" s="260">
        <v>0</v>
      </c>
      <c r="I126" s="260">
        <v>0</v>
      </c>
      <c r="J126" s="269">
        <f t="shared" si="8"/>
        <v>13.92</v>
      </c>
      <c r="K126" s="270">
        <v>0</v>
      </c>
      <c r="L126" s="269">
        <f t="shared" si="9"/>
        <v>0</v>
      </c>
      <c r="M126" s="271">
        <f t="shared" si="12"/>
        <v>0</v>
      </c>
      <c r="N126" s="271"/>
      <c r="R126" s="243">
        <f t="shared" si="10"/>
        <v>933.489</v>
      </c>
    </row>
    <row r="127" customHeight="1" spans="1:18">
      <c r="A127" s="262"/>
      <c r="B127" s="251" t="str">
        <f>装饰工程!B157</f>
        <v>墙面装饰板</v>
      </c>
      <c r="C127" s="256" t="str">
        <f>装饰工程!C157</f>
        <v>1.40*40*2镀锌方通骨架
2.12厚阻燃板基层
3.WD-01木饰面
4.作法详见-1F-DT-02节点03 
5.其它说明：满足规范和设计图纸要求</v>
      </c>
      <c r="D127" s="258">
        <f t="shared" si="7"/>
        <v>12453.971535</v>
      </c>
      <c r="E127" s="260">
        <f>装饰工程!E157</f>
        <v>11.61</v>
      </c>
      <c r="F127" s="260">
        <v>1072.6935</v>
      </c>
      <c r="G127" s="260"/>
      <c r="H127" s="260">
        <v>0</v>
      </c>
      <c r="I127" s="260">
        <v>0</v>
      </c>
      <c r="J127" s="269">
        <f t="shared" si="8"/>
        <v>11.61</v>
      </c>
      <c r="K127" s="270">
        <v>0.65</v>
      </c>
      <c r="L127" s="269">
        <f t="shared" si="9"/>
        <v>8095.08149775</v>
      </c>
      <c r="M127" s="271">
        <f t="shared" si="12"/>
        <v>8095.08149775</v>
      </c>
      <c r="N127" s="271"/>
      <c r="R127" s="243">
        <f t="shared" si="10"/>
        <v>1609.04025</v>
      </c>
    </row>
    <row r="128" customHeight="1" spans="1:18">
      <c r="A128" s="262"/>
      <c r="B128" s="251" t="str">
        <f>装饰工程!B158</f>
        <v>墙面装饰板</v>
      </c>
      <c r="C128" s="256" t="str">
        <f>装饰工程!C158</f>
        <v>1.40*40*2镀锌方通骨架
2.12厚阻燃板基层
3.MT01金属饰面
4.作法详见-1F-DT-02节点03 
5.其它说明：满足规范和设计图纸要求</v>
      </c>
      <c r="D128" s="258">
        <f t="shared" si="7"/>
        <v>50361.305748</v>
      </c>
      <c r="E128" s="260">
        <f>装饰工程!E158</f>
        <v>45.49</v>
      </c>
      <c r="F128" s="260">
        <v>1107.0852</v>
      </c>
      <c r="G128" s="260"/>
      <c r="H128" s="260">
        <v>0</v>
      </c>
      <c r="I128" s="260">
        <v>0</v>
      </c>
      <c r="J128" s="269">
        <f t="shared" si="8"/>
        <v>45.49</v>
      </c>
      <c r="K128" s="270">
        <v>0.65</v>
      </c>
      <c r="L128" s="269">
        <f t="shared" si="9"/>
        <v>32734.8487362</v>
      </c>
      <c r="M128" s="271">
        <f t="shared" si="12"/>
        <v>32734.8487362</v>
      </c>
      <c r="N128" s="271"/>
      <c r="R128" s="243">
        <f t="shared" si="10"/>
        <v>1660.6278</v>
      </c>
    </row>
    <row r="129" customHeight="1" spans="1:18">
      <c r="A129" s="262"/>
      <c r="B129" s="251" t="str">
        <f>装饰工程!B159</f>
        <v>金属踢脚线</v>
      </c>
      <c r="C129" s="256" t="str">
        <f>装饰工程!C159</f>
        <v>1.12mm厚阻燃板基层
2.MT01金属（踢脚线）30高
3.其它说明：满足规范和设计图纸要求</v>
      </c>
      <c r="D129" s="258">
        <f t="shared" si="7"/>
        <v>260.9740458</v>
      </c>
      <c r="E129" s="260">
        <f>装饰工程!E159</f>
        <v>3.51</v>
      </c>
      <c r="F129" s="260">
        <v>74.35158</v>
      </c>
      <c r="G129" s="260"/>
      <c r="H129" s="260">
        <v>0</v>
      </c>
      <c r="I129" s="260">
        <v>0</v>
      </c>
      <c r="J129" s="269">
        <f t="shared" si="8"/>
        <v>3.51</v>
      </c>
      <c r="K129" s="270">
        <v>0.65</v>
      </c>
      <c r="L129" s="269">
        <f t="shared" si="9"/>
        <v>169.63312977</v>
      </c>
      <c r="M129" s="271">
        <f t="shared" si="12"/>
        <v>169.63312977</v>
      </c>
      <c r="N129" s="271"/>
      <c r="R129" s="243">
        <f t="shared" si="10"/>
        <v>111.52737</v>
      </c>
    </row>
    <row r="130" customHeight="1" spans="1:18">
      <c r="A130" s="262"/>
      <c r="B130" s="251" t="str">
        <f>装饰工程!B160</f>
        <v>沙盘</v>
      </c>
      <c r="C130" s="256"/>
      <c r="D130" s="258"/>
      <c r="E130" s="260"/>
      <c r="F130" s="260"/>
      <c r="G130" s="260"/>
      <c r="H130" s="260"/>
      <c r="I130" s="260"/>
      <c r="J130" s="269"/>
      <c r="K130" s="278"/>
      <c r="L130" s="269"/>
      <c r="M130" s="271"/>
      <c r="N130" s="271"/>
      <c r="R130" s="243">
        <f t="shared" si="10"/>
        <v>0</v>
      </c>
    </row>
    <row r="131" customHeight="1" spans="1:18">
      <c r="A131" s="262"/>
      <c r="B131" s="251" t="str">
        <f>装饰工程!B161</f>
        <v>抹灰面油漆</v>
      </c>
      <c r="C131" s="256" t="str">
        <f>装饰工程!C161</f>
        <v>1.米白色肌理漆（各种颜色），含专用腻子等
2.阴阳角护角收边
3.3-5mm厚薄抹灰砂浆层
4.界面剂，接缝处网格布处理
5.其它说明：满足规范和设计图纸要求</v>
      </c>
      <c r="D131" s="258">
        <f t="shared" si="7"/>
        <v>5275.95290625</v>
      </c>
      <c r="E131" s="260">
        <f>装饰工程!E161</f>
        <v>42.25</v>
      </c>
      <c r="F131" s="260">
        <v>124.874625</v>
      </c>
      <c r="G131" s="260"/>
      <c r="H131" s="260">
        <v>0</v>
      </c>
      <c r="I131" s="260">
        <v>0</v>
      </c>
      <c r="J131" s="269">
        <f t="shared" si="8"/>
        <v>42.25</v>
      </c>
      <c r="K131" s="270">
        <v>0</v>
      </c>
      <c r="L131" s="269">
        <f t="shared" si="9"/>
        <v>0</v>
      </c>
      <c r="M131" s="271">
        <f t="shared" si="12"/>
        <v>0</v>
      </c>
      <c r="N131" s="271"/>
      <c r="R131" s="243">
        <f t="shared" si="10"/>
        <v>187.3119375</v>
      </c>
    </row>
    <row r="132" customHeight="1" spans="1:18">
      <c r="A132" s="262"/>
      <c r="B132" s="251" t="str">
        <f>装饰工程!B162</f>
        <v>墙面装饰板</v>
      </c>
      <c r="C132" s="256" t="str">
        <f>装饰工程!C162</f>
        <v>1.1:3水泥砂浆找平层
2.9mm厚阻燃夹板基层
3.SP-03毛石饰面板
4.其它说明：满足规范和设计图纸要求</v>
      </c>
      <c r="D132" s="258">
        <f t="shared" si="7"/>
        <v>7826.13840375</v>
      </c>
      <c r="E132" s="260">
        <f>装饰工程!E162</f>
        <v>10.59</v>
      </c>
      <c r="F132" s="260">
        <v>739.012125</v>
      </c>
      <c r="G132" s="260"/>
      <c r="H132" s="260">
        <v>0</v>
      </c>
      <c r="I132" s="260">
        <v>0</v>
      </c>
      <c r="J132" s="269">
        <f t="shared" si="8"/>
        <v>10.59</v>
      </c>
      <c r="K132" s="270">
        <v>0.65</v>
      </c>
      <c r="L132" s="269">
        <f t="shared" si="9"/>
        <v>5086.9899624375</v>
      </c>
      <c r="M132" s="271">
        <f t="shared" si="12"/>
        <v>5086.9899624375</v>
      </c>
      <c r="N132" s="271"/>
      <c r="R132" s="243">
        <f t="shared" si="10"/>
        <v>1108.5181875</v>
      </c>
    </row>
    <row r="133" customHeight="1" spans="1:18">
      <c r="A133" s="262"/>
      <c r="B133" s="251" t="str">
        <f>装饰工程!B163</f>
        <v>LED显示屏</v>
      </c>
      <c r="C133" s="256" t="str">
        <f>装饰工程!C163</f>
        <v>1.LED显示屏
2.LED显示屏金属边
3.其它说明：满足规范和设计图纸要求</v>
      </c>
      <c r="D133" s="258">
        <f t="shared" si="7"/>
        <v>0</v>
      </c>
      <c r="E133" s="260">
        <f>装饰工程!E163</f>
        <v>0</v>
      </c>
      <c r="F133" s="260">
        <v>3803.55825</v>
      </c>
      <c r="G133" s="260"/>
      <c r="H133" s="260">
        <v>0</v>
      </c>
      <c r="I133" s="260">
        <v>0</v>
      </c>
      <c r="J133" s="269">
        <f t="shared" si="8"/>
        <v>0</v>
      </c>
      <c r="K133" s="278"/>
      <c r="L133" s="269"/>
      <c r="M133" s="271">
        <f t="shared" si="12"/>
        <v>0</v>
      </c>
      <c r="N133" s="271"/>
      <c r="R133" s="243">
        <f t="shared" si="10"/>
        <v>5705.337375</v>
      </c>
    </row>
    <row r="134" customHeight="1" spans="1:18">
      <c r="A134" s="262"/>
      <c r="B134" s="251" t="str">
        <f>装饰工程!B164</f>
        <v>沙盘区造型隔墙</v>
      </c>
      <c r="C134" s="256" t="str">
        <f>装饰工程!C164</f>
        <v>1.75系列轻钢龙骨，壁厚1.2mm骨架
2.12厚阻燃板基层+9厚石膏板基层，含专用腻子等
3.PT01 米白色肌理漆
4.作法详见-1F-DT-01节点01、02
5.其它说明：满足规范和设计图纸要求</v>
      </c>
      <c r="D134" s="258">
        <f t="shared" ref="D134:D197" si="13">E134*F134</f>
        <v>27555.3751935</v>
      </c>
      <c r="E134" s="260">
        <f>装饰工程!E164</f>
        <v>44.66</v>
      </c>
      <c r="F134" s="260">
        <v>617.003475</v>
      </c>
      <c r="G134" s="260"/>
      <c r="H134" s="260">
        <v>0</v>
      </c>
      <c r="I134" s="260">
        <v>0</v>
      </c>
      <c r="J134" s="269">
        <f t="shared" ref="J134:J197" si="14">E134</f>
        <v>44.66</v>
      </c>
      <c r="K134" s="270">
        <v>0.8</v>
      </c>
      <c r="L134" s="269">
        <f t="shared" ref="L134:L197" si="15">J134*F134*K134</f>
        <v>22044.3001548</v>
      </c>
      <c r="M134" s="271">
        <f t="shared" si="12"/>
        <v>22044.3001548</v>
      </c>
      <c r="N134" s="271"/>
      <c r="R134" s="243">
        <f t="shared" ref="R134:R197" si="16">F134*$R$4</f>
        <v>925.5052125</v>
      </c>
    </row>
    <row r="135" customHeight="1" spans="1:18">
      <c r="A135" s="262"/>
      <c r="B135" s="251" t="str">
        <f>装饰工程!B165</f>
        <v>沙盘区造型隔墙</v>
      </c>
      <c r="C135" s="256" t="str">
        <f>装饰工程!C165</f>
        <v>1.75系列轻钢龙骨，壁厚1.2mm骨架
2.12厚阻燃板基层+9厚石膏板，含专用腻子等
3.PT01 米白色肌理漆
4.作法详见-1F-DT-03节点06，-1F-DT-04节点07
5.其它说明：满足规范和设计图纸要求</v>
      </c>
      <c r="D135" s="258">
        <f t="shared" si="13"/>
        <v>17368.64782125</v>
      </c>
      <c r="E135" s="260">
        <f>装饰工程!E165</f>
        <v>28.15</v>
      </c>
      <c r="F135" s="260">
        <v>617.003475</v>
      </c>
      <c r="G135" s="260"/>
      <c r="H135" s="260">
        <v>0</v>
      </c>
      <c r="I135" s="260">
        <v>0</v>
      </c>
      <c r="J135" s="269">
        <f t="shared" si="14"/>
        <v>28.15</v>
      </c>
      <c r="K135" s="270">
        <v>0.8</v>
      </c>
      <c r="L135" s="269">
        <f t="shared" si="15"/>
        <v>13894.918257</v>
      </c>
      <c r="M135" s="271">
        <f t="shared" si="12"/>
        <v>13894.918257</v>
      </c>
      <c r="N135" s="271"/>
      <c r="R135" s="243">
        <f t="shared" si="16"/>
        <v>925.5052125</v>
      </c>
    </row>
    <row r="136" customHeight="1" spans="1:18">
      <c r="A136" s="262"/>
      <c r="B136" s="251" t="str">
        <f>装饰工程!B166</f>
        <v>LED显示屏</v>
      </c>
      <c r="C136" s="256" t="str">
        <f>装饰工程!C166</f>
        <v>1.LED显示屏
2.参数P2级别
3.其它说明：满足规范和设计图纸要求</v>
      </c>
      <c r="D136" s="258">
        <f t="shared" si="13"/>
        <v>81244.00422</v>
      </c>
      <c r="E136" s="260">
        <f>装饰工程!E166</f>
        <v>21.36</v>
      </c>
      <c r="F136" s="260">
        <v>3803.55825</v>
      </c>
      <c r="G136" s="260"/>
      <c r="H136" s="260">
        <v>0</v>
      </c>
      <c r="I136" s="260">
        <v>0</v>
      </c>
      <c r="J136" s="269">
        <f t="shared" si="14"/>
        <v>21.36</v>
      </c>
      <c r="K136" s="270">
        <v>0</v>
      </c>
      <c r="L136" s="269">
        <f t="shared" si="15"/>
        <v>0</v>
      </c>
      <c r="M136" s="271">
        <f t="shared" si="12"/>
        <v>0</v>
      </c>
      <c r="N136" s="271"/>
      <c r="R136" s="243">
        <f t="shared" si="16"/>
        <v>5705.337375</v>
      </c>
    </row>
    <row r="137" customHeight="1" spans="1:18">
      <c r="A137" s="262"/>
      <c r="B137" s="251" t="str">
        <f>装饰工程!B167</f>
        <v>金属踢脚线</v>
      </c>
      <c r="C137" s="256" t="str">
        <f>装饰工程!C167</f>
        <v>1.12mm厚阻燃板基层
2.MT01金属（踢脚线）30高
3.其它说明：满足规范和设计图纸要求</v>
      </c>
      <c r="D137" s="258">
        <f t="shared" si="13"/>
        <v>4424.6625258</v>
      </c>
      <c r="E137" s="260">
        <f>装饰工程!E167</f>
        <v>59.51</v>
      </c>
      <c r="F137" s="260">
        <v>74.35158</v>
      </c>
      <c r="G137" s="260"/>
      <c r="H137" s="260">
        <v>0</v>
      </c>
      <c r="I137" s="260">
        <v>0</v>
      </c>
      <c r="J137" s="269">
        <f t="shared" si="14"/>
        <v>59.51</v>
      </c>
      <c r="K137" s="270">
        <v>0</v>
      </c>
      <c r="L137" s="269">
        <f t="shared" si="15"/>
        <v>0</v>
      </c>
      <c r="M137" s="271">
        <f t="shared" si="12"/>
        <v>0</v>
      </c>
      <c r="N137" s="271"/>
      <c r="R137" s="243">
        <f t="shared" si="16"/>
        <v>111.52737</v>
      </c>
    </row>
    <row r="138" customHeight="1" spans="1:18">
      <c r="A138" s="262"/>
      <c r="B138" s="251" t="str">
        <f>装饰工程!B168</f>
        <v>消火栓隔板</v>
      </c>
      <c r="C138" s="256" t="str">
        <f>装饰工程!C168</f>
        <v>1.12厚阻燃板基层
2.9厚石膏板基层，含专用腻子等
3.PT-01米白色肌理漆
4.作法详见-1F-DT-01节点2a
5.其它说明：满足规范和设计图纸要求</v>
      </c>
      <c r="D138" s="258">
        <f t="shared" si="13"/>
        <v>1702.929591</v>
      </c>
      <c r="E138" s="260">
        <f>装饰工程!E168</f>
        <v>2.76</v>
      </c>
      <c r="F138" s="260">
        <v>617.003475</v>
      </c>
      <c r="G138" s="260"/>
      <c r="H138" s="260">
        <v>0</v>
      </c>
      <c r="I138" s="260">
        <v>0</v>
      </c>
      <c r="J138" s="269">
        <f t="shared" si="14"/>
        <v>2.76</v>
      </c>
      <c r="K138" s="270">
        <v>0.8</v>
      </c>
      <c r="L138" s="269">
        <f t="shared" si="15"/>
        <v>1362.3436728</v>
      </c>
      <c r="M138" s="271">
        <f t="shared" si="12"/>
        <v>1362.3436728</v>
      </c>
      <c r="N138" s="271"/>
      <c r="R138" s="243">
        <f t="shared" si="16"/>
        <v>925.5052125</v>
      </c>
    </row>
    <row r="139" customHeight="1" spans="1:18">
      <c r="A139" s="262"/>
      <c r="B139" s="251" t="str">
        <f>装饰工程!B169</f>
        <v>科技展示区</v>
      </c>
      <c r="C139" s="256"/>
      <c r="D139" s="258">
        <f t="shared" si="13"/>
        <v>0</v>
      </c>
      <c r="E139" s="260">
        <f>装饰工程!E169</f>
        <v>0</v>
      </c>
      <c r="F139" s="260"/>
      <c r="G139" s="260"/>
      <c r="H139" s="260">
        <v>0</v>
      </c>
      <c r="I139" s="260">
        <v>0</v>
      </c>
      <c r="J139" s="269">
        <f t="shared" si="14"/>
        <v>0</v>
      </c>
      <c r="K139" s="278"/>
      <c r="L139" s="269"/>
      <c r="M139" s="271">
        <f t="shared" si="12"/>
        <v>0</v>
      </c>
      <c r="N139" s="271"/>
      <c r="R139" s="243">
        <f t="shared" si="16"/>
        <v>0</v>
      </c>
    </row>
    <row r="140" customHeight="1" spans="1:18">
      <c r="A140" s="262"/>
      <c r="B140" s="251" t="str">
        <f>装饰工程!B170</f>
        <v>科技区造型隔墙</v>
      </c>
      <c r="C140" s="256" t="str">
        <f>装饰工程!C170</f>
        <v>1.40*40*2镀锌方通骨架
2.12厚阻燃板基层+9厚石膏板基层
3.MT01金属包台面+PT01 米白色肌理漆+PT05 深橙色肌理漆+SP-01艺术绿植，含专用腻子等
4.作法详见-1F-DT-04节点08、09
5.其它说明：满足规范和设计图纸要求</v>
      </c>
      <c r="D140" s="258">
        <f t="shared" si="13"/>
        <v>46592.3127942</v>
      </c>
      <c r="E140" s="260">
        <f>装饰工程!E170</f>
        <v>62.97</v>
      </c>
      <c r="F140" s="260">
        <v>739.91286</v>
      </c>
      <c r="G140" s="260"/>
      <c r="H140" s="260">
        <v>0</v>
      </c>
      <c r="I140" s="260">
        <v>0</v>
      </c>
      <c r="J140" s="269">
        <f t="shared" si="14"/>
        <v>62.97</v>
      </c>
      <c r="K140" s="270">
        <v>0.8</v>
      </c>
      <c r="L140" s="269">
        <f t="shared" si="15"/>
        <v>37273.85023536</v>
      </c>
      <c r="M140" s="271">
        <f t="shared" si="12"/>
        <v>37273.85023536</v>
      </c>
      <c r="N140" s="271"/>
      <c r="R140" s="243">
        <f t="shared" si="16"/>
        <v>1109.86929</v>
      </c>
    </row>
    <row r="141" customHeight="1" spans="1:18">
      <c r="A141" s="262"/>
      <c r="B141" s="251" t="str">
        <f>装饰工程!B173</f>
        <v>金属踢脚线</v>
      </c>
      <c r="C141" s="256" t="str">
        <f>装饰工程!C173</f>
        <v>1.12mm厚阻燃板基层
2.MT01金属（踢脚线）30高
3.其它说明：满足规范和设计图纸要求</v>
      </c>
      <c r="D141" s="258">
        <f t="shared" si="13"/>
        <v>1087.7636154</v>
      </c>
      <c r="E141" s="260">
        <f>装饰工程!E173</f>
        <v>14.63</v>
      </c>
      <c r="F141" s="260">
        <v>74.35158</v>
      </c>
      <c r="G141" s="260"/>
      <c r="H141" s="260">
        <v>0</v>
      </c>
      <c r="I141" s="260">
        <v>0</v>
      </c>
      <c r="J141" s="269">
        <f t="shared" si="14"/>
        <v>14.63</v>
      </c>
      <c r="K141" s="270">
        <v>0</v>
      </c>
      <c r="L141" s="269">
        <f t="shared" si="15"/>
        <v>0</v>
      </c>
      <c r="M141" s="271">
        <f t="shared" si="12"/>
        <v>0</v>
      </c>
      <c r="N141" s="271"/>
      <c r="R141" s="243">
        <f t="shared" si="16"/>
        <v>111.52737</v>
      </c>
    </row>
    <row r="142" customHeight="1" spans="1:18">
      <c r="A142" s="262"/>
      <c r="B142" s="251" t="str">
        <f>装饰工程!B174</f>
        <v>金属装饰线</v>
      </c>
      <c r="C142" s="256" t="str">
        <f>装饰工程!C174</f>
        <v>1.12mm厚阻燃板基层
2.MT01金属30宽
3.其它说明：满足规范和设计图纸要求</v>
      </c>
      <c r="D142" s="258">
        <f t="shared" si="13"/>
        <v>1087.7636154</v>
      </c>
      <c r="E142" s="260">
        <f>装饰工程!E174</f>
        <v>14.63</v>
      </c>
      <c r="F142" s="260">
        <v>74.35158</v>
      </c>
      <c r="G142" s="260"/>
      <c r="H142" s="260">
        <v>0</v>
      </c>
      <c r="I142" s="260">
        <v>0</v>
      </c>
      <c r="J142" s="269">
        <f t="shared" si="14"/>
        <v>14.63</v>
      </c>
      <c r="K142" s="270">
        <v>0</v>
      </c>
      <c r="L142" s="269">
        <f t="shared" si="15"/>
        <v>0</v>
      </c>
      <c r="M142" s="271">
        <f t="shared" si="12"/>
        <v>0</v>
      </c>
      <c r="N142" s="271"/>
      <c r="R142" s="243">
        <f t="shared" si="16"/>
        <v>111.52737</v>
      </c>
    </row>
    <row r="143" customHeight="1" spans="1:18">
      <c r="A143" s="262"/>
      <c r="B143" s="251" t="str">
        <f>装饰工程!B175</f>
        <v>签约财务室</v>
      </c>
      <c r="C143" s="256"/>
      <c r="D143" s="258"/>
      <c r="E143" s="260"/>
      <c r="F143" s="260"/>
      <c r="G143" s="260"/>
      <c r="H143" s="260">
        <v>0</v>
      </c>
      <c r="I143" s="260">
        <v>0</v>
      </c>
      <c r="J143" s="269">
        <f t="shared" si="14"/>
        <v>0</v>
      </c>
      <c r="K143" s="278"/>
      <c r="L143" s="269"/>
      <c r="M143" s="271">
        <f t="shared" si="12"/>
        <v>0</v>
      </c>
      <c r="N143" s="271"/>
      <c r="R143" s="243">
        <f t="shared" si="16"/>
        <v>0</v>
      </c>
    </row>
    <row r="144" ht="39" customHeight="1" spans="1:18">
      <c r="A144" s="262"/>
      <c r="B144" s="251" t="str">
        <f>装饰工程!B176</f>
        <v>抹灰面油漆</v>
      </c>
      <c r="C144" s="256" t="str">
        <f>装饰工程!C176</f>
        <v>1.米白色肌理漆（各种颜色），含专用腻子等
2.阴阳角护角收边
3.3-5mm厚薄抹灰砂浆层
4.界面剂，接缝处网格布处理
5.其它说明：满足规范和设计图纸要求</v>
      </c>
      <c r="D144" s="258">
        <f t="shared" si="13"/>
        <v>4008.4754625</v>
      </c>
      <c r="E144" s="260">
        <f>装饰工程!E176</f>
        <v>32.1</v>
      </c>
      <c r="F144" s="260">
        <v>124.874625</v>
      </c>
      <c r="G144" s="260"/>
      <c r="H144" s="260">
        <v>0</v>
      </c>
      <c r="I144" s="260">
        <v>0</v>
      </c>
      <c r="J144" s="269">
        <f t="shared" si="14"/>
        <v>32.1</v>
      </c>
      <c r="K144" s="270">
        <v>0</v>
      </c>
      <c r="L144" s="269">
        <f t="shared" si="15"/>
        <v>0</v>
      </c>
      <c r="M144" s="271">
        <f t="shared" si="12"/>
        <v>0</v>
      </c>
      <c r="N144" s="271"/>
      <c r="R144" s="243">
        <f t="shared" si="16"/>
        <v>187.3119375</v>
      </c>
    </row>
    <row r="145" customHeight="1" spans="1:18">
      <c r="A145" s="262"/>
      <c r="B145" s="251" t="str">
        <f>装饰工程!B177</f>
        <v>金属踢脚线</v>
      </c>
      <c r="C145" s="256" t="str">
        <f>装饰工程!C177</f>
        <v>1.12mm厚阻燃板基层
2.MT01金属（踢脚线）30高
3.其它说明：满足规范和设计图纸要求</v>
      </c>
      <c r="D145" s="258">
        <f t="shared" si="13"/>
        <v>763.5907266</v>
      </c>
      <c r="E145" s="260">
        <f>装饰工程!E177</f>
        <v>10.27</v>
      </c>
      <c r="F145" s="260">
        <v>74.35158</v>
      </c>
      <c r="G145" s="260"/>
      <c r="H145" s="260">
        <v>0</v>
      </c>
      <c r="I145" s="260">
        <v>0</v>
      </c>
      <c r="J145" s="269">
        <f t="shared" si="14"/>
        <v>10.27</v>
      </c>
      <c r="K145" s="270">
        <v>0.8</v>
      </c>
      <c r="L145" s="269">
        <f t="shared" si="15"/>
        <v>610.87258128</v>
      </c>
      <c r="M145" s="271">
        <f t="shared" si="12"/>
        <v>610.87258128</v>
      </c>
      <c r="N145" s="271"/>
      <c r="R145" s="243">
        <f t="shared" si="16"/>
        <v>111.52737</v>
      </c>
    </row>
    <row r="146" customHeight="1" spans="1:18">
      <c r="A146" s="262"/>
      <c r="B146" s="251" t="str">
        <f>装饰工程!B178</f>
        <v>挡板隔墙</v>
      </c>
      <c r="C146" s="256" t="str">
        <f>装饰工程!C178</f>
        <v>1.40*40*2镀锌方通骨架
2.12厚阻燃板基层+9厚石膏板基层
3.MT01金属包台面
4.作法详见-1F-DT-08节点21
5.其它说明：满足规范和设计图纸要求</v>
      </c>
      <c r="D146" s="258">
        <f t="shared" si="13"/>
        <v>9531.315738</v>
      </c>
      <c r="E146" s="260">
        <f>装饰工程!E178</f>
        <v>8.94</v>
      </c>
      <c r="F146" s="260">
        <v>1066.1427</v>
      </c>
      <c r="G146" s="260"/>
      <c r="H146" s="260">
        <v>0</v>
      </c>
      <c r="I146" s="260">
        <v>0</v>
      </c>
      <c r="J146" s="269">
        <f t="shared" si="14"/>
        <v>8.94</v>
      </c>
      <c r="K146" s="270">
        <v>0.8</v>
      </c>
      <c r="L146" s="269">
        <f t="shared" si="15"/>
        <v>7625.0525904</v>
      </c>
      <c r="M146" s="271">
        <f t="shared" si="12"/>
        <v>7625.0525904</v>
      </c>
      <c r="N146" s="271"/>
      <c r="R146" s="243">
        <f t="shared" si="16"/>
        <v>1599.21405</v>
      </c>
    </row>
    <row r="147" ht="43" customHeight="1" spans="1:18">
      <c r="A147" s="262"/>
      <c r="B147" s="251" t="str">
        <f>装饰工程!B179</f>
        <v>柜台顶部</v>
      </c>
      <c r="C147" s="256" t="str">
        <f>装饰工程!C179</f>
        <v>1.40*40*2镀锌方通骨架
2.12厚阻燃板/9厚石膏板
3.MT01金属
4.作法详见-1F-DT-09节点22
5.其它说明：满足规范和设计图纸要求</v>
      </c>
      <c r="D147" s="258">
        <f t="shared" si="13"/>
        <v>724.977036</v>
      </c>
      <c r="E147" s="260">
        <f>装饰工程!E179</f>
        <v>0.68</v>
      </c>
      <c r="F147" s="260">
        <v>1066.1427</v>
      </c>
      <c r="G147" s="264"/>
      <c r="H147" s="260">
        <v>0</v>
      </c>
      <c r="I147" s="260">
        <v>0</v>
      </c>
      <c r="J147" s="269">
        <f t="shared" si="14"/>
        <v>0.68</v>
      </c>
      <c r="K147" s="270">
        <v>0</v>
      </c>
      <c r="L147" s="269">
        <f t="shared" si="15"/>
        <v>0</v>
      </c>
      <c r="M147" s="271"/>
      <c r="N147" s="271"/>
      <c r="R147" s="243">
        <f t="shared" si="16"/>
        <v>1599.21405</v>
      </c>
    </row>
    <row r="148" ht="48" customHeight="1" spans="1:18">
      <c r="A148" s="262"/>
      <c r="B148" s="251" t="str">
        <f>装饰工程!B180</f>
        <v>柜台</v>
      </c>
      <c r="C148" s="256" t="str">
        <f>装饰工程!C180</f>
        <v>1.40*40*2镀锌方通骨架
2.12厚阻燃板/9厚石膏板
3.ST03a石材
4.作法详见-1F-DT-09节点22
5.其它说明：满足规范和设计图纸要求</v>
      </c>
      <c r="D148" s="258">
        <f t="shared" si="13"/>
        <v>9607.07574</v>
      </c>
      <c r="E148" s="260">
        <f>装饰工程!E180</f>
        <v>3.6</v>
      </c>
      <c r="F148" s="260">
        <v>2668.63215</v>
      </c>
      <c r="G148" s="264"/>
      <c r="H148" s="260">
        <v>0</v>
      </c>
      <c r="I148" s="260">
        <v>0</v>
      </c>
      <c r="J148" s="269">
        <f t="shared" si="14"/>
        <v>3.6</v>
      </c>
      <c r="K148" s="270">
        <v>0</v>
      </c>
      <c r="L148" s="269">
        <f t="shared" si="15"/>
        <v>0</v>
      </c>
      <c r="M148" s="271"/>
      <c r="N148" s="271"/>
      <c r="R148" s="243">
        <f t="shared" si="16"/>
        <v>4002.948225</v>
      </c>
    </row>
    <row r="149" customHeight="1" spans="1:18">
      <c r="A149" s="262"/>
      <c r="B149" s="251" t="str">
        <f>装饰工程!B181</f>
        <v>木质门</v>
      </c>
      <c r="C149" s="256" t="str">
        <f>装饰工程!C181</f>
        <v>1.尺寸：800*2400
2.门锁及其他五金配件
3.其它说明：满足规范和设计图纸要求</v>
      </c>
      <c r="D149" s="258">
        <f t="shared" si="13"/>
        <v>2932.13808</v>
      </c>
      <c r="E149" s="260">
        <f>装饰工程!E181</f>
        <v>1.92</v>
      </c>
      <c r="F149" s="260">
        <v>1527.15525</v>
      </c>
      <c r="G149" s="260"/>
      <c r="H149" s="260">
        <v>0</v>
      </c>
      <c r="I149" s="260">
        <v>0</v>
      </c>
      <c r="J149" s="269">
        <f t="shared" si="14"/>
        <v>1.92</v>
      </c>
      <c r="K149" s="270">
        <v>0</v>
      </c>
      <c r="L149" s="269">
        <f t="shared" si="15"/>
        <v>0</v>
      </c>
      <c r="M149" s="271">
        <f t="shared" ref="M149:M157" si="17">L149+I149</f>
        <v>0</v>
      </c>
      <c r="N149" s="271"/>
      <c r="R149" s="243">
        <f t="shared" si="16"/>
        <v>2290.732875</v>
      </c>
    </row>
    <row r="150" customHeight="1" spans="1:18">
      <c r="A150" s="262"/>
      <c r="B150" s="251" t="str">
        <f>装饰工程!B182</f>
        <v>墙面装饰板</v>
      </c>
      <c r="C150" s="256" t="str">
        <f>装饰工程!C182</f>
        <v>1.WD-01木饰面
2.具体做法详见-1F-MB-01
3.其它说明：满足规范和设计图纸要求</v>
      </c>
      <c r="D150" s="258">
        <f t="shared" si="13"/>
        <v>1289.19744</v>
      </c>
      <c r="E150" s="260">
        <f>装饰工程!E182</f>
        <v>1.28</v>
      </c>
      <c r="F150" s="260">
        <v>1007.1855</v>
      </c>
      <c r="G150" s="260"/>
      <c r="H150" s="260">
        <v>0</v>
      </c>
      <c r="I150" s="260">
        <v>0</v>
      </c>
      <c r="J150" s="269">
        <f t="shared" si="14"/>
        <v>1.28</v>
      </c>
      <c r="K150" s="270">
        <v>0.65</v>
      </c>
      <c r="L150" s="269">
        <f t="shared" si="15"/>
        <v>837.978336</v>
      </c>
      <c r="M150" s="271">
        <f t="shared" si="17"/>
        <v>837.978336</v>
      </c>
      <c r="N150" s="271"/>
      <c r="R150" s="243">
        <f t="shared" si="16"/>
        <v>1510.77825</v>
      </c>
    </row>
    <row r="151" customHeight="1" spans="1:18">
      <c r="A151" s="262"/>
      <c r="B151" s="251" t="str">
        <f>装饰工程!B183</f>
        <v>木门窗套</v>
      </c>
      <c r="C151" s="256" t="str">
        <f>装饰工程!C183</f>
        <v>1.WD-01木饰面
2.具体做法详-1F-MB-01
3.其它说明：满足规范和设计图纸要求</v>
      </c>
      <c r="D151" s="258">
        <f t="shared" si="13"/>
        <v>2818.4817</v>
      </c>
      <c r="E151" s="260">
        <f>装饰工程!E183</f>
        <v>1</v>
      </c>
      <c r="F151" s="260">
        <v>2818.4817</v>
      </c>
      <c r="G151" s="260"/>
      <c r="H151" s="260">
        <v>0</v>
      </c>
      <c r="I151" s="260">
        <v>0</v>
      </c>
      <c r="J151" s="269">
        <f t="shared" si="14"/>
        <v>1</v>
      </c>
      <c r="K151" s="270">
        <v>0</v>
      </c>
      <c r="L151" s="269">
        <f t="shared" si="15"/>
        <v>0</v>
      </c>
      <c r="M151" s="271">
        <f t="shared" si="17"/>
        <v>0</v>
      </c>
      <c r="N151" s="271"/>
      <c r="R151" s="243">
        <f t="shared" si="16"/>
        <v>4227.72255</v>
      </c>
    </row>
    <row r="152" customHeight="1" spans="1:18">
      <c r="A152" s="262"/>
      <c r="B152" s="251" t="str">
        <f>装饰工程!B184</f>
        <v>VIP室</v>
      </c>
      <c r="C152" s="256"/>
      <c r="D152" s="258"/>
      <c r="E152" s="260"/>
      <c r="F152" s="260"/>
      <c r="G152" s="260"/>
      <c r="H152" s="260"/>
      <c r="I152" s="260"/>
      <c r="J152" s="269"/>
      <c r="K152" s="278"/>
      <c r="L152" s="269"/>
      <c r="M152" s="271"/>
      <c r="N152" s="271"/>
      <c r="R152" s="243">
        <f t="shared" si="16"/>
        <v>0</v>
      </c>
    </row>
    <row r="153" customHeight="1" spans="1:18">
      <c r="A153" s="262"/>
      <c r="B153" s="251" t="str">
        <f>装饰工程!B185</f>
        <v>墙面装饰板</v>
      </c>
      <c r="C153" s="256" t="str">
        <f>装饰工程!C185</f>
        <v>1.双层12厚阻燃板基层
2.WD-01木饰面
3.其它说明：满足规范和设计图纸要求</v>
      </c>
      <c r="D153" s="258">
        <f t="shared" si="13"/>
        <v>7916.47803</v>
      </c>
      <c r="E153" s="260">
        <f>装饰工程!E185</f>
        <v>7.86</v>
      </c>
      <c r="F153" s="260">
        <v>1007.1855</v>
      </c>
      <c r="G153" s="260"/>
      <c r="H153" s="260">
        <v>0</v>
      </c>
      <c r="I153" s="260">
        <v>0</v>
      </c>
      <c r="J153" s="269">
        <f t="shared" si="14"/>
        <v>7.86</v>
      </c>
      <c r="K153" s="270">
        <v>0.65</v>
      </c>
      <c r="L153" s="269">
        <f t="shared" si="15"/>
        <v>5145.7107195</v>
      </c>
      <c r="M153" s="271">
        <f t="shared" si="17"/>
        <v>5145.7107195</v>
      </c>
      <c r="N153" s="271"/>
      <c r="R153" s="243">
        <f t="shared" si="16"/>
        <v>1510.77825</v>
      </c>
    </row>
    <row r="154" customHeight="1" spans="1:18">
      <c r="A154" s="262"/>
      <c r="B154" s="251" t="str">
        <f>装饰工程!B186</f>
        <v>墙面装饰板</v>
      </c>
      <c r="C154" s="256" t="str">
        <f>装饰工程!C186</f>
        <v>1.双层12厚阻燃板基层
2.UP02硬包
3.其它说明：满足规范和设计图纸要求</v>
      </c>
      <c r="D154" s="258">
        <f t="shared" si="13"/>
        <v>20543.374308</v>
      </c>
      <c r="E154" s="260">
        <f>装饰工程!E186</f>
        <v>32.33</v>
      </c>
      <c r="F154" s="260">
        <v>635.4276</v>
      </c>
      <c r="G154" s="260"/>
      <c r="H154" s="260">
        <v>0</v>
      </c>
      <c r="I154" s="260">
        <v>0</v>
      </c>
      <c r="J154" s="269">
        <f t="shared" si="14"/>
        <v>32.33</v>
      </c>
      <c r="K154" s="270">
        <v>0.65</v>
      </c>
      <c r="L154" s="269">
        <f t="shared" si="15"/>
        <v>13353.1933002</v>
      </c>
      <c r="M154" s="271">
        <f t="shared" si="17"/>
        <v>13353.1933002</v>
      </c>
      <c r="N154" s="271"/>
      <c r="R154" s="243">
        <f t="shared" si="16"/>
        <v>953.1414</v>
      </c>
    </row>
    <row r="155" customHeight="1" spans="1:18">
      <c r="A155" s="262"/>
      <c r="B155" s="251" t="str">
        <f>装饰工程!B187</f>
        <v>墙面装饰板</v>
      </c>
      <c r="C155" s="256" t="str">
        <f>装饰工程!C187</f>
        <v>1.双层12厚阻燃板基层
2.SP-03毛石饰面板
3.其它说明：满足规范和设计图纸要求</v>
      </c>
      <c r="D155" s="258">
        <f t="shared" si="13"/>
        <v>1145.3664375</v>
      </c>
      <c r="E155" s="260">
        <f>装饰工程!E187</f>
        <v>1.5</v>
      </c>
      <c r="F155" s="260">
        <v>763.577625</v>
      </c>
      <c r="G155" s="260"/>
      <c r="H155" s="260">
        <v>0</v>
      </c>
      <c r="I155" s="260">
        <v>0</v>
      </c>
      <c r="J155" s="269">
        <f t="shared" si="14"/>
        <v>1.5</v>
      </c>
      <c r="K155" s="270">
        <v>0.65</v>
      </c>
      <c r="L155" s="269">
        <f t="shared" si="15"/>
        <v>744.488184375</v>
      </c>
      <c r="M155" s="271">
        <f t="shared" si="17"/>
        <v>744.488184375</v>
      </c>
      <c r="N155" s="271"/>
      <c r="R155" s="243">
        <f t="shared" si="16"/>
        <v>1145.3664375</v>
      </c>
    </row>
    <row r="156" customHeight="1" spans="1:18">
      <c r="A156" s="262"/>
      <c r="B156" s="251" t="str">
        <f>装饰工程!B188</f>
        <v>金属踢脚线</v>
      </c>
      <c r="C156" s="256" t="str">
        <f>装饰工程!C188</f>
        <v>1.12mm厚阻燃板基层
2.MT01金属（踢脚线）30高
3.其它说明：满足规范和设计图纸要求</v>
      </c>
      <c r="D156" s="258">
        <f t="shared" si="13"/>
        <v>669.9077358</v>
      </c>
      <c r="E156" s="260">
        <f>装饰工程!E188</f>
        <v>9.01</v>
      </c>
      <c r="F156" s="260">
        <v>74.35158</v>
      </c>
      <c r="G156" s="260"/>
      <c r="H156" s="260">
        <v>0</v>
      </c>
      <c r="I156" s="260">
        <v>0</v>
      </c>
      <c r="J156" s="269">
        <f t="shared" si="14"/>
        <v>9.01</v>
      </c>
      <c r="K156" s="270">
        <v>0.65</v>
      </c>
      <c r="L156" s="269">
        <f t="shared" si="15"/>
        <v>435.44002827</v>
      </c>
      <c r="M156" s="271">
        <f t="shared" si="17"/>
        <v>435.44002827</v>
      </c>
      <c r="N156" s="271"/>
      <c r="R156" s="243">
        <f t="shared" si="16"/>
        <v>111.52737</v>
      </c>
    </row>
    <row r="157" customHeight="1" spans="1:18">
      <c r="A157" s="262"/>
      <c r="B157" s="251" t="str">
        <f>装饰工程!B189</f>
        <v>壁柜</v>
      </c>
      <c r="C157" s="256" t="str">
        <f>装饰工程!C189</f>
        <v>1.40*40*2镀锌方通骨架
2. 双层12厚阻燃板基层
3.WD01木饰面
4.作法详见-1F-DT-09节点24
5.其它说明：满足规范和设计图纸要求</v>
      </c>
      <c r="D157" s="258">
        <f t="shared" si="13"/>
        <v>19248.526803</v>
      </c>
      <c r="E157" s="260">
        <f>装饰工程!E189</f>
        <v>6.49</v>
      </c>
      <c r="F157" s="260">
        <v>2965.8747</v>
      </c>
      <c r="G157" s="260"/>
      <c r="H157" s="260">
        <v>0</v>
      </c>
      <c r="I157" s="260">
        <v>0</v>
      </c>
      <c r="J157" s="269">
        <f t="shared" si="14"/>
        <v>6.49</v>
      </c>
      <c r="K157" s="270">
        <v>0.65</v>
      </c>
      <c r="L157" s="269">
        <f t="shared" si="15"/>
        <v>12511.54242195</v>
      </c>
      <c r="M157" s="271">
        <f t="shared" si="17"/>
        <v>12511.54242195</v>
      </c>
      <c r="N157" s="271"/>
      <c r="R157" s="243">
        <f t="shared" si="16"/>
        <v>4448.81205</v>
      </c>
    </row>
    <row r="158" ht="45" customHeight="1" spans="1:18">
      <c r="A158" s="262"/>
      <c r="B158" s="251" t="str">
        <f>装饰工程!B190</f>
        <v>台面</v>
      </c>
      <c r="C158" s="263" t="str">
        <f>装饰工程!C190</f>
        <v>1.40*40*2镀锌方通骨架
2. 双层12厚阻燃板基层
3.MT01金属包台面
4.作法详见-1F-DT-09节点23
5.其它说明：满足规范和设计图纸要求</v>
      </c>
      <c r="D158" s="258">
        <f t="shared" si="13"/>
        <v>4703.7773745</v>
      </c>
      <c r="E158" s="260">
        <f>装饰工程!E190</f>
        <v>1.83</v>
      </c>
      <c r="F158" s="260">
        <v>2570.37015</v>
      </c>
      <c r="G158" s="264"/>
      <c r="H158" s="260">
        <v>0</v>
      </c>
      <c r="I158" s="260">
        <v>0</v>
      </c>
      <c r="J158" s="269">
        <f t="shared" si="14"/>
        <v>1.83</v>
      </c>
      <c r="K158" s="270">
        <v>0</v>
      </c>
      <c r="L158" s="269">
        <f t="shared" si="15"/>
        <v>0</v>
      </c>
      <c r="M158" s="271"/>
      <c r="N158" s="271"/>
      <c r="R158" s="243">
        <f t="shared" si="16"/>
        <v>3855.555225</v>
      </c>
    </row>
    <row r="159" customHeight="1" spans="1:18">
      <c r="A159" s="262"/>
      <c r="B159" s="251" t="str">
        <f>装饰工程!B191</f>
        <v>木质门</v>
      </c>
      <c r="C159" s="256" t="str">
        <f>装饰工程!C191</f>
        <v>1.M-04
2.具体做法详见门表
3.其它说明：满足规范和设计图纸要求</v>
      </c>
      <c r="D159" s="258">
        <f t="shared" si="13"/>
        <v>2637.483096</v>
      </c>
      <c r="E159" s="260">
        <f>装饰工程!E191</f>
        <v>1</v>
      </c>
      <c r="F159" s="260">
        <v>2637.483096</v>
      </c>
      <c r="G159" s="260"/>
      <c r="H159" s="260">
        <v>0</v>
      </c>
      <c r="I159" s="260">
        <v>0</v>
      </c>
      <c r="J159" s="269">
        <f t="shared" si="14"/>
        <v>1</v>
      </c>
      <c r="K159" s="270">
        <v>0</v>
      </c>
      <c r="L159" s="269">
        <f t="shared" si="15"/>
        <v>0</v>
      </c>
      <c r="M159" s="271">
        <f t="shared" ref="M159:M190" si="18">L159+I159</f>
        <v>0</v>
      </c>
      <c r="N159" s="271"/>
      <c r="R159" s="243">
        <f t="shared" si="16"/>
        <v>3956.224644</v>
      </c>
    </row>
    <row r="160" customHeight="1" spans="1:18">
      <c r="A160" s="262"/>
      <c r="B160" s="251" t="str">
        <f>装饰工程!B194</f>
        <v>营销休息室/会议室</v>
      </c>
      <c r="C160" s="256"/>
      <c r="D160" s="258"/>
      <c r="E160" s="260"/>
      <c r="F160" s="260"/>
      <c r="G160" s="260"/>
      <c r="H160" s="260">
        <v>0</v>
      </c>
      <c r="I160" s="260">
        <v>0</v>
      </c>
      <c r="J160" s="269">
        <f t="shared" si="14"/>
        <v>0</v>
      </c>
      <c r="K160" s="278"/>
      <c r="L160" s="269"/>
      <c r="M160" s="271"/>
      <c r="N160" s="271"/>
      <c r="R160" s="243">
        <f t="shared" si="16"/>
        <v>0</v>
      </c>
    </row>
    <row r="161" customHeight="1" spans="1:18">
      <c r="A161" s="262"/>
      <c r="B161" s="251" t="str">
        <f>装饰工程!B195</f>
        <v>抹灰面油漆</v>
      </c>
      <c r="C161" s="256" t="str">
        <f>装饰工程!C195</f>
        <v>1.喷乳胶漆一道
2.刷乳胶漆一道
3.刷抗碱底漆一道
4.刮白胶腻子找平二遍，打磨
5.阴阳角护角收边
6.3-5mm厚薄抹灰砂浆层
7.界面剂，接缝处网格布处理
8.其它说明：满足规范和设计图纸要求</v>
      </c>
      <c r="D161" s="258">
        <f t="shared" si="13"/>
        <v>6598.45707</v>
      </c>
      <c r="E161" s="260">
        <f>装饰工程!E195</f>
        <v>74.96</v>
      </c>
      <c r="F161" s="260">
        <v>88.026375</v>
      </c>
      <c r="G161" s="260"/>
      <c r="H161" s="260">
        <v>0</v>
      </c>
      <c r="I161" s="260">
        <v>0</v>
      </c>
      <c r="J161" s="269">
        <f t="shared" si="14"/>
        <v>74.96</v>
      </c>
      <c r="K161" s="270">
        <v>0</v>
      </c>
      <c r="L161" s="269">
        <f t="shared" si="15"/>
        <v>0</v>
      </c>
      <c r="M161" s="271">
        <f t="shared" si="18"/>
        <v>0</v>
      </c>
      <c r="N161" s="271"/>
      <c r="R161" s="243">
        <f t="shared" si="16"/>
        <v>132.0395625</v>
      </c>
    </row>
    <row r="162" customHeight="1" spans="1:18">
      <c r="A162" s="262"/>
      <c r="B162" s="251" t="str">
        <f>装饰工程!B196</f>
        <v>金属踢脚线</v>
      </c>
      <c r="C162" s="256" t="str">
        <f>装饰工程!C196</f>
        <v>1.12mm厚阻燃板基层
2.MT01金属（踢脚线）30高
3.其它说明：满足规范和设计图纸要求</v>
      </c>
      <c r="D162" s="258">
        <f t="shared" si="13"/>
        <v>1733.8788456</v>
      </c>
      <c r="E162" s="260">
        <f>装饰工程!E196</f>
        <v>23.32</v>
      </c>
      <c r="F162" s="260">
        <v>74.35158</v>
      </c>
      <c r="G162" s="260"/>
      <c r="H162" s="260">
        <v>0</v>
      </c>
      <c r="I162" s="260">
        <v>0</v>
      </c>
      <c r="J162" s="269">
        <f t="shared" si="14"/>
        <v>23.32</v>
      </c>
      <c r="K162" s="270">
        <v>0</v>
      </c>
      <c r="L162" s="269">
        <f t="shared" si="15"/>
        <v>0</v>
      </c>
      <c r="M162" s="271">
        <f t="shared" si="18"/>
        <v>0</v>
      </c>
      <c r="N162" s="271"/>
      <c r="R162" s="243">
        <f t="shared" si="16"/>
        <v>111.52737</v>
      </c>
    </row>
    <row r="163" customHeight="1" spans="1:18">
      <c r="A163" s="262"/>
      <c r="B163" s="251" t="str">
        <f>装饰工程!B197</f>
        <v>木质门</v>
      </c>
      <c r="C163" s="256" t="str">
        <f>装饰工程!C197</f>
        <v>1.尺寸：800*2400
2.门锁及其他五金配件
3.其它说明：满足规范和设计图纸要求</v>
      </c>
      <c r="D163" s="258">
        <f t="shared" si="13"/>
        <v>2932.13808</v>
      </c>
      <c r="E163" s="260">
        <f>装饰工程!E197</f>
        <v>1.92</v>
      </c>
      <c r="F163" s="260">
        <v>1527.15525</v>
      </c>
      <c r="G163" s="260"/>
      <c r="H163" s="260">
        <v>0</v>
      </c>
      <c r="I163" s="260">
        <v>0</v>
      </c>
      <c r="J163" s="269">
        <f t="shared" si="14"/>
        <v>1.92</v>
      </c>
      <c r="K163" s="270">
        <v>0</v>
      </c>
      <c r="L163" s="269">
        <f t="shared" si="15"/>
        <v>0</v>
      </c>
      <c r="M163" s="271">
        <f t="shared" si="18"/>
        <v>0</v>
      </c>
      <c r="N163" s="271"/>
      <c r="R163" s="243">
        <f t="shared" si="16"/>
        <v>2290.732875</v>
      </c>
    </row>
    <row r="164" customHeight="1" spans="1:18">
      <c r="A164" s="262"/>
      <c r="B164" s="251" t="str">
        <f>装饰工程!B198</f>
        <v>墙面装饰板</v>
      </c>
      <c r="C164" s="256" t="str">
        <f>装饰工程!C198</f>
        <v>1.WD-01木饰面
2.具体做法详见-1F-MB-01
3.其它说明：满足规范和设计图纸要求</v>
      </c>
      <c r="D164" s="258">
        <f t="shared" si="13"/>
        <v>1289.19744</v>
      </c>
      <c r="E164" s="260">
        <f>装饰工程!E198</f>
        <v>1.28</v>
      </c>
      <c r="F164" s="260">
        <v>1007.1855</v>
      </c>
      <c r="G164" s="260"/>
      <c r="H164" s="260">
        <v>0</v>
      </c>
      <c r="I164" s="260">
        <v>0</v>
      </c>
      <c r="J164" s="269">
        <f t="shared" si="14"/>
        <v>1.28</v>
      </c>
      <c r="K164" s="270">
        <v>0.65</v>
      </c>
      <c r="L164" s="269">
        <f t="shared" si="15"/>
        <v>837.978336</v>
      </c>
      <c r="M164" s="271">
        <f t="shared" si="18"/>
        <v>837.978336</v>
      </c>
      <c r="N164" s="271"/>
      <c r="R164" s="243">
        <f t="shared" si="16"/>
        <v>1510.77825</v>
      </c>
    </row>
    <row r="165" customHeight="1" spans="1:18">
      <c r="A165" s="262"/>
      <c r="B165" s="251" t="str">
        <f>装饰工程!B199</f>
        <v>木门窗套</v>
      </c>
      <c r="C165" s="256" t="str">
        <f>装饰工程!C199</f>
        <v>1.WD-01木饰面
2.具体做法详-1F-MB-01
3.其它说明：满足规范和设计图纸要求</v>
      </c>
      <c r="D165" s="258">
        <f t="shared" si="13"/>
        <v>2818.4817</v>
      </c>
      <c r="E165" s="260">
        <f>装饰工程!E199</f>
        <v>1</v>
      </c>
      <c r="F165" s="260">
        <v>2818.4817</v>
      </c>
      <c r="G165" s="260"/>
      <c r="H165" s="260">
        <v>0</v>
      </c>
      <c r="I165" s="260">
        <v>0</v>
      </c>
      <c r="J165" s="269">
        <f t="shared" si="14"/>
        <v>1</v>
      </c>
      <c r="K165" s="270">
        <v>0</v>
      </c>
      <c r="L165" s="269">
        <f t="shared" si="15"/>
        <v>0</v>
      </c>
      <c r="M165" s="271">
        <f t="shared" si="18"/>
        <v>0</v>
      </c>
      <c r="N165" s="271"/>
      <c r="R165" s="243">
        <f t="shared" si="16"/>
        <v>4227.72255</v>
      </c>
    </row>
    <row r="166" customHeight="1" spans="1:18">
      <c r="A166" s="262"/>
      <c r="B166" s="251" t="str">
        <f>装饰工程!B200</f>
        <v>按揭办公室</v>
      </c>
      <c r="C166" s="256"/>
      <c r="D166" s="258"/>
      <c r="E166" s="260"/>
      <c r="F166" s="260"/>
      <c r="G166" s="260"/>
      <c r="H166" s="260"/>
      <c r="I166" s="260"/>
      <c r="J166" s="269">
        <f t="shared" si="14"/>
        <v>0</v>
      </c>
      <c r="K166" s="278"/>
      <c r="L166" s="269"/>
      <c r="M166" s="271"/>
      <c r="N166" s="271"/>
      <c r="R166" s="243">
        <f t="shared" si="16"/>
        <v>0</v>
      </c>
    </row>
    <row r="167" customHeight="1" spans="1:18">
      <c r="A167" s="262"/>
      <c r="B167" s="251" t="str">
        <f>装饰工程!B201</f>
        <v>抹灰面油漆</v>
      </c>
      <c r="C167" s="256" t="str">
        <f>装饰工程!C201</f>
        <v>1.喷乳胶漆一道
2.刷乳胶漆一道
3.刷抗碱底漆一道
4.刮白胶腻子找平二遍，打磨
5.阴阳角护角收边
6.3-5mm厚薄抹灰砂浆层
7.界面剂，接缝处网格布处理
8.其它说明：满足规范和设计图纸要求</v>
      </c>
      <c r="D167" s="258">
        <f t="shared" si="13"/>
        <v>3817.70388375</v>
      </c>
      <c r="E167" s="260">
        <f>装饰工程!E201</f>
        <v>43.37</v>
      </c>
      <c r="F167" s="260">
        <v>88.026375</v>
      </c>
      <c r="G167" s="260"/>
      <c r="H167" s="260">
        <v>0</v>
      </c>
      <c r="I167" s="260">
        <v>0</v>
      </c>
      <c r="J167" s="269">
        <f t="shared" si="14"/>
        <v>43.37</v>
      </c>
      <c r="K167" s="270">
        <v>0</v>
      </c>
      <c r="L167" s="269">
        <f t="shared" si="15"/>
        <v>0</v>
      </c>
      <c r="M167" s="271">
        <f t="shared" si="18"/>
        <v>0</v>
      </c>
      <c r="N167" s="271"/>
      <c r="R167" s="243">
        <f t="shared" si="16"/>
        <v>132.0395625</v>
      </c>
    </row>
    <row r="168" customHeight="1" spans="1:18">
      <c r="A168" s="262"/>
      <c r="B168" s="251" t="str">
        <f>装饰工程!B202</f>
        <v>玻璃隔断</v>
      </c>
      <c r="C168" s="256" t="str">
        <f>装饰工程!C202</f>
        <v>1.GL01 玻璃隔断
2.详见-1F-DT-10节点27
3.其它说明：满足规范和设计图纸要求</v>
      </c>
      <c r="D168" s="258">
        <f t="shared" si="13"/>
        <v>2094.29076</v>
      </c>
      <c r="E168" s="260">
        <f>装饰工程!E202</f>
        <v>2.3</v>
      </c>
      <c r="F168" s="260">
        <v>910.5612</v>
      </c>
      <c r="G168" s="260"/>
      <c r="H168" s="260">
        <v>0</v>
      </c>
      <c r="I168" s="260">
        <v>0</v>
      </c>
      <c r="J168" s="269">
        <f t="shared" si="14"/>
        <v>2.3</v>
      </c>
      <c r="K168" s="270">
        <v>0.8</v>
      </c>
      <c r="L168" s="269">
        <f t="shared" si="15"/>
        <v>1675.432608</v>
      </c>
      <c r="M168" s="271">
        <f t="shared" si="18"/>
        <v>1675.432608</v>
      </c>
      <c r="N168" s="271"/>
      <c r="R168" s="243">
        <f t="shared" si="16"/>
        <v>1365.8418</v>
      </c>
    </row>
    <row r="169" customHeight="1" spans="1:18">
      <c r="A169" s="262"/>
      <c r="B169" s="251" t="str">
        <f>装饰工程!B203</f>
        <v>金属踢脚线</v>
      </c>
      <c r="C169" s="256" t="str">
        <f>装饰工程!C203</f>
        <v>1.12mm厚阻燃板基层
2.MT01金属（踢脚线）30高
3.其它说明：满足规范和设计图纸要求</v>
      </c>
      <c r="D169" s="258">
        <f t="shared" si="13"/>
        <v>1033.486962</v>
      </c>
      <c r="E169" s="260">
        <f>装饰工程!E203</f>
        <v>13.9</v>
      </c>
      <c r="F169" s="260">
        <v>74.35158</v>
      </c>
      <c r="G169" s="260"/>
      <c r="H169" s="260">
        <v>0</v>
      </c>
      <c r="I169" s="260">
        <v>0</v>
      </c>
      <c r="J169" s="269">
        <f t="shared" si="14"/>
        <v>13.9</v>
      </c>
      <c r="K169" s="270">
        <v>0</v>
      </c>
      <c r="L169" s="269">
        <f t="shared" si="15"/>
        <v>0</v>
      </c>
      <c r="M169" s="271">
        <f t="shared" si="18"/>
        <v>0</v>
      </c>
      <c r="N169" s="271"/>
      <c r="R169" s="243">
        <f t="shared" si="16"/>
        <v>111.52737</v>
      </c>
    </row>
    <row r="170" customHeight="1" spans="1:18">
      <c r="A170" s="262"/>
      <c r="B170" s="251" t="str">
        <f>装饰工程!B204</f>
        <v>木质门</v>
      </c>
      <c r="C170" s="256" t="str">
        <f>装饰工程!C204</f>
        <v>1.尺寸：800*2400
2.门锁及其他五金配件
3.其它说明：满足规范和设计图纸要求</v>
      </c>
      <c r="D170" s="258">
        <f t="shared" si="13"/>
        <v>2932.13808</v>
      </c>
      <c r="E170" s="260">
        <f>装饰工程!E204</f>
        <v>1.92</v>
      </c>
      <c r="F170" s="260">
        <v>1527.15525</v>
      </c>
      <c r="G170" s="260"/>
      <c r="H170" s="260">
        <v>0</v>
      </c>
      <c r="I170" s="260">
        <v>0</v>
      </c>
      <c r="J170" s="269">
        <f t="shared" si="14"/>
        <v>1.92</v>
      </c>
      <c r="K170" s="270">
        <v>0</v>
      </c>
      <c r="L170" s="269">
        <f t="shared" si="15"/>
        <v>0</v>
      </c>
      <c r="M170" s="271">
        <f t="shared" si="18"/>
        <v>0</v>
      </c>
      <c r="N170" s="271"/>
      <c r="R170" s="243">
        <f t="shared" si="16"/>
        <v>2290.732875</v>
      </c>
    </row>
    <row r="171" customHeight="1" spans="1:18">
      <c r="A171" s="262"/>
      <c r="B171" s="251" t="str">
        <f>装饰工程!B205</f>
        <v>墙面装饰板</v>
      </c>
      <c r="C171" s="256" t="str">
        <f>装饰工程!C205</f>
        <v>1.WD-01木饰面
2.具体做法详见-1F-MB-01
3.其它说明：满足规范和设计图纸要求</v>
      </c>
      <c r="D171" s="258">
        <f t="shared" si="13"/>
        <v>1289.19744</v>
      </c>
      <c r="E171" s="260">
        <f>装饰工程!E205</f>
        <v>1.28</v>
      </c>
      <c r="F171" s="260">
        <v>1007.1855</v>
      </c>
      <c r="G171" s="260"/>
      <c r="H171" s="260">
        <v>0</v>
      </c>
      <c r="I171" s="260">
        <v>0</v>
      </c>
      <c r="J171" s="269">
        <f t="shared" si="14"/>
        <v>1.28</v>
      </c>
      <c r="K171" s="270">
        <v>0.65</v>
      </c>
      <c r="L171" s="269">
        <f t="shared" si="15"/>
        <v>837.978336</v>
      </c>
      <c r="M171" s="271">
        <f t="shared" si="18"/>
        <v>837.978336</v>
      </c>
      <c r="N171" s="271"/>
      <c r="R171" s="243">
        <f t="shared" si="16"/>
        <v>1510.77825</v>
      </c>
    </row>
    <row r="172" customHeight="1" spans="1:18">
      <c r="A172" s="262"/>
      <c r="B172" s="251" t="str">
        <f>装饰工程!B206</f>
        <v>木门窗套</v>
      </c>
      <c r="C172" s="256" t="str">
        <f>装饰工程!C206</f>
        <v>1.WD-01木饰面
2.具体做法详-1F-MB-01
3.其它说明：满足规范和设计图纸要求</v>
      </c>
      <c r="D172" s="258">
        <f t="shared" si="13"/>
        <v>2818.4817</v>
      </c>
      <c r="E172" s="260">
        <f>装饰工程!E206</f>
        <v>1</v>
      </c>
      <c r="F172" s="260">
        <v>2818.4817</v>
      </c>
      <c r="G172" s="260"/>
      <c r="H172" s="260">
        <v>0</v>
      </c>
      <c r="I172" s="260">
        <v>0</v>
      </c>
      <c r="J172" s="269">
        <f t="shared" si="14"/>
        <v>1</v>
      </c>
      <c r="K172" s="270">
        <v>0</v>
      </c>
      <c r="L172" s="269">
        <f t="shared" si="15"/>
        <v>0</v>
      </c>
      <c r="M172" s="271">
        <f t="shared" si="18"/>
        <v>0</v>
      </c>
      <c r="N172" s="271"/>
      <c r="R172" s="243">
        <f t="shared" si="16"/>
        <v>4227.72255</v>
      </c>
    </row>
    <row r="173" customHeight="1" spans="1:18">
      <c r="A173" s="262"/>
      <c r="B173" s="251" t="str">
        <f>装饰工程!B207</f>
        <v>总经理办公室</v>
      </c>
      <c r="C173" s="256"/>
      <c r="D173" s="258"/>
      <c r="E173" s="260"/>
      <c r="F173" s="260"/>
      <c r="G173" s="260"/>
      <c r="H173" s="260"/>
      <c r="I173" s="260"/>
      <c r="J173" s="269"/>
      <c r="K173" s="278"/>
      <c r="L173" s="269"/>
      <c r="M173" s="271">
        <f t="shared" si="18"/>
        <v>0</v>
      </c>
      <c r="N173" s="271"/>
      <c r="R173" s="243">
        <f t="shared" si="16"/>
        <v>0</v>
      </c>
    </row>
    <row r="174" customHeight="1" spans="1:18">
      <c r="A174" s="262"/>
      <c r="B174" s="251" t="str">
        <f>装饰工程!B208</f>
        <v>抹灰面油漆</v>
      </c>
      <c r="C174" s="256" t="str">
        <f>装饰工程!C208</f>
        <v>1.喷乳胶漆一道
2.刷乳胶漆一道
3.刷抗碱底漆一道
4.刮白胶腻子找平二遍，打磨
5.阴阳角护角收边
6.3-5mm厚薄抹灰砂浆层
7.界面剂，接缝处网格布处理
8.其它说明：满足规范和设计图纸要求</v>
      </c>
      <c r="D174" s="258">
        <f t="shared" si="13"/>
        <v>2800.11898875</v>
      </c>
      <c r="E174" s="260">
        <f>装饰工程!E208</f>
        <v>31.81</v>
      </c>
      <c r="F174" s="260">
        <v>88.026375</v>
      </c>
      <c r="G174" s="260"/>
      <c r="H174" s="260">
        <v>0</v>
      </c>
      <c r="I174" s="260">
        <v>0</v>
      </c>
      <c r="J174" s="269">
        <f t="shared" si="14"/>
        <v>31.81</v>
      </c>
      <c r="K174" s="270">
        <v>0</v>
      </c>
      <c r="L174" s="269">
        <f t="shared" si="15"/>
        <v>0</v>
      </c>
      <c r="M174" s="271">
        <f t="shared" si="18"/>
        <v>0</v>
      </c>
      <c r="N174" s="271"/>
      <c r="R174" s="243">
        <f t="shared" si="16"/>
        <v>132.0395625</v>
      </c>
    </row>
    <row r="175" customHeight="1" spans="1:18">
      <c r="A175" s="262"/>
      <c r="B175" s="251" t="str">
        <f>装饰工程!B209</f>
        <v>玻璃隔断</v>
      </c>
      <c r="C175" s="256" t="str">
        <f>装饰工程!C209</f>
        <v>1.GL01 玻璃隔断
2.详见-1F-DT-10节点27
3.其它说明：满足规范和设计图纸要求</v>
      </c>
      <c r="D175" s="258">
        <f t="shared" si="13"/>
        <v>7858.143156</v>
      </c>
      <c r="E175" s="260">
        <f>装饰工程!E209</f>
        <v>8.63</v>
      </c>
      <c r="F175" s="260">
        <v>910.5612</v>
      </c>
      <c r="G175" s="260"/>
      <c r="H175" s="260">
        <v>0</v>
      </c>
      <c r="I175" s="260">
        <v>0</v>
      </c>
      <c r="J175" s="269">
        <f t="shared" si="14"/>
        <v>8.63</v>
      </c>
      <c r="K175" s="270">
        <v>0.8</v>
      </c>
      <c r="L175" s="269">
        <f t="shared" si="15"/>
        <v>6286.5145248</v>
      </c>
      <c r="M175" s="271">
        <f t="shared" si="18"/>
        <v>6286.5145248</v>
      </c>
      <c r="N175" s="271"/>
      <c r="R175" s="243">
        <f t="shared" si="16"/>
        <v>1365.8418</v>
      </c>
    </row>
    <row r="176" customHeight="1" spans="1:18">
      <c r="A176" s="262"/>
      <c r="B176" s="251" t="str">
        <f>装饰工程!B210</f>
        <v>金属踢脚线</v>
      </c>
      <c r="C176" s="256" t="str">
        <f>装饰工程!C210</f>
        <v>1.12mm厚阻燃板基层
2.MT01金属（踢脚线）30高
3.其它说明：满足规范和设计图纸要求</v>
      </c>
      <c r="D176" s="258">
        <f t="shared" si="13"/>
        <v>758.386116</v>
      </c>
      <c r="E176" s="260">
        <f>装饰工程!E210</f>
        <v>10.2</v>
      </c>
      <c r="F176" s="260">
        <v>74.35158</v>
      </c>
      <c r="G176" s="260"/>
      <c r="H176" s="260">
        <v>0</v>
      </c>
      <c r="I176" s="260">
        <v>0</v>
      </c>
      <c r="J176" s="269">
        <f t="shared" si="14"/>
        <v>10.2</v>
      </c>
      <c r="K176" s="270">
        <v>0</v>
      </c>
      <c r="L176" s="269">
        <f t="shared" si="15"/>
        <v>0</v>
      </c>
      <c r="M176" s="271">
        <f t="shared" si="18"/>
        <v>0</v>
      </c>
      <c r="N176" s="271"/>
      <c r="R176" s="243">
        <f t="shared" si="16"/>
        <v>111.52737</v>
      </c>
    </row>
    <row r="177" customHeight="1" spans="1:18">
      <c r="A177" s="262"/>
      <c r="B177" s="251" t="str">
        <f>装饰工程!B211</f>
        <v>木质门</v>
      </c>
      <c r="C177" s="256" t="str">
        <f>装饰工程!C211</f>
        <v>1.尺寸：800*2400
2.门锁及其他五金配件
3.其它说明：满足规范和设计图纸要求</v>
      </c>
      <c r="D177" s="258">
        <f t="shared" si="13"/>
        <v>2932.13808</v>
      </c>
      <c r="E177" s="260">
        <f>装饰工程!E211</f>
        <v>1.92</v>
      </c>
      <c r="F177" s="260">
        <v>1527.15525</v>
      </c>
      <c r="G177" s="260"/>
      <c r="H177" s="260">
        <v>0</v>
      </c>
      <c r="I177" s="260">
        <v>0</v>
      </c>
      <c r="J177" s="269">
        <f t="shared" si="14"/>
        <v>1.92</v>
      </c>
      <c r="K177" s="270">
        <v>0</v>
      </c>
      <c r="L177" s="269">
        <f t="shared" si="15"/>
        <v>0</v>
      </c>
      <c r="M177" s="271">
        <f t="shared" si="18"/>
        <v>0</v>
      </c>
      <c r="N177" s="271"/>
      <c r="R177" s="243">
        <f t="shared" si="16"/>
        <v>2290.732875</v>
      </c>
    </row>
    <row r="178" customHeight="1" spans="1:18">
      <c r="A178" s="262"/>
      <c r="B178" s="251" t="str">
        <f>装饰工程!B212</f>
        <v>墙面装饰板</v>
      </c>
      <c r="C178" s="256" t="str">
        <f>装饰工程!C212</f>
        <v>1.WD-01木饰面
2.具体做法详见-1F-MB-01
3.其它说明：满足规范和设计图纸要求</v>
      </c>
      <c r="D178" s="258">
        <f t="shared" si="13"/>
        <v>1289.19744</v>
      </c>
      <c r="E178" s="260">
        <f>装饰工程!E212</f>
        <v>1.28</v>
      </c>
      <c r="F178" s="260">
        <v>1007.1855</v>
      </c>
      <c r="G178" s="260"/>
      <c r="H178" s="260">
        <v>0</v>
      </c>
      <c r="I178" s="260">
        <v>0</v>
      </c>
      <c r="J178" s="269">
        <f t="shared" si="14"/>
        <v>1.28</v>
      </c>
      <c r="K178" s="270">
        <v>0.65</v>
      </c>
      <c r="L178" s="269">
        <f t="shared" si="15"/>
        <v>837.978336</v>
      </c>
      <c r="M178" s="271">
        <f t="shared" si="18"/>
        <v>837.978336</v>
      </c>
      <c r="N178" s="271"/>
      <c r="R178" s="243">
        <f t="shared" si="16"/>
        <v>1510.77825</v>
      </c>
    </row>
    <row r="179" customHeight="1" spans="1:18">
      <c r="A179" s="262"/>
      <c r="B179" s="251" t="str">
        <f>装饰工程!B213</f>
        <v>木门窗套</v>
      </c>
      <c r="C179" s="256" t="str">
        <f>装饰工程!C213</f>
        <v>1.WD-01木饰面
2.具体做法详-1F-MB-01
3.其它说明：满足规范和设计图纸要求</v>
      </c>
      <c r="D179" s="258">
        <f t="shared" si="13"/>
        <v>2818.4817</v>
      </c>
      <c r="E179" s="260">
        <f>装饰工程!E213</f>
        <v>1</v>
      </c>
      <c r="F179" s="260">
        <v>2818.4817</v>
      </c>
      <c r="G179" s="260"/>
      <c r="H179" s="260">
        <v>0</v>
      </c>
      <c r="I179" s="260">
        <v>0</v>
      </c>
      <c r="J179" s="269">
        <f t="shared" si="14"/>
        <v>1</v>
      </c>
      <c r="K179" s="270">
        <v>0</v>
      </c>
      <c r="L179" s="269">
        <f t="shared" si="15"/>
        <v>0</v>
      </c>
      <c r="M179" s="271">
        <f t="shared" si="18"/>
        <v>0</v>
      </c>
      <c r="N179" s="271"/>
      <c r="R179" s="243">
        <f t="shared" si="16"/>
        <v>4227.72255</v>
      </c>
    </row>
    <row r="180" customHeight="1" spans="1:18">
      <c r="A180" s="262"/>
      <c r="B180" s="251" t="str">
        <f>装饰工程!B214</f>
        <v>总监办公室</v>
      </c>
      <c r="C180" s="256"/>
      <c r="D180" s="258"/>
      <c r="E180" s="260"/>
      <c r="F180" s="260"/>
      <c r="G180" s="260"/>
      <c r="H180" s="260"/>
      <c r="I180" s="260"/>
      <c r="J180" s="269"/>
      <c r="K180" s="278"/>
      <c r="L180" s="269"/>
      <c r="M180" s="271"/>
      <c r="N180" s="271"/>
      <c r="R180" s="243">
        <f t="shared" si="16"/>
        <v>0</v>
      </c>
    </row>
    <row r="181" customHeight="1" spans="1:18">
      <c r="A181" s="262"/>
      <c r="B181" s="251" t="str">
        <f>装饰工程!B215</f>
        <v>抹灰面油漆</v>
      </c>
      <c r="C181" s="256" t="str">
        <f>装饰工程!C215</f>
        <v>1.喷乳胶漆一道
2.刷乳胶漆一道
3.刷抗碱底漆一道
4.刮白胶腻子找平二遍，打磨
5.阴阳角护角收边
6.3-5mm厚薄抹灰砂浆层
7.界面剂，接缝处网格布处理
8.其它说明：满足规范和设计图纸要求</v>
      </c>
      <c r="D181" s="258">
        <f t="shared" si="13"/>
        <v>6265.7173725</v>
      </c>
      <c r="E181" s="260">
        <f>装饰工程!E215</f>
        <v>71.18</v>
      </c>
      <c r="F181" s="260">
        <v>88.026375</v>
      </c>
      <c r="G181" s="260"/>
      <c r="H181" s="260">
        <v>0</v>
      </c>
      <c r="I181" s="260">
        <v>0</v>
      </c>
      <c r="J181" s="269">
        <f t="shared" si="14"/>
        <v>71.18</v>
      </c>
      <c r="K181" s="270">
        <v>0</v>
      </c>
      <c r="L181" s="269">
        <f t="shared" si="15"/>
        <v>0</v>
      </c>
      <c r="M181" s="271">
        <f t="shared" si="18"/>
        <v>0</v>
      </c>
      <c r="N181" s="271"/>
      <c r="R181" s="243">
        <f t="shared" si="16"/>
        <v>132.0395625</v>
      </c>
    </row>
    <row r="182" customHeight="1" spans="1:18">
      <c r="A182" s="262"/>
      <c r="B182" s="251" t="str">
        <f>装饰工程!B216</f>
        <v>玻璃隔断</v>
      </c>
      <c r="C182" s="256" t="str">
        <f>装饰工程!C216</f>
        <v>1.GL01 玻璃隔断
2.详见-1F-DT-10节点27
3.其它说明：满足规范和设计图纸要求</v>
      </c>
      <c r="D182" s="258">
        <f t="shared" si="13"/>
        <v>9005.450268</v>
      </c>
      <c r="E182" s="260">
        <f>装饰工程!E216</f>
        <v>9.89</v>
      </c>
      <c r="F182" s="260">
        <v>910.5612</v>
      </c>
      <c r="G182" s="260"/>
      <c r="H182" s="260">
        <v>0</v>
      </c>
      <c r="I182" s="260">
        <v>0</v>
      </c>
      <c r="J182" s="269">
        <f t="shared" si="14"/>
        <v>9.89</v>
      </c>
      <c r="K182" s="270">
        <v>0.8</v>
      </c>
      <c r="L182" s="269">
        <f t="shared" si="15"/>
        <v>7204.3602144</v>
      </c>
      <c r="M182" s="271">
        <f t="shared" si="18"/>
        <v>7204.3602144</v>
      </c>
      <c r="N182" s="271"/>
      <c r="R182" s="243">
        <f t="shared" si="16"/>
        <v>1365.8418</v>
      </c>
    </row>
    <row r="183" customHeight="1" spans="1:18">
      <c r="A183" s="262"/>
      <c r="B183" s="251" t="str">
        <f>装饰工程!B217</f>
        <v>金属踢脚线</v>
      </c>
      <c r="C183" s="256" t="str">
        <f>装饰工程!C217</f>
        <v>1.12mm厚阻燃板基层
2.MT01金属（踢脚线）30高
3.其它说明：满足规范和设计图纸要求</v>
      </c>
      <c r="D183" s="258">
        <f t="shared" si="13"/>
        <v>1704.1382136</v>
      </c>
      <c r="E183" s="260">
        <f>装饰工程!E217</f>
        <v>22.92</v>
      </c>
      <c r="F183" s="260">
        <v>74.35158</v>
      </c>
      <c r="G183" s="260"/>
      <c r="H183" s="260">
        <v>0</v>
      </c>
      <c r="I183" s="260">
        <v>0</v>
      </c>
      <c r="J183" s="269">
        <f t="shared" si="14"/>
        <v>22.92</v>
      </c>
      <c r="K183" s="270">
        <v>0</v>
      </c>
      <c r="L183" s="269">
        <f t="shared" si="15"/>
        <v>0</v>
      </c>
      <c r="M183" s="271">
        <f t="shared" si="18"/>
        <v>0</v>
      </c>
      <c r="N183" s="271"/>
      <c r="R183" s="243">
        <f t="shared" si="16"/>
        <v>111.52737</v>
      </c>
    </row>
    <row r="184" customHeight="1" spans="1:18">
      <c r="A184" s="262"/>
      <c r="B184" s="251" t="str">
        <f>装饰工程!B218</f>
        <v>木质门</v>
      </c>
      <c r="C184" s="256" t="str">
        <f>装饰工程!C218</f>
        <v>1.尺寸：800*2400
2.门锁及其他五金配件
3.其它说明：满足规范和设计图纸要求</v>
      </c>
      <c r="D184" s="258">
        <f t="shared" si="13"/>
        <v>2932.13808</v>
      </c>
      <c r="E184" s="260">
        <f>装饰工程!E218</f>
        <v>1.92</v>
      </c>
      <c r="F184" s="260">
        <v>1527.15525</v>
      </c>
      <c r="G184" s="260"/>
      <c r="H184" s="260">
        <v>0</v>
      </c>
      <c r="I184" s="260">
        <v>0</v>
      </c>
      <c r="J184" s="269">
        <f t="shared" si="14"/>
        <v>1.92</v>
      </c>
      <c r="K184" s="270">
        <v>0</v>
      </c>
      <c r="L184" s="269">
        <f t="shared" si="15"/>
        <v>0</v>
      </c>
      <c r="M184" s="271">
        <f t="shared" si="18"/>
        <v>0</v>
      </c>
      <c r="N184" s="271"/>
      <c r="R184" s="243">
        <f t="shared" si="16"/>
        <v>2290.732875</v>
      </c>
    </row>
    <row r="185" customHeight="1" spans="1:18">
      <c r="A185" s="262"/>
      <c r="B185" s="251" t="str">
        <f>装饰工程!B219</f>
        <v>墙面装饰板</v>
      </c>
      <c r="C185" s="256" t="str">
        <f>装饰工程!C219</f>
        <v>1.WD-01木饰面
2.具体做法详见-1F-MB-01
3.其它说明：满足规范和设计图纸要求</v>
      </c>
      <c r="D185" s="258">
        <f t="shared" si="13"/>
        <v>1289.19744</v>
      </c>
      <c r="E185" s="260">
        <f>装饰工程!E219</f>
        <v>1.28</v>
      </c>
      <c r="F185" s="260">
        <v>1007.1855</v>
      </c>
      <c r="G185" s="260"/>
      <c r="H185" s="260">
        <v>0</v>
      </c>
      <c r="I185" s="260">
        <v>0</v>
      </c>
      <c r="J185" s="269">
        <f t="shared" si="14"/>
        <v>1.28</v>
      </c>
      <c r="K185" s="270">
        <v>0.65</v>
      </c>
      <c r="L185" s="269">
        <f t="shared" si="15"/>
        <v>837.978336</v>
      </c>
      <c r="M185" s="271">
        <f t="shared" si="18"/>
        <v>837.978336</v>
      </c>
      <c r="N185" s="271"/>
      <c r="R185" s="243">
        <f t="shared" si="16"/>
        <v>1510.77825</v>
      </c>
    </row>
    <row r="186" customHeight="1" spans="1:18">
      <c r="A186" s="262"/>
      <c r="B186" s="251" t="str">
        <f>装饰工程!B220</f>
        <v>木门窗套</v>
      </c>
      <c r="C186" s="256" t="str">
        <f>装饰工程!C220</f>
        <v>1.WD-01木饰面
2.具体做法详-1F-MB-01
3.其它说明：满足规范和设计图纸要求</v>
      </c>
      <c r="D186" s="258">
        <f t="shared" si="13"/>
        <v>2818.4817</v>
      </c>
      <c r="E186" s="260">
        <f>装饰工程!E220</f>
        <v>1</v>
      </c>
      <c r="F186" s="260">
        <v>2818.4817</v>
      </c>
      <c r="G186" s="260"/>
      <c r="H186" s="260">
        <v>0</v>
      </c>
      <c r="I186" s="260">
        <v>0</v>
      </c>
      <c r="J186" s="269">
        <f t="shared" si="14"/>
        <v>1</v>
      </c>
      <c r="K186" s="270">
        <v>0</v>
      </c>
      <c r="L186" s="269">
        <f t="shared" si="15"/>
        <v>0</v>
      </c>
      <c r="M186" s="271">
        <f t="shared" si="18"/>
        <v>0</v>
      </c>
      <c r="N186" s="271"/>
      <c r="R186" s="243">
        <f t="shared" si="16"/>
        <v>4227.72255</v>
      </c>
    </row>
    <row r="187" customHeight="1" spans="1:18">
      <c r="A187" s="262"/>
      <c r="B187" s="251" t="str">
        <f>装饰工程!B221</f>
        <v>储藏室</v>
      </c>
      <c r="C187" s="256"/>
      <c r="D187" s="258"/>
      <c r="E187" s="260"/>
      <c r="F187" s="260"/>
      <c r="G187" s="260"/>
      <c r="H187" s="260"/>
      <c r="I187" s="260"/>
      <c r="J187" s="269"/>
      <c r="K187" s="278"/>
      <c r="L187" s="269"/>
      <c r="M187" s="271"/>
      <c r="N187" s="271"/>
      <c r="R187" s="243">
        <f t="shared" si="16"/>
        <v>0</v>
      </c>
    </row>
    <row r="188" customHeight="1" spans="1:18">
      <c r="A188" s="262"/>
      <c r="B188" s="251" t="str">
        <f>装饰工程!B222</f>
        <v>抹灰面油漆</v>
      </c>
      <c r="C188" s="256" t="str">
        <f>装饰工程!C222</f>
        <v>1.喷乳胶漆一道
2.刷乳胶漆一道
3.刷抗碱底漆一道
4.刮白胶腻子找平二遍，打磨
5.阴阳角护角收边
6.3-5mm厚薄抹灰砂浆层
7.界面剂，接缝处网格布处理
8.其它说明：满足规范和设计图纸要求</v>
      </c>
      <c r="D188" s="258">
        <f t="shared" si="13"/>
        <v>3315.0732825</v>
      </c>
      <c r="E188" s="260">
        <f>装饰工程!E222</f>
        <v>37.66</v>
      </c>
      <c r="F188" s="260">
        <v>88.026375</v>
      </c>
      <c r="G188" s="260"/>
      <c r="H188" s="260">
        <v>0</v>
      </c>
      <c r="I188" s="260">
        <v>0</v>
      </c>
      <c r="J188" s="269">
        <f t="shared" si="14"/>
        <v>37.66</v>
      </c>
      <c r="K188" s="270">
        <v>0</v>
      </c>
      <c r="L188" s="269">
        <f t="shared" si="15"/>
        <v>0</v>
      </c>
      <c r="M188" s="271">
        <f t="shared" si="18"/>
        <v>0</v>
      </c>
      <c r="N188" s="271"/>
      <c r="R188" s="243">
        <f t="shared" si="16"/>
        <v>132.0395625</v>
      </c>
    </row>
    <row r="189" customHeight="1" spans="1:18">
      <c r="A189" s="262"/>
      <c r="B189" s="251" t="str">
        <f>装饰工程!B223</f>
        <v>金属踢脚线</v>
      </c>
      <c r="C189" s="256" t="str">
        <f>装饰工程!C223</f>
        <v>1.12mm厚阻燃板基层
2.MT01金属（踢脚线）30高
3.其它说明：满足规范和设计图纸要求</v>
      </c>
      <c r="D189" s="258">
        <f t="shared" si="13"/>
        <v>912.2938866</v>
      </c>
      <c r="E189" s="260">
        <f>装饰工程!E223</f>
        <v>12.27</v>
      </c>
      <c r="F189" s="260">
        <v>74.35158</v>
      </c>
      <c r="G189" s="260"/>
      <c r="H189" s="260">
        <v>0</v>
      </c>
      <c r="I189" s="260">
        <v>0</v>
      </c>
      <c r="J189" s="269">
        <f t="shared" si="14"/>
        <v>12.27</v>
      </c>
      <c r="K189" s="270">
        <v>0</v>
      </c>
      <c r="L189" s="269">
        <f t="shared" si="15"/>
        <v>0</v>
      </c>
      <c r="M189" s="271">
        <f t="shared" si="18"/>
        <v>0</v>
      </c>
      <c r="N189" s="271"/>
      <c r="R189" s="243">
        <f t="shared" si="16"/>
        <v>111.52737</v>
      </c>
    </row>
    <row r="190" customHeight="1" spans="1:18">
      <c r="A190" s="262"/>
      <c r="B190" s="251" t="str">
        <f>装饰工程!B224</f>
        <v>木质门</v>
      </c>
      <c r="C190" s="256" t="str">
        <f>装饰工程!C224</f>
        <v>1.尺寸：800*2400
2.门锁及其他五金配件
3.其它说明：满足规范和设计图纸要求</v>
      </c>
      <c r="D190" s="258">
        <f t="shared" si="13"/>
        <v>2932.13808</v>
      </c>
      <c r="E190" s="260">
        <f>装饰工程!E224</f>
        <v>1.92</v>
      </c>
      <c r="F190" s="260">
        <v>1527.15525</v>
      </c>
      <c r="G190" s="260"/>
      <c r="H190" s="260">
        <v>0</v>
      </c>
      <c r="I190" s="260">
        <v>0</v>
      </c>
      <c r="J190" s="269">
        <f t="shared" si="14"/>
        <v>1.92</v>
      </c>
      <c r="K190" s="270">
        <v>0</v>
      </c>
      <c r="L190" s="269">
        <f t="shared" si="15"/>
        <v>0</v>
      </c>
      <c r="M190" s="271">
        <f t="shared" si="18"/>
        <v>0</v>
      </c>
      <c r="N190" s="271"/>
      <c r="R190" s="243">
        <f t="shared" si="16"/>
        <v>2290.732875</v>
      </c>
    </row>
    <row r="191" customHeight="1" spans="1:18">
      <c r="A191" s="262"/>
      <c r="B191" s="251" t="str">
        <f>装饰工程!B225</f>
        <v>墙面装饰板</v>
      </c>
      <c r="C191" s="256" t="str">
        <f>装饰工程!C225</f>
        <v>1.WD-01木饰面
2.具体做法详见-1F-MB-01
3.其它说明：满足规范和设计图纸要求</v>
      </c>
      <c r="D191" s="258">
        <f t="shared" si="13"/>
        <v>1289.19744</v>
      </c>
      <c r="E191" s="260">
        <f>装饰工程!E225</f>
        <v>1.28</v>
      </c>
      <c r="F191" s="260">
        <v>1007.1855</v>
      </c>
      <c r="G191" s="260"/>
      <c r="H191" s="260">
        <v>0</v>
      </c>
      <c r="I191" s="260">
        <v>0</v>
      </c>
      <c r="J191" s="269">
        <f t="shared" si="14"/>
        <v>1.28</v>
      </c>
      <c r="K191" s="270">
        <v>0.65</v>
      </c>
      <c r="L191" s="269">
        <f t="shared" si="15"/>
        <v>837.978336</v>
      </c>
      <c r="M191" s="271">
        <f t="shared" ref="M191:M222" si="19">L191+I191</f>
        <v>837.978336</v>
      </c>
      <c r="N191" s="271"/>
      <c r="R191" s="243">
        <f t="shared" si="16"/>
        <v>1510.77825</v>
      </c>
    </row>
    <row r="192" customHeight="1" spans="1:18">
      <c r="A192" s="262"/>
      <c r="B192" s="251" t="str">
        <f>装饰工程!B226</f>
        <v>木门窗套</v>
      </c>
      <c r="C192" s="256" t="str">
        <f>装饰工程!C226</f>
        <v>1.WD-01木饰面
2.具体做法详-1F-MB-01
3.其它说明：满足规范和设计图纸要求</v>
      </c>
      <c r="D192" s="258">
        <f t="shared" si="13"/>
        <v>2818.4817</v>
      </c>
      <c r="E192" s="260">
        <f>装饰工程!E226</f>
        <v>1</v>
      </c>
      <c r="F192" s="260">
        <v>2818.4817</v>
      </c>
      <c r="G192" s="260"/>
      <c r="H192" s="260">
        <v>0</v>
      </c>
      <c r="I192" s="260">
        <v>0</v>
      </c>
      <c r="J192" s="269">
        <f t="shared" si="14"/>
        <v>1</v>
      </c>
      <c r="K192" s="270">
        <v>0</v>
      </c>
      <c r="L192" s="269">
        <f t="shared" si="15"/>
        <v>0</v>
      </c>
      <c r="M192" s="271">
        <f t="shared" si="19"/>
        <v>0</v>
      </c>
      <c r="N192" s="271"/>
      <c r="R192" s="243">
        <f t="shared" si="16"/>
        <v>4227.72255</v>
      </c>
    </row>
    <row r="193" customHeight="1" spans="1:18">
      <c r="A193" s="262"/>
      <c r="B193" s="251" t="str">
        <f>装饰工程!B227</f>
        <v>物业储藏室</v>
      </c>
      <c r="C193" s="256"/>
      <c r="D193" s="258"/>
      <c r="E193" s="260"/>
      <c r="F193" s="260"/>
      <c r="G193" s="260"/>
      <c r="H193" s="260"/>
      <c r="I193" s="260"/>
      <c r="J193" s="269"/>
      <c r="K193" s="278"/>
      <c r="L193" s="269"/>
      <c r="M193" s="271"/>
      <c r="N193" s="271"/>
      <c r="R193" s="243">
        <f t="shared" si="16"/>
        <v>0</v>
      </c>
    </row>
    <row r="194" customHeight="1" spans="1:18">
      <c r="A194" s="262"/>
      <c r="B194" s="251" t="str">
        <f>装饰工程!B228</f>
        <v>抹灰面油漆</v>
      </c>
      <c r="C194" s="256" t="str">
        <f>装饰工程!C228</f>
        <v>1.喷乳胶漆一道
2.刷乳胶漆一道
3.刷抗碱底漆一道
4.刮白胶腻子找平二遍，打磨
5.阴阳角护角收边
6.3-5mm厚薄抹灰砂浆层
7.界面剂，接缝处网格布处理
8.其它说明：满足规范和设计图纸要求</v>
      </c>
      <c r="D194" s="258">
        <f t="shared" si="13"/>
        <v>3369.649635</v>
      </c>
      <c r="E194" s="260">
        <f>装饰工程!E228</f>
        <v>38.28</v>
      </c>
      <c r="F194" s="260">
        <v>88.026375</v>
      </c>
      <c r="G194" s="260"/>
      <c r="H194" s="260">
        <v>0</v>
      </c>
      <c r="I194" s="260">
        <v>0</v>
      </c>
      <c r="J194" s="269">
        <f t="shared" si="14"/>
        <v>38.28</v>
      </c>
      <c r="K194" s="270">
        <v>0</v>
      </c>
      <c r="L194" s="269">
        <f t="shared" si="15"/>
        <v>0</v>
      </c>
      <c r="M194" s="271">
        <f t="shared" si="19"/>
        <v>0</v>
      </c>
      <c r="N194" s="271"/>
      <c r="R194" s="243">
        <f t="shared" si="16"/>
        <v>132.0395625</v>
      </c>
    </row>
    <row r="195" customHeight="1" spans="1:18">
      <c r="A195" s="262"/>
      <c r="B195" s="251" t="str">
        <f>装饰工程!B229</f>
        <v>金属踢脚线</v>
      </c>
      <c r="C195" s="256" t="str">
        <f>装饰工程!C229</f>
        <v>1.12mm厚阻燃板基层
2.MT01金属（踢脚线）30高
3.其它说明：满足规范和设计图纸要求</v>
      </c>
      <c r="D195" s="258">
        <f t="shared" si="13"/>
        <v>897.4235706</v>
      </c>
      <c r="E195" s="260">
        <f>装饰工程!E229</f>
        <v>12.07</v>
      </c>
      <c r="F195" s="260">
        <v>74.35158</v>
      </c>
      <c r="G195" s="260"/>
      <c r="H195" s="260">
        <v>0</v>
      </c>
      <c r="I195" s="260">
        <v>0</v>
      </c>
      <c r="J195" s="269">
        <f t="shared" si="14"/>
        <v>12.07</v>
      </c>
      <c r="K195" s="270">
        <v>0</v>
      </c>
      <c r="L195" s="269">
        <f t="shared" si="15"/>
        <v>0</v>
      </c>
      <c r="M195" s="271">
        <f t="shared" si="19"/>
        <v>0</v>
      </c>
      <c r="N195" s="271"/>
      <c r="R195" s="243">
        <f t="shared" si="16"/>
        <v>111.52737</v>
      </c>
    </row>
    <row r="196" customHeight="1" spans="1:18">
      <c r="A196" s="262"/>
      <c r="B196" s="251" t="str">
        <f>装饰工程!B230</f>
        <v>木质门</v>
      </c>
      <c r="C196" s="256" t="str">
        <f>装饰工程!C230</f>
        <v>1.尺寸：800*2400
2.门锁及其他五金配件
3.其它说明：满足规范和设计图纸要求</v>
      </c>
      <c r="D196" s="258">
        <f t="shared" si="13"/>
        <v>2932.13808</v>
      </c>
      <c r="E196" s="260">
        <f>装饰工程!E230</f>
        <v>1.92</v>
      </c>
      <c r="F196" s="260">
        <v>1527.15525</v>
      </c>
      <c r="G196" s="260"/>
      <c r="H196" s="260">
        <v>0</v>
      </c>
      <c r="I196" s="260">
        <v>0</v>
      </c>
      <c r="J196" s="269">
        <f t="shared" si="14"/>
        <v>1.92</v>
      </c>
      <c r="K196" s="270">
        <v>0</v>
      </c>
      <c r="L196" s="269">
        <f t="shared" si="15"/>
        <v>0</v>
      </c>
      <c r="M196" s="271">
        <f t="shared" si="19"/>
        <v>0</v>
      </c>
      <c r="N196" s="271"/>
      <c r="R196" s="243">
        <f t="shared" si="16"/>
        <v>2290.732875</v>
      </c>
    </row>
    <row r="197" customHeight="1" spans="1:18">
      <c r="A197" s="262"/>
      <c r="B197" s="251" t="str">
        <f>装饰工程!B231</f>
        <v>墙面装饰板</v>
      </c>
      <c r="C197" s="256" t="str">
        <f>装饰工程!C231</f>
        <v>1.WD-01木饰面
2.具体做法详见-1F-MB-01
3.其它说明：满足规范和设计图纸要求</v>
      </c>
      <c r="D197" s="258">
        <f t="shared" si="13"/>
        <v>1289.19744</v>
      </c>
      <c r="E197" s="260">
        <f>装饰工程!E231</f>
        <v>1.28</v>
      </c>
      <c r="F197" s="260">
        <v>1007.1855</v>
      </c>
      <c r="G197" s="260"/>
      <c r="H197" s="260">
        <v>0</v>
      </c>
      <c r="I197" s="260">
        <v>0</v>
      </c>
      <c r="J197" s="269">
        <f t="shared" si="14"/>
        <v>1.28</v>
      </c>
      <c r="K197" s="270">
        <v>0.65</v>
      </c>
      <c r="L197" s="269">
        <f t="shared" si="15"/>
        <v>837.978336</v>
      </c>
      <c r="M197" s="271">
        <f t="shared" si="19"/>
        <v>837.978336</v>
      </c>
      <c r="N197" s="271"/>
      <c r="R197" s="243">
        <f t="shared" si="16"/>
        <v>1510.77825</v>
      </c>
    </row>
    <row r="198" customHeight="1" spans="1:18">
      <c r="A198" s="262"/>
      <c r="B198" s="251" t="str">
        <f>装饰工程!B232</f>
        <v>木门窗套</v>
      </c>
      <c r="C198" s="256" t="str">
        <f>装饰工程!C232</f>
        <v>1.WD-01木饰面
2.具体做法详-1F-MB-01
3.其它说明：满足规范和设计图纸要求</v>
      </c>
      <c r="D198" s="258">
        <f t="shared" ref="D198:D261" si="20">E198*F198</f>
        <v>2818.4817</v>
      </c>
      <c r="E198" s="260">
        <f>装饰工程!E232</f>
        <v>1</v>
      </c>
      <c r="F198" s="260">
        <v>2818.4817</v>
      </c>
      <c r="G198" s="260"/>
      <c r="H198" s="260">
        <v>0</v>
      </c>
      <c r="I198" s="260">
        <v>0</v>
      </c>
      <c r="J198" s="269">
        <f t="shared" ref="J198:J261" si="21">E198</f>
        <v>1</v>
      </c>
      <c r="K198" s="270">
        <v>0</v>
      </c>
      <c r="L198" s="269">
        <f t="shared" ref="L198:L261" si="22">J198*F198*K198</f>
        <v>0</v>
      </c>
      <c r="M198" s="271">
        <f t="shared" si="19"/>
        <v>0</v>
      </c>
      <c r="N198" s="271"/>
      <c r="R198" s="243">
        <f t="shared" ref="R198:R261" si="23">F198*$R$4</f>
        <v>4227.72255</v>
      </c>
    </row>
    <row r="199" customHeight="1" spans="1:18">
      <c r="A199" s="262"/>
      <c r="B199" s="251" t="str">
        <f>装饰工程!B233</f>
        <v>3D影音室</v>
      </c>
      <c r="C199" s="256"/>
      <c r="D199" s="258"/>
      <c r="E199" s="260"/>
      <c r="F199" s="260"/>
      <c r="G199" s="260"/>
      <c r="H199" s="260">
        <v>0</v>
      </c>
      <c r="I199" s="260">
        <v>0</v>
      </c>
      <c r="J199" s="269">
        <f t="shared" si="21"/>
        <v>0</v>
      </c>
      <c r="K199" s="278"/>
      <c r="L199" s="269"/>
      <c r="M199" s="271"/>
      <c r="N199" s="271"/>
      <c r="R199" s="243">
        <f t="shared" si="23"/>
        <v>0</v>
      </c>
    </row>
    <row r="200" customHeight="1" spans="1:18">
      <c r="A200" s="262"/>
      <c r="B200" s="251" t="str">
        <f>装饰工程!B234</f>
        <v>抹灰面油漆</v>
      </c>
      <c r="C200" s="256" t="str">
        <f>装饰工程!C234</f>
        <v>1.米白色肌理漆（各种颜色），含专用腻子等
2.阴阳角护角收边
3.3-5mm厚薄抹灰砂浆层
4.界面剂，接缝处网格布处理
5.其它说明：满足规范和设计图纸要求</v>
      </c>
      <c r="D200" s="258">
        <f t="shared" si="20"/>
        <v>8078.13949125</v>
      </c>
      <c r="E200" s="260">
        <f>装饰工程!E234</f>
        <v>64.69</v>
      </c>
      <c r="F200" s="260">
        <v>124.874625</v>
      </c>
      <c r="G200" s="260"/>
      <c r="H200" s="260">
        <v>0</v>
      </c>
      <c r="I200" s="260">
        <v>0</v>
      </c>
      <c r="J200" s="269">
        <f t="shared" si="21"/>
        <v>64.69</v>
      </c>
      <c r="K200" s="270">
        <v>0</v>
      </c>
      <c r="L200" s="269">
        <f t="shared" si="22"/>
        <v>0</v>
      </c>
      <c r="M200" s="271">
        <f t="shared" si="19"/>
        <v>0</v>
      </c>
      <c r="N200" s="271"/>
      <c r="R200" s="243">
        <f t="shared" si="23"/>
        <v>187.3119375</v>
      </c>
    </row>
    <row r="201" customHeight="1" spans="1:18">
      <c r="A201" s="262"/>
      <c r="B201" s="251" t="str">
        <f>装饰工程!B235</f>
        <v>金属踢脚线</v>
      </c>
      <c r="C201" s="256" t="str">
        <f>装饰工程!C235</f>
        <v>1.12mm厚阻燃板基层
2.MT01金属（踢脚线）30高
3.其它说明：满足规范和设计图纸要求</v>
      </c>
      <c r="D201" s="258">
        <f t="shared" si="20"/>
        <v>1607.4811596</v>
      </c>
      <c r="E201" s="260">
        <f>装饰工程!E235</f>
        <v>21.62</v>
      </c>
      <c r="F201" s="260">
        <v>74.35158</v>
      </c>
      <c r="G201" s="260"/>
      <c r="H201" s="260">
        <v>0</v>
      </c>
      <c r="I201" s="260">
        <v>0</v>
      </c>
      <c r="J201" s="269">
        <f t="shared" si="21"/>
        <v>21.62</v>
      </c>
      <c r="K201" s="270">
        <v>0</v>
      </c>
      <c r="L201" s="269">
        <f t="shared" si="22"/>
        <v>0</v>
      </c>
      <c r="M201" s="271">
        <f t="shared" si="19"/>
        <v>0</v>
      </c>
      <c r="N201" s="271"/>
      <c r="R201" s="243">
        <f t="shared" si="23"/>
        <v>111.52737</v>
      </c>
    </row>
    <row r="202" customHeight="1" spans="1:18">
      <c r="A202" s="262"/>
      <c r="B202" s="251" t="str">
        <f>装饰工程!B236</f>
        <v>玻璃隔断</v>
      </c>
      <c r="C202" s="256" t="str">
        <f>装饰工程!C236</f>
        <v>1.12mm钢化玻璃，U型玻璃槽钢固定于地面
2.详见-1F-DT-10节点27A
3.其它说明：满足规范和设计图纸要求</v>
      </c>
      <c r="D202" s="258">
        <f t="shared" si="20"/>
        <v>2795.422884</v>
      </c>
      <c r="E202" s="260">
        <f>装饰工程!E236</f>
        <v>3.07</v>
      </c>
      <c r="F202" s="260">
        <v>910.5612</v>
      </c>
      <c r="G202" s="260"/>
      <c r="H202" s="260">
        <v>0</v>
      </c>
      <c r="I202" s="260">
        <v>0</v>
      </c>
      <c r="J202" s="269">
        <f t="shared" si="21"/>
        <v>3.07</v>
      </c>
      <c r="K202" s="270">
        <v>0.8</v>
      </c>
      <c r="L202" s="269">
        <f t="shared" si="22"/>
        <v>2236.3383072</v>
      </c>
      <c r="M202" s="271">
        <f t="shared" si="19"/>
        <v>2236.3383072</v>
      </c>
      <c r="N202" s="271"/>
      <c r="R202" s="243">
        <f t="shared" si="23"/>
        <v>1365.8418</v>
      </c>
    </row>
    <row r="203" customHeight="1" spans="1:18">
      <c r="A203" s="262"/>
      <c r="B203" s="251" t="str">
        <f>装饰工程!B237</f>
        <v>消火栓隔板</v>
      </c>
      <c r="C203" s="256" t="str">
        <f>装饰工程!C237</f>
        <v>1.12厚阻燃板基层
2.9厚石膏板基层，含专用腻子等
3.PT-01米白色肌理漆
4.作法详见-1F-DT-01节点02a
5.其它说明：满足规范和设计图纸要求</v>
      </c>
      <c r="D203" s="258">
        <f t="shared" si="20"/>
        <v>1702.929591</v>
      </c>
      <c r="E203" s="260">
        <f>装饰工程!E237</f>
        <v>2.76</v>
      </c>
      <c r="F203" s="260">
        <v>617.003475</v>
      </c>
      <c r="G203" s="260"/>
      <c r="H203" s="260">
        <v>0</v>
      </c>
      <c r="I203" s="260">
        <v>0</v>
      </c>
      <c r="J203" s="269">
        <f t="shared" si="21"/>
        <v>2.76</v>
      </c>
      <c r="K203" s="270">
        <v>0.8</v>
      </c>
      <c r="L203" s="269">
        <f t="shared" si="22"/>
        <v>1362.3436728</v>
      </c>
      <c r="M203" s="271">
        <f t="shared" si="19"/>
        <v>1362.3436728</v>
      </c>
      <c r="N203" s="271"/>
      <c r="R203" s="243">
        <f t="shared" si="23"/>
        <v>925.5052125</v>
      </c>
    </row>
    <row r="204" customHeight="1" spans="1:18">
      <c r="A204" s="262"/>
      <c r="B204" s="251" t="str">
        <f>装饰工程!B238</f>
        <v>投影</v>
      </c>
      <c r="C204" s="256" t="str">
        <f>装饰工程!C238</f>
        <v>1.3D影音投影
2.包含投影设备
3.其它说明：满足规范和设计图纸要求</v>
      </c>
      <c r="D204" s="258">
        <f t="shared" si="20"/>
        <v>330733.515</v>
      </c>
      <c r="E204" s="260">
        <f>装饰工程!E238</f>
        <v>1</v>
      </c>
      <c r="F204" s="260">
        <v>330733.515</v>
      </c>
      <c r="G204" s="260"/>
      <c r="H204" s="260">
        <v>0</v>
      </c>
      <c r="I204" s="260">
        <v>0</v>
      </c>
      <c r="J204" s="269">
        <f t="shared" si="21"/>
        <v>1</v>
      </c>
      <c r="K204" s="270">
        <v>0</v>
      </c>
      <c r="L204" s="269">
        <f t="shared" si="22"/>
        <v>0</v>
      </c>
      <c r="M204" s="271">
        <f t="shared" si="19"/>
        <v>0</v>
      </c>
      <c r="N204" s="271"/>
      <c r="R204" s="243">
        <f t="shared" si="23"/>
        <v>496100.2725</v>
      </c>
    </row>
    <row r="205" ht="23" customHeight="1" spans="1:18">
      <c r="A205" s="262"/>
      <c r="B205" s="251" t="str">
        <f>装饰工程!B239</f>
        <v>台球室</v>
      </c>
      <c r="C205" s="263"/>
      <c r="D205" s="258"/>
      <c r="E205" s="260"/>
      <c r="F205" s="260"/>
      <c r="G205" s="264"/>
      <c r="H205" s="260"/>
      <c r="I205" s="260"/>
      <c r="J205" s="269"/>
      <c r="K205" s="278"/>
      <c r="L205" s="269"/>
      <c r="M205" s="271"/>
      <c r="N205" s="271"/>
      <c r="R205" s="243">
        <f t="shared" si="23"/>
        <v>0</v>
      </c>
    </row>
    <row r="206" ht="49" customHeight="1" spans="1:18">
      <c r="A206" s="262"/>
      <c r="B206" s="251" t="str">
        <f>装饰工程!B240</f>
        <v>抹灰面油漆</v>
      </c>
      <c r="C206" s="256" t="str">
        <f>装饰工程!C240</f>
        <v>1.米白色肌理漆（各种颜色），含专用腻子等
2.阴阳角护角收边
3.3-5mm厚薄抹灰砂浆层
4.界面剂，接缝处网格布处理
5.其它说明：满足规范和设计图纸要求</v>
      </c>
      <c r="D206" s="258">
        <f t="shared" si="20"/>
        <v>5450.77738125</v>
      </c>
      <c r="E206" s="260">
        <f>装饰工程!E240</f>
        <v>43.65</v>
      </c>
      <c r="F206" s="260">
        <v>124.874625</v>
      </c>
      <c r="G206" s="260"/>
      <c r="H206" s="260">
        <v>0</v>
      </c>
      <c r="I206" s="260">
        <v>0</v>
      </c>
      <c r="J206" s="269">
        <f t="shared" si="21"/>
        <v>43.65</v>
      </c>
      <c r="K206" s="270">
        <v>0</v>
      </c>
      <c r="L206" s="269">
        <f t="shared" si="22"/>
        <v>0</v>
      </c>
      <c r="M206" s="271">
        <f t="shared" si="19"/>
        <v>0</v>
      </c>
      <c r="N206" s="271"/>
      <c r="R206" s="243">
        <f t="shared" si="23"/>
        <v>187.3119375</v>
      </c>
    </row>
    <row r="207" ht="42" customHeight="1" spans="1:18">
      <c r="A207" s="262"/>
      <c r="B207" s="251" t="str">
        <f>装饰工程!B241</f>
        <v>金属踢脚线</v>
      </c>
      <c r="C207" s="256" t="str">
        <f>装饰工程!C241</f>
        <v>1.12mm厚阻燃板基层
2.MT01金属（踢脚线）30高
3.其它说明：满足规范和设计图纸要求</v>
      </c>
      <c r="D207" s="258">
        <f t="shared" si="20"/>
        <v>1040.1786042</v>
      </c>
      <c r="E207" s="260">
        <f>装饰工程!E241</f>
        <v>13.99</v>
      </c>
      <c r="F207" s="260">
        <v>74.35158</v>
      </c>
      <c r="G207" s="260"/>
      <c r="H207" s="260">
        <v>0</v>
      </c>
      <c r="I207" s="260">
        <v>0</v>
      </c>
      <c r="J207" s="269">
        <f t="shared" si="21"/>
        <v>13.99</v>
      </c>
      <c r="K207" s="270">
        <v>0.8</v>
      </c>
      <c r="L207" s="269">
        <f t="shared" si="22"/>
        <v>832.14288336</v>
      </c>
      <c r="M207" s="271">
        <f t="shared" si="19"/>
        <v>832.14288336</v>
      </c>
      <c r="N207" s="271"/>
      <c r="R207" s="243">
        <f t="shared" si="23"/>
        <v>111.52737</v>
      </c>
    </row>
    <row r="208" customHeight="1" spans="1:18">
      <c r="A208" s="262"/>
      <c r="B208" s="251" t="str">
        <f>装饰工程!B242</f>
        <v>木隔断</v>
      </c>
      <c r="C208" s="256" t="str">
        <f>装饰工程!C242</f>
        <v>1.M-06
2.具体做法详见-1F-MB-06
3.其它说明：满足规范和设计图纸要求</v>
      </c>
      <c r="D208" s="258">
        <f t="shared" si="20"/>
        <v>23302.8333</v>
      </c>
      <c r="E208" s="260">
        <f>装饰工程!E242</f>
        <v>20.4</v>
      </c>
      <c r="F208" s="260">
        <v>1142.29575</v>
      </c>
      <c r="G208" s="260"/>
      <c r="H208" s="260">
        <v>0</v>
      </c>
      <c r="I208" s="260">
        <v>0</v>
      </c>
      <c r="J208" s="269">
        <f t="shared" si="21"/>
        <v>20.4</v>
      </c>
      <c r="K208" s="270">
        <v>0.8</v>
      </c>
      <c r="L208" s="269">
        <f t="shared" si="22"/>
        <v>18642.26664</v>
      </c>
      <c r="M208" s="271">
        <f t="shared" si="19"/>
        <v>18642.26664</v>
      </c>
      <c r="N208" s="271"/>
      <c r="R208" s="243">
        <f t="shared" si="23"/>
        <v>1713.443625</v>
      </c>
    </row>
    <row r="209" customHeight="1" spans="1:18">
      <c r="A209" s="262"/>
      <c r="B209" s="251" t="str">
        <f>装饰工程!B243</f>
        <v>乒乓球室</v>
      </c>
      <c r="C209" s="256"/>
      <c r="D209" s="258"/>
      <c r="E209" s="260"/>
      <c r="F209" s="260"/>
      <c r="G209" s="260"/>
      <c r="H209" s="260">
        <v>0</v>
      </c>
      <c r="I209" s="260">
        <v>0</v>
      </c>
      <c r="J209" s="269">
        <f t="shared" si="21"/>
        <v>0</v>
      </c>
      <c r="K209" s="278"/>
      <c r="L209" s="269"/>
      <c r="M209" s="271">
        <f t="shared" si="19"/>
        <v>0</v>
      </c>
      <c r="N209" s="271"/>
      <c r="R209" s="243">
        <f t="shared" si="23"/>
        <v>0</v>
      </c>
    </row>
    <row r="210" customHeight="1" spans="1:18">
      <c r="A210" s="262"/>
      <c r="B210" s="251" t="str">
        <f>装饰工程!B244</f>
        <v>抹灰面油漆</v>
      </c>
      <c r="C210" s="256" t="str">
        <f>装饰工程!C244</f>
        <v>1.米白色肌理漆（各种颜色），含专用腻子等
2.阴阳角护角收边
3.3-5mm厚薄抹灰砂浆层
4.界面剂，接缝处网格布处理
5.其它说明：满足规范和设计图纸要求</v>
      </c>
      <c r="D210" s="258">
        <f t="shared" si="20"/>
        <v>5545.68209625</v>
      </c>
      <c r="E210" s="260">
        <v>44.41</v>
      </c>
      <c r="F210" s="260">
        <v>124.874625</v>
      </c>
      <c r="G210" s="260"/>
      <c r="H210" s="260">
        <v>0</v>
      </c>
      <c r="I210" s="260">
        <v>0</v>
      </c>
      <c r="J210" s="269">
        <f t="shared" si="21"/>
        <v>44.41</v>
      </c>
      <c r="K210" s="270">
        <v>0</v>
      </c>
      <c r="L210" s="269">
        <f t="shared" si="22"/>
        <v>0</v>
      </c>
      <c r="M210" s="271">
        <f t="shared" si="19"/>
        <v>0</v>
      </c>
      <c r="N210" s="271"/>
      <c r="R210" s="243">
        <f t="shared" si="23"/>
        <v>187.3119375</v>
      </c>
    </row>
    <row r="211" ht="32" customHeight="1" spans="1:18">
      <c r="A211" s="262"/>
      <c r="B211" s="251" t="str">
        <f>装饰工程!B245</f>
        <v>金属踢脚线</v>
      </c>
      <c r="C211" s="256" t="str">
        <f>装饰工程!C245</f>
        <v>1.12mm厚阻燃板基层
2.MT01金属（踢脚线）30高
3.其它说明：满足规范和设计图纸要求</v>
      </c>
      <c r="D211" s="258">
        <f t="shared" si="20"/>
        <v>1058.7664992</v>
      </c>
      <c r="E211" s="32">
        <v>14.24</v>
      </c>
      <c r="F211" s="260">
        <v>74.35158</v>
      </c>
      <c r="G211" s="260"/>
      <c r="H211" s="260">
        <v>0</v>
      </c>
      <c r="I211" s="260">
        <v>0</v>
      </c>
      <c r="J211" s="269">
        <f t="shared" si="21"/>
        <v>14.24</v>
      </c>
      <c r="K211" s="270">
        <v>0.8</v>
      </c>
      <c r="L211" s="269">
        <f t="shared" si="22"/>
        <v>847.01319936</v>
      </c>
      <c r="M211" s="271">
        <f t="shared" si="19"/>
        <v>847.01319936</v>
      </c>
      <c r="N211" s="271"/>
      <c r="R211" s="243">
        <f t="shared" si="23"/>
        <v>111.52737</v>
      </c>
    </row>
    <row r="212" customHeight="1" spans="1:18">
      <c r="A212" s="262"/>
      <c r="B212" s="251" t="str">
        <f>装饰工程!B246</f>
        <v>木质门</v>
      </c>
      <c r="C212" s="256" t="str">
        <f>装饰工程!C246</f>
        <v>1.M-05
2.具体做法详见-1F-MB-05
3.其它说明：满足规范和设计图纸要求</v>
      </c>
      <c r="D212" s="258">
        <f t="shared" si="20"/>
        <v>6466.45845</v>
      </c>
      <c r="E212" s="260">
        <f>装饰工程!E246</f>
        <v>1</v>
      </c>
      <c r="F212" s="260">
        <v>6466.45845</v>
      </c>
      <c r="G212" s="260"/>
      <c r="H212" s="260">
        <v>0</v>
      </c>
      <c r="I212" s="260">
        <v>0</v>
      </c>
      <c r="J212" s="269">
        <f t="shared" si="21"/>
        <v>1</v>
      </c>
      <c r="K212" s="270">
        <v>0</v>
      </c>
      <c r="L212" s="269">
        <f t="shared" si="22"/>
        <v>0</v>
      </c>
      <c r="M212" s="271">
        <f t="shared" si="19"/>
        <v>0</v>
      </c>
      <c r="N212" s="271"/>
      <c r="R212" s="243">
        <f t="shared" si="23"/>
        <v>9699.687675</v>
      </c>
    </row>
    <row r="213" customHeight="1" spans="1:18">
      <c r="A213" s="262"/>
      <c r="B213" s="251" t="str">
        <f>装饰工程!B248</f>
        <v>麻将室</v>
      </c>
      <c r="C213" s="256"/>
      <c r="D213" s="258"/>
      <c r="E213" s="260"/>
      <c r="F213" s="260"/>
      <c r="G213" s="260"/>
      <c r="H213" s="260">
        <v>0</v>
      </c>
      <c r="I213" s="260">
        <v>0</v>
      </c>
      <c r="J213" s="269">
        <f t="shared" si="21"/>
        <v>0</v>
      </c>
      <c r="K213" s="278"/>
      <c r="L213" s="269"/>
      <c r="M213" s="271"/>
      <c r="N213" s="271"/>
      <c r="R213" s="243">
        <f t="shared" si="23"/>
        <v>0</v>
      </c>
    </row>
    <row r="214" customHeight="1" spans="1:18">
      <c r="A214" s="262"/>
      <c r="B214" s="251" t="str">
        <f>装饰工程!B249</f>
        <v>抹灰面油漆</v>
      </c>
      <c r="C214" s="256" t="str">
        <f>装饰工程!C249</f>
        <v>1.米白色肌理漆（各种颜色），含专用腻子等
2.阴阳角护角收边
3.3-5mm厚薄抹灰砂浆层
4.界面剂，接缝处网格布处理
5.其它说明：满足规范和设计图纸要求</v>
      </c>
      <c r="D214" s="258">
        <f t="shared" si="20"/>
        <v>3510.22570875</v>
      </c>
      <c r="E214" s="260">
        <f>装饰工程!E249</f>
        <v>28.11</v>
      </c>
      <c r="F214" s="260">
        <v>124.874625</v>
      </c>
      <c r="G214" s="260"/>
      <c r="H214" s="260">
        <v>0</v>
      </c>
      <c r="I214" s="260">
        <v>0</v>
      </c>
      <c r="J214" s="269">
        <f t="shared" si="21"/>
        <v>28.11</v>
      </c>
      <c r="K214" s="270">
        <v>0.8</v>
      </c>
      <c r="L214" s="269">
        <f t="shared" si="22"/>
        <v>2808.180567</v>
      </c>
      <c r="M214" s="271">
        <f t="shared" si="19"/>
        <v>2808.180567</v>
      </c>
      <c r="N214" s="271"/>
      <c r="R214" s="243">
        <f t="shared" si="23"/>
        <v>187.3119375</v>
      </c>
    </row>
    <row r="215" customHeight="1" spans="1:18">
      <c r="A215" s="262"/>
      <c r="B215" s="251" t="str">
        <f>装饰工程!B250</f>
        <v>玻璃隔断</v>
      </c>
      <c r="C215" s="256" t="str">
        <f>装饰工程!C250</f>
        <v>1.GL01 玻璃隔断
2.详见27/-1F-DT-10
3.其它说明：满足规范和设计图纸要求</v>
      </c>
      <c r="D215" s="258">
        <f t="shared" si="20"/>
        <v>8085.783456</v>
      </c>
      <c r="E215" s="260">
        <f>装饰工程!E250</f>
        <v>8.88</v>
      </c>
      <c r="F215" s="260">
        <v>910.5612</v>
      </c>
      <c r="G215" s="260"/>
      <c r="H215" s="260">
        <v>0</v>
      </c>
      <c r="I215" s="260">
        <v>0</v>
      </c>
      <c r="J215" s="269">
        <f t="shared" si="21"/>
        <v>8.88</v>
      </c>
      <c r="K215" s="270">
        <v>0.8</v>
      </c>
      <c r="L215" s="269">
        <f t="shared" si="22"/>
        <v>6468.6267648</v>
      </c>
      <c r="M215" s="271">
        <f t="shared" si="19"/>
        <v>6468.6267648</v>
      </c>
      <c r="N215" s="271"/>
      <c r="R215" s="243">
        <f t="shared" si="23"/>
        <v>1365.8418</v>
      </c>
    </row>
    <row r="216" customHeight="1" spans="1:18">
      <c r="A216" s="262"/>
      <c r="B216" s="251" t="str">
        <f>装饰工程!B251</f>
        <v>金属踢脚线</v>
      </c>
      <c r="C216" s="256" t="str">
        <f>装饰工程!C251</f>
        <v>1.12mm厚阻燃板基层
2.MT01金属（踢脚线）30高
3.其它说明：满足规范和设计图纸要求</v>
      </c>
      <c r="D216" s="258">
        <f t="shared" si="20"/>
        <v>669.9077358</v>
      </c>
      <c r="E216" s="260">
        <f>装饰工程!E251</f>
        <v>9.01</v>
      </c>
      <c r="F216" s="260">
        <v>74.35158</v>
      </c>
      <c r="G216" s="260"/>
      <c r="H216" s="260">
        <v>0</v>
      </c>
      <c r="I216" s="260">
        <v>0</v>
      </c>
      <c r="J216" s="269">
        <f t="shared" si="21"/>
        <v>9.01</v>
      </c>
      <c r="K216" s="270">
        <v>0.8</v>
      </c>
      <c r="L216" s="269">
        <f t="shared" si="22"/>
        <v>535.92618864</v>
      </c>
      <c r="M216" s="271">
        <f t="shared" si="19"/>
        <v>535.92618864</v>
      </c>
      <c r="N216" s="271"/>
      <c r="R216" s="243">
        <f t="shared" si="23"/>
        <v>111.52737</v>
      </c>
    </row>
    <row r="217" customHeight="1" spans="1:18">
      <c r="A217" s="262"/>
      <c r="B217" s="251" t="str">
        <f>装饰工程!B252</f>
        <v>木质门</v>
      </c>
      <c r="C217" s="256" t="str">
        <f>装饰工程!C252</f>
        <v>1.M-05
2.具体做法详见-1F-MB-05
3.其它说明：满足规范和设计图纸要求</v>
      </c>
      <c r="D217" s="258">
        <f t="shared" si="20"/>
        <v>6466.45845</v>
      </c>
      <c r="E217" s="260">
        <f>装饰工程!E252</f>
        <v>1</v>
      </c>
      <c r="F217" s="260">
        <v>6466.45845</v>
      </c>
      <c r="G217" s="260"/>
      <c r="H217" s="260">
        <v>0</v>
      </c>
      <c r="I217" s="260">
        <v>0</v>
      </c>
      <c r="J217" s="269">
        <f t="shared" si="21"/>
        <v>1</v>
      </c>
      <c r="K217" s="270">
        <v>0</v>
      </c>
      <c r="L217" s="269">
        <f t="shared" si="22"/>
        <v>0</v>
      </c>
      <c r="M217" s="271">
        <f t="shared" si="19"/>
        <v>0</v>
      </c>
      <c r="N217" s="271"/>
      <c r="R217" s="243">
        <f t="shared" si="23"/>
        <v>9699.687675</v>
      </c>
    </row>
    <row r="218" customHeight="1" spans="1:18">
      <c r="A218" s="262"/>
      <c r="B218" s="251" t="str">
        <f>装饰工程!B254</f>
        <v>男更衣室</v>
      </c>
      <c r="C218" s="256"/>
      <c r="D218" s="258"/>
      <c r="E218" s="260"/>
      <c r="F218" s="260"/>
      <c r="G218" s="260"/>
      <c r="H218" s="260"/>
      <c r="I218" s="260"/>
      <c r="J218" s="269"/>
      <c r="K218" s="278"/>
      <c r="L218" s="269"/>
      <c r="M218" s="271"/>
      <c r="N218" s="271"/>
      <c r="R218" s="243">
        <f t="shared" si="23"/>
        <v>0</v>
      </c>
    </row>
    <row r="219" customHeight="1" spans="1:18">
      <c r="A219" s="262"/>
      <c r="B219" s="251" t="str">
        <f>装饰工程!B255</f>
        <v>抹灰面油漆</v>
      </c>
      <c r="C219" s="256" t="str">
        <f>装饰工程!C255</f>
        <v>1.喷乳胶漆一道
2.刷乳胶漆一道
3.刷抗碱底漆一道
4.刮白胶腻子找平二遍，打磨
5.阴阳角护角收边
6.3-5mm厚薄抹灰砂浆层
7.界面剂，接缝处网格布处理
8.其它说明：满足规范和设计图纸要求</v>
      </c>
      <c r="D219" s="258">
        <f t="shared" si="20"/>
        <v>2628.4675575</v>
      </c>
      <c r="E219" s="260">
        <f>装饰工程!E255</f>
        <v>29.86</v>
      </c>
      <c r="F219" s="260">
        <v>88.026375</v>
      </c>
      <c r="G219" s="260"/>
      <c r="H219" s="260">
        <v>0</v>
      </c>
      <c r="I219" s="260">
        <v>0</v>
      </c>
      <c r="J219" s="269">
        <f t="shared" si="21"/>
        <v>29.86</v>
      </c>
      <c r="K219" s="270">
        <v>0</v>
      </c>
      <c r="L219" s="269">
        <f t="shared" si="22"/>
        <v>0</v>
      </c>
      <c r="M219" s="271">
        <f t="shared" si="19"/>
        <v>0</v>
      </c>
      <c r="N219" s="271"/>
      <c r="R219" s="243">
        <f t="shared" si="23"/>
        <v>132.0395625</v>
      </c>
    </row>
    <row r="220" customHeight="1" spans="1:18">
      <c r="A220" s="262"/>
      <c r="B220" s="251" t="str">
        <f>装饰工程!B256</f>
        <v>金属踢脚线</v>
      </c>
      <c r="C220" s="256" t="str">
        <f>装饰工程!C256</f>
        <v>1.12mm厚阻燃板基层
2.MT01金属（踢脚线）30高
3.其它说明：满足规范和设计图纸要求</v>
      </c>
      <c r="D220" s="258">
        <f t="shared" si="20"/>
        <v>711.5446206</v>
      </c>
      <c r="E220" s="260">
        <f>装饰工程!E256</f>
        <v>9.57</v>
      </c>
      <c r="F220" s="260">
        <v>74.35158</v>
      </c>
      <c r="G220" s="260"/>
      <c r="H220" s="260">
        <v>0</v>
      </c>
      <c r="I220" s="260">
        <v>0</v>
      </c>
      <c r="J220" s="269">
        <f t="shared" si="21"/>
        <v>9.57</v>
      </c>
      <c r="K220" s="270">
        <v>0.8</v>
      </c>
      <c r="L220" s="269">
        <f t="shared" si="22"/>
        <v>569.23569648</v>
      </c>
      <c r="M220" s="271">
        <f t="shared" si="19"/>
        <v>569.23569648</v>
      </c>
      <c r="N220" s="271"/>
      <c r="R220" s="243">
        <f t="shared" si="23"/>
        <v>111.52737</v>
      </c>
    </row>
    <row r="221" customHeight="1" spans="1:18">
      <c r="A221" s="262"/>
      <c r="B221" s="251" t="str">
        <f>装饰工程!B257</f>
        <v>木质门</v>
      </c>
      <c r="C221" s="256" t="str">
        <f>装饰工程!C257</f>
        <v>1.尺寸：800*2400
2.门锁及其他五金配件
3.其它说明：满足规范和设计图纸要求</v>
      </c>
      <c r="D221" s="258">
        <f t="shared" si="20"/>
        <v>2932.13808</v>
      </c>
      <c r="E221" s="260">
        <f>装饰工程!E257</f>
        <v>1.92</v>
      </c>
      <c r="F221" s="260">
        <v>1527.15525</v>
      </c>
      <c r="G221" s="260"/>
      <c r="H221" s="260">
        <v>0</v>
      </c>
      <c r="I221" s="260">
        <v>0</v>
      </c>
      <c r="J221" s="269">
        <f t="shared" si="21"/>
        <v>1.92</v>
      </c>
      <c r="K221" s="270">
        <v>0</v>
      </c>
      <c r="L221" s="269">
        <f t="shared" si="22"/>
        <v>0</v>
      </c>
      <c r="M221" s="271">
        <f t="shared" si="19"/>
        <v>0</v>
      </c>
      <c r="N221" s="271"/>
      <c r="R221" s="243">
        <f t="shared" si="23"/>
        <v>2290.732875</v>
      </c>
    </row>
    <row r="222" customHeight="1" spans="1:18">
      <c r="A222" s="262"/>
      <c r="B222" s="251" t="str">
        <f>装饰工程!B258</f>
        <v>墙面装饰板</v>
      </c>
      <c r="C222" s="256" t="str">
        <f>装饰工程!C258</f>
        <v>1.WD-01木饰面
2.具体做法详见-1F-MB-01
3.其它说明：满足规范和设计图纸要求</v>
      </c>
      <c r="D222" s="258">
        <f>E222*F222</f>
        <v>1289.19744</v>
      </c>
      <c r="E222" s="260">
        <f>装饰工程!E258</f>
        <v>1.28</v>
      </c>
      <c r="F222" s="260">
        <v>1007.1855</v>
      </c>
      <c r="G222" s="260"/>
      <c r="H222" s="260">
        <v>0</v>
      </c>
      <c r="I222" s="260">
        <v>0</v>
      </c>
      <c r="J222" s="269">
        <f t="shared" si="21"/>
        <v>1.28</v>
      </c>
      <c r="K222" s="270">
        <v>0.65</v>
      </c>
      <c r="L222" s="269">
        <f t="shared" si="22"/>
        <v>837.978336</v>
      </c>
      <c r="M222" s="271">
        <f t="shared" si="19"/>
        <v>837.978336</v>
      </c>
      <c r="N222" s="271"/>
      <c r="R222" s="243">
        <f t="shared" si="23"/>
        <v>1510.77825</v>
      </c>
    </row>
    <row r="223" customHeight="1" spans="1:18">
      <c r="A223" s="262"/>
      <c r="B223" s="251" t="str">
        <f>装饰工程!B259</f>
        <v>木门窗套</v>
      </c>
      <c r="C223" s="256" t="str">
        <f>装饰工程!C259</f>
        <v>1.WD-01木饰面
2.具体做法详-1F-MB-01
3.其它说明：满足规范和设计图纸要求</v>
      </c>
      <c r="D223" s="258">
        <f t="shared" si="20"/>
        <v>2818.4817</v>
      </c>
      <c r="E223" s="260">
        <f>装饰工程!E259</f>
        <v>1</v>
      </c>
      <c r="F223" s="260">
        <v>2818.4817</v>
      </c>
      <c r="G223" s="260"/>
      <c r="H223" s="260">
        <v>0</v>
      </c>
      <c r="I223" s="260">
        <v>0</v>
      </c>
      <c r="J223" s="269">
        <f t="shared" si="21"/>
        <v>1</v>
      </c>
      <c r="K223" s="270">
        <v>0</v>
      </c>
      <c r="L223" s="269">
        <f t="shared" si="22"/>
        <v>0</v>
      </c>
      <c r="M223" s="271">
        <f t="shared" ref="M223:M254" si="24">L223+I223</f>
        <v>0</v>
      </c>
      <c r="N223" s="271"/>
      <c r="R223" s="243">
        <f t="shared" si="23"/>
        <v>4227.72255</v>
      </c>
    </row>
    <row r="224" customHeight="1" spans="1:18">
      <c r="A224" s="262"/>
      <c r="B224" s="251" t="str">
        <f>装饰工程!B260</f>
        <v>女更衣室</v>
      </c>
      <c r="C224" s="256"/>
      <c r="D224" s="258"/>
      <c r="E224" s="260"/>
      <c r="F224" s="260"/>
      <c r="G224" s="260"/>
      <c r="H224" s="260">
        <v>0</v>
      </c>
      <c r="I224" s="260">
        <v>0</v>
      </c>
      <c r="J224" s="269">
        <f t="shared" si="21"/>
        <v>0</v>
      </c>
      <c r="K224" s="278"/>
      <c r="L224" s="269"/>
      <c r="M224" s="271"/>
      <c r="N224" s="271"/>
      <c r="R224" s="243">
        <f t="shared" si="23"/>
        <v>0</v>
      </c>
    </row>
    <row r="225" customHeight="1" spans="1:18">
      <c r="A225" s="262"/>
      <c r="B225" s="251" t="str">
        <f>装饰工程!B261</f>
        <v>抹灰面油漆</v>
      </c>
      <c r="C225" s="256" t="str">
        <f>装饰工程!C261</f>
        <v>1.喷乳胶漆一道
2.刷乳胶漆一道
3.刷抗碱底漆一道
4.刮白胶腻子找平二遍，打磨
5.阴阳角护角收边
6.3-5mm厚薄抹灰砂浆层
7.界面剂，接缝处网格布处理
8.其它说明：满足规范和设计图纸要求</v>
      </c>
      <c r="D225" s="258">
        <f t="shared" si="20"/>
        <v>2224.42649625</v>
      </c>
      <c r="E225" s="260">
        <f>装饰工程!E261</f>
        <v>25.27</v>
      </c>
      <c r="F225" s="260">
        <v>88.026375</v>
      </c>
      <c r="G225" s="260"/>
      <c r="H225" s="260">
        <v>0</v>
      </c>
      <c r="I225" s="260">
        <v>0</v>
      </c>
      <c r="J225" s="269">
        <f t="shared" si="21"/>
        <v>25.27</v>
      </c>
      <c r="K225" s="270">
        <v>0</v>
      </c>
      <c r="L225" s="269">
        <f t="shared" si="22"/>
        <v>0</v>
      </c>
      <c r="M225" s="271">
        <f t="shared" si="24"/>
        <v>0</v>
      </c>
      <c r="N225" s="271"/>
      <c r="R225" s="243">
        <f t="shared" si="23"/>
        <v>132.0395625</v>
      </c>
    </row>
    <row r="226" customHeight="1" spans="1:18">
      <c r="A226" s="262"/>
      <c r="B226" s="251" t="str">
        <f>装饰工程!B262</f>
        <v>玻璃隔断</v>
      </c>
      <c r="C226" s="256" t="str">
        <f>装饰工程!C262</f>
        <v>1.GL01 玻璃隔断
2.详见27/-1F-DT-10
3.其它说明：满足规范和设计图纸要求</v>
      </c>
      <c r="D226" s="258">
        <f t="shared" si="20"/>
        <v>2695.261152</v>
      </c>
      <c r="E226" s="260">
        <f>装饰工程!E262</f>
        <v>2.96</v>
      </c>
      <c r="F226" s="260">
        <v>910.5612</v>
      </c>
      <c r="G226" s="260"/>
      <c r="H226" s="260">
        <v>0</v>
      </c>
      <c r="I226" s="260">
        <v>0</v>
      </c>
      <c r="J226" s="269">
        <f t="shared" si="21"/>
        <v>2.96</v>
      </c>
      <c r="K226" s="270">
        <v>0.8</v>
      </c>
      <c r="L226" s="269">
        <f t="shared" si="22"/>
        <v>2156.2089216</v>
      </c>
      <c r="M226" s="271">
        <f t="shared" si="24"/>
        <v>2156.2089216</v>
      </c>
      <c r="N226" s="271"/>
      <c r="R226" s="243">
        <f t="shared" si="23"/>
        <v>1365.8418</v>
      </c>
    </row>
    <row r="227" customHeight="1" spans="1:18">
      <c r="A227" s="262"/>
      <c r="B227" s="251" t="str">
        <f>装饰工程!B263</f>
        <v>金属踢脚线</v>
      </c>
      <c r="C227" s="256" t="str">
        <f>装饰工程!C263</f>
        <v>1.12mm厚阻燃板基层
2.MT01金属（踢脚线）30高
3.其它说明：满足规范和设计图纸要求</v>
      </c>
      <c r="D227" s="258">
        <f t="shared" si="20"/>
        <v>602.247798</v>
      </c>
      <c r="E227" s="260">
        <f>装饰工程!E263</f>
        <v>8.1</v>
      </c>
      <c r="F227" s="260">
        <v>74.35158</v>
      </c>
      <c r="G227" s="260"/>
      <c r="H227" s="260">
        <v>0</v>
      </c>
      <c r="I227" s="260">
        <v>0</v>
      </c>
      <c r="J227" s="269">
        <f t="shared" si="21"/>
        <v>8.1</v>
      </c>
      <c r="K227" s="270">
        <v>0.8</v>
      </c>
      <c r="L227" s="269">
        <f t="shared" si="22"/>
        <v>481.7982384</v>
      </c>
      <c r="M227" s="271">
        <f t="shared" si="24"/>
        <v>481.7982384</v>
      </c>
      <c r="N227" s="271"/>
      <c r="R227" s="243">
        <f t="shared" si="23"/>
        <v>111.52737</v>
      </c>
    </row>
    <row r="228" customHeight="1" spans="1:18">
      <c r="A228" s="262"/>
      <c r="B228" s="251" t="str">
        <f>装饰工程!B264</f>
        <v>木质门</v>
      </c>
      <c r="C228" s="256" t="str">
        <f>装饰工程!C264</f>
        <v>1.尺寸：800*2400
2.门锁及其他五金配件
3.其它说明：满足规范和设计图纸要求</v>
      </c>
      <c r="D228" s="258">
        <f t="shared" si="20"/>
        <v>2932.13808</v>
      </c>
      <c r="E228" s="260">
        <f>装饰工程!E264</f>
        <v>1.92</v>
      </c>
      <c r="F228" s="260">
        <v>1527.15525</v>
      </c>
      <c r="G228" s="260"/>
      <c r="H228" s="260">
        <v>0</v>
      </c>
      <c r="I228" s="260">
        <v>0</v>
      </c>
      <c r="J228" s="269">
        <f t="shared" si="21"/>
        <v>1.92</v>
      </c>
      <c r="K228" s="270">
        <v>0</v>
      </c>
      <c r="L228" s="269">
        <f t="shared" si="22"/>
        <v>0</v>
      </c>
      <c r="M228" s="271">
        <f t="shared" si="24"/>
        <v>0</v>
      </c>
      <c r="N228" s="271"/>
      <c r="R228" s="243">
        <f t="shared" si="23"/>
        <v>2290.732875</v>
      </c>
    </row>
    <row r="229" customHeight="1" spans="1:18">
      <c r="A229" s="262"/>
      <c r="B229" s="251" t="str">
        <f>装饰工程!B265</f>
        <v>墙面装饰板</v>
      </c>
      <c r="C229" s="256" t="str">
        <f>装饰工程!C265</f>
        <v>1.WD-01木饰面
2.具体做法详见门表
3.其它说明：满足规范和设计图纸要求</v>
      </c>
      <c r="D229" s="258">
        <f t="shared" si="20"/>
        <v>1289.19744</v>
      </c>
      <c r="E229" s="260">
        <f>装饰工程!E265</f>
        <v>1.28</v>
      </c>
      <c r="F229" s="260">
        <v>1007.1855</v>
      </c>
      <c r="G229" s="260"/>
      <c r="H229" s="260">
        <v>0</v>
      </c>
      <c r="I229" s="260">
        <v>0</v>
      </c>
      <c r="J229" s="269">
        <f t="shared" si="21"/>
        <v>1.28</v>
      </c>
      <c r="K229" s="270">
        <v>0.65</v>
      </c>
      <c r="L229" s="269">
        <f t="shared" si="22"/>
        <v>837.978336</v>
      </c>
      <c r="M229" s="271">
        <f t="shared" si="24"/>
        <v>837.978336</v>
      </c>
      <c r="N229" s="271"/>
      <c r="R229" s="243">
        <f t="shared" si="23"/>
        <v>1510.77825</v>
      </c>
    </row>
    <row r="230" customHeight="1" spans="1:18">
      <c r="A230" s="262"/>
      <c r="B230" s="251" t="str">
        <f>装饰工程!B266</f>
        <v>木门窗套</v>
      </c>
      <c r="C230" s="256" t="str">
        <f>装饰工程!C266</f>
        <v>1.WD-01木饰面
2.具体做法详-1F-MB-01
3.其它说明：满足规范和设计图纸要求</v>
      </c>
      <c r="D230" s="258">
        <f t="shared" si="20"/>
        <v>2818.4817</v>
      </c>
      <c r="E230" s="260">
        <f>装饰工程!E266</f>
        <v>1</v>
      </c>
      <c r="F230" s="260">
        <v>2818.4817</v>
      </c>
      <c r="G230" s="260"/>
      <c r="H230" s="260">
        <v>0</v>
      </c>
      <c r="I230" s="260">
        <v>0</v>
      </c>
      <c r="J230" s="269">
        <f t="shared" si="21"/>
        <v>1</v>
      </c>
      <c r="K230" s="270">
        <v>0</v>
      </c>
      <c r="L230" s="269">
        <f t="shared" si="22"/>
        <v>0</v>
      </c>
      <c r="M230" s="271">
        <f t="shared" si="24"/>
        <v>0</v>
      </c>
      <c r="N230" s="271"/>
      <c r="R230" s="243">
        <f t="shared" si="23"/>
        <v>4227.72255</v>
      </c>
    </row>
    <row r="231" customHeight="1" spans="1:18">
      <c r="A231" s="262"/>
      <c r="B231" s="251" t="str">
        <f>装饰工程!B267</f>
        <v>保洁工作室</v>
      </c>
      <c r="C231" s="256"/>
      <c r="D231" s="258"/>
      <c r="E231" s="260"/>
      <c r="F231" s="260"/>
      <c r="G231" s="260"/>
      <c r="H231" s="260">
        <v>0</v>
      </c>
      <c r="I231" s="260">
        <v>0</v>
      </c>
      <c r="J231" s="269">
        <f t="shared" si="21"/>
        <v>0</v>
      </c>
      <c r="K231" s="278"/>
      <c r="L231" s="269"/>
      <c r="M231" s="271"/>
      <c r="N231" s="271"/>
      <c r="R231" s="243">
        <f t="shared" si="23"/>
        <v>0</v>
      </c>
    </row>
    <row r="232" ht="30" customHeight="1" spans="1:18">
      <c r="A232" s="262"/>
      <c r="B232" s="251" t="str">
        <f>装饰工程!B268</f>
        <v>抹灰面油漆</v>
      </c>
      <c r="C232" s="256" t="str">
        <f>装饰工程!C268</f>
        <v>1.喷乳胶漆一道
2.刷乳胶漆一道
3.刷抗碱底漆一道
4.刮白胶腻子找平二遍，打磨
5.阴阳角护角收边
6.3-5mm厚薄抹灰砂浆层
7.界面剂，接缝处网格布处理
8.其它说明：详见相关设计、要求及规范</v>
      </c>
      <c r="D232" s="258">
        <f t="shared" si="20"/>
        <v>1449.79439625</v>
      </c>
      <c r="E232" s="260">
        <f>装饰工程!E268</f>
        <v>16.47</v>
      </c>
      <c r="F232" s="260">
        <v>88.026375</v>
      </c>
      <c r="G232" s="260"/>
      <c r="H232" s="260">
        <v>0</v>
      </c>
      <c r="I232" s="260">
        <v>0</v>
      </c>
      <c r="J232" s="269">
        <f t="shared" si="21"/>
        <v>16.47</v>
      </c>
      <c r="K232" s="270">
        <v>0</v>
      </c>
      <c r="L232" s="269">
        <f t="shared" si="22"/>
        <v>0</v>
      </c>
      <c r="M232" s="271">
        <f t="shared" si="24"/>
        <v>0</v>
      </c>
      <c r="N232" s="271"/>
      <c r="R232" s="243">
        <f t="shared" si="23"/>
        <v>132.0395625</v>
      </c>
    </row>
    <row r="233" customHeight="1" spans="1:18">
      <c r="A233" s="262"/>
      <c r="B233" s="251" t="str">
        <f>装饰工程!B269</f>
        <v>块料踢脚线</v>
      </c>
      <c r="C233" s="256" t="str">
        <f>装饰工程!C269</f>
        <v>1.水泥砂浆找平
2.100高CT02瓷砖踢脚线
3.其它说明：满足规范和设计图纸要求</v>
      </c>
      <c r="D233" s="258">
        <f t="shared" si="20"/>
        <v>253.4422635</v>
      </c>
      <c r="E233" s="260">
        <f>装饰工程!E269</f>
        <v>0.57</v>
      </c>
      <c r="F233" s="260">
        <v>444.63555</v>
      </c>
      <c r="G233" s="260"/>
      <c r="H233" s="260">
        <v>0</v>
      </c>
      <c r="I233" s="260">
        <v>0</v>
      </c>
      <c r="J233" s="269">
        <f t="shared" si="21"/>
        <v>0.57</v>
      </c>
      <c r="K233" s="270">
        <v>0.8</v>
      </c>
      <c r="L233" s="269">
        <f t="shared" si="22"/>
        <v>202.7538108</v>
      </c>
      <c r="M233" s="271">
        <f t="shared" si="24"/>
        <v>202.7538108</v>
      </c>
      <c r="N233" s="271"/>
      <c r="R233" s="243">
        <f t="shared" si="23"/>
        <v>666.953325</v>
      </c>
    </row>
    <row r="234" customHeight="1" spans="1:18">
      <c r="A234" s="262"/>
      <c r="B234" s="251" t="str">
        <f>装饰工程!B270</f>
        <v>男卫生间</v>
      </c>
      <c r="C234" s="256"/>
      <c r="D234" s="258"/>
      <c r="E234" s="260"/>
      <c r="F234" s="260"/>
      <c r="G234" s="260"/>
      <c r="H234" s="260"/>
      <c r="I234" s="260"/>
      <c r="J234" s="269"/>
      <c r="K234" s="278"/>
      <c r="L234" s="269"/>
      <c r="M234" s="271"/>
      <c r="N234" s="271"/>
      <c r="R234" s="243">
        <f t="shared" si="23"/>
        <v>0</v>
      </c>
    </row>
    <row r="235" ht="38" customHeight="1" spans="1:18">
      <c r="A235" s="262"/>
      <c r="B235" s="251" t="str">
        <f>装饰工程!B271</f>
        <v>块料墙面（卫生间）</v>
      </c>
      <c r="C235" s="256" t="str">
        <f>装饰工程!C271</f>
        <v>1.瓷砖填缝剂处理
2.瓷砖(低吸水率硬质砖石需要背覆胶处理)
3.专用瓷砖胶泥粘结层
4.聚氨酯防水层1.5厚（另列项计算）
5.素水泥浆一道(内参建筑胶)
6.1:3水泥砂浆抹灰层
7.界面剂,接缝处网格布处理
8.其它说明：满足规范和设计图纸要求</v>
      </c>
      <c r="D235" s="258">
        <f t="shared" si="20"/>
        <v>22323.996387</v>
      </c>
      <c r="E235" s="260">
        <f>装饰工程!E271</f>
        <v>48.51</v>
      </c>
      <c r="F235" s="260">
        <v>460.1937</v>
      </c>
      <c r="G235" s="260"/>
      <c r="H235" s="260">
        <v>0</v>
      </c>
      <c r="I235" s="260">
        <v>0</v>
      </c>
      <c r="J235" s="269">
        <f t="shared" si="21"/>
        <v>48.51</v>
      </c>
      <c r="K235" s="270">
        <v>0.65</v>
      </c>
      <c r="L235" s="269">
        <f t="shared" si="22"/>
        <v>14510.59765155</v>
      </c>
      <c r="M235" s="271">
        <f t="shared" si="24"/>
        <v>14510.59765155</v>
      </c>
      <c r="N235" s="271"/>
      <c r="R235" s="243">
        <f t="shared" si="23"/>
        <v>690.29055</v>
      </c>
    </row>
    <row r="236" customHeight="1" spans="1:18">
      <c r="A236" s="262"/>
      <c r="B236" s="251" t="str">
        <f>装饰工程!B272</f>
        <v>成品隔断</v>
      </c>
      <c r="C236" s="256" t="str">
        <f>装饰工程!C272</f>
        <v>1.抗倍特板隔断
2.其它说明：满足规范和设计图纸要求</v>
      </c>
      <c r="D236" s="258">
        <f t="shared" si="20"/>
        <v>22455.6101475</v>
      </c>
      <c r="E236" s="260">
        <f>装饰工程!E272</f>
        <v>16.57</v>
      </c>
      <c r="F236" s="260">
        <v>1355.19675</v>
      </c>
      <c r="G236" s="260"/>
      <c r="H236" s="260">
        <v>0</v>
      </c>
      <c r="I236" s="260">
        <v>0</v>
      </c>
      <c r="J236" s="269">
        <f t="shared" si="21"/>
        <v>16.57</v>
      </c>
      <c r="K236" s="270">
        <v>0.8</v>
      </c>
      <c r="L236" s="269">
        <f t="shared" si="22"/>
        <v>17964.488118</v>
      </c>
      <c r="M236" s="271">
        <f t="shared" si="24"/>
        <v>17964.488118</v>
      </c>
      <c r="N236" s="271"/>
      <c r="R236" s="243">
        <f t="shared" si="23"/>
        <v>2032.795125</v>
      </c>
    </row>
    <row r="237" ht="42" customHeight="1" spans="1:18">
      <c r="A237" s="262"/>
      <c r="B237" s="251" t="str">
        <f>装饰工程!B273</f>
        <v>石材墙面</v>
      </c>
      <c r="C237" s="256" t="str">
        <f>装饰工程!C273</f>
        <v>1.40*40*2镀锌方通骨架
2.12厚埃特板基层
3.ST-02石材墙面
4.其它说明：满足规范和设计图纸要求
5.部位：水景区</v>
      </c>
      <c r="D237" s="258">
        <f t="shared" si="20"/>
        <v>6334.607223</v>
      </c>
      <c r="E237" s="260">
        <f>装饰工程!E273</f>
        <v>4.89</v>
      </c>
      <c r="F237" s="260">
        <v>1295.4207</v>
      </c>
      <c r="G237" s="260"/>
      <c r="H237" s="260">
        <v>0</v>
      </c>
      <c r="I237" s="260">
        <v>0</v>
      </c>
      <c r="J237" s="269">
        <f t="shared" si="21"/>
        <v>4.89</v>
      </c>
      <c r="K237" s="270">
        <v>0.65</v>
      </c>
      <c r="L237" s="269">
        <f t="shared" si="22"/>
        <v>4117.49469495</v>
      </c>
      <c r="M237" s="271">
        <f t="shared" si="24"/>
        <v>4117.49469495</v>
      </c>
      <c r="N237" s="271"/>
      <c r="R237" s="243">
        <f t="shared" si="23"/>
        <v>1943.13105</v>
      </c>
    </row>
    <row r="238" customHeight="1" spans="1:18">
      <c r="A238" s="262"/>
      <c r="B238" s="251" t="str">
        <f>装饰工程!B274</f>
        <v>石材墙面</v>
      </c>
      <c r="C238" s="256" t="str">
        <f>装饰工程!C274</f>
        <v>1.40*40*2镀锌方通骨架
2.12厚埃特板基层
3.ST-06石材墙面
4.其它说明：满足规范和设计图纸要求
5.部位：坐便器背部</v>
      </c>
      <c r="D238" s="258">
        <f t="shared" si="20"/>
        <v>7357.989576</v>
      </c>
      <c r="E238" s="260">
        <f>装饰工程!E274</f>
        <v>5.68</v>
      </c>
      <c r="F238" s="260">
        <v>1295.4207</v>
      </c>
      <c r="G238" s="260"/>
      <c r="H238" s="260">
        <v>0</v>
      </c>
      <c r="I238" s="260">
        <v>0</v>
      </c>
      <c r="J238" s="269">
        <f t="shared" si="21"/>
        <v>5.68</v>
      </c>
      <c r="K238" s="270">
        <v>0.65</v>
      </c>
      <c r="L238" s="269">
        <f t="shared" si="22"/>
        <v>4782.6932244</v>
      </c>
      <c r="M238" s="271">
        <f t="shared" si="24"/>
        <v>4782.6932244</v>
      </c>
      <c r="N238" s="271"/>
      <c r="R238" s="243">
        <f t="shared" si="23"/>
        <v>1943.13105</v>
      </c>
    </row>
    <row r="239" ht="50" customHeight="1" spans="1:18">
      <c r="A239" s="262"/>
      <c r="B239" s="251" t="str">
        <f>装饰工程!B275</f>
        <v>镜面玻璃</v>
      </c>
      <c r="C239" s="256" t="str">
        <f>装饰工程!C275</f>
        <v>1.尺寸：1940*600
2.40*40*2镀锌方通骨架
3.12厚埃特板基层
4.MR01镜子
5.MT01金属包边（50宽）
6.其它说明：满足规范和设计图纸要求</v>
      </c>
      <c r="D239" s="258">
        <f t="shared" si="20"/>
        <v>3087.015369</v>
      </c>
      <c r="E239" s="260">
        <f>装饰工程!E275</f>
        <v>2.33</v>
      </c>
      <c r="F239" s="260">
        <v>1324.8993</v>
      </c>
      <c r="G239" s="260"/>
      <c r="H239" s="260">
        <v>0</v>
      </c>
      <c r="I239" s="260">
        <v>0</v>
      </c>
      <c r="J239" s="269">
        <f t="shared" si="21"/>
        <v>2.33</v>
      </c>
      <c r="K239" s="270">
        <v>0.65</v>
      </c>
      <c r="L239" s="269">
        <f t="shared" si="22"/>
        <v>2006.55998985</v>
      </c>
      <c r="M239" s="271">
        <f t="shared" si="24"/>
        <v>2006.55998985</v>
      </c>
      <c r="N239" s="271"/>
      <c r="R239" s="243">
        <f t="shared" si="23"/>
        <v>1987.34895</v>
      </c>
    </row>
    <row r="240" ht="57" customHeight="1" spans="1:18">
      <c r="A240" s="262"/>
      <c r="B240" s="251" t="str">
        <f>装饰工程!B277</f>
        <v>墙面涂膜防水</v>
      </c>
      <c r="C240" s="256" t="str">
        <f>装饰工程!C277</f>
        <v>1.部位：墙面
2.聚氨酯防水层1.5厚
3.其它说明：满足规范和设计图纸要求</v>
      </c>
      <c r="D240" s="258">
        <f t="shared" si="20"/>
        <v>6724.06456575</v>
      </c>
      <c r="E240" s="260">
        <f>装饰工程!E277</f>
        <v>63.41</v>
      </c>
      <c r="F240" s="260">
        <v>106.041075</v>
      </c>
      <c r="G240" s="260"/>
      <c r="H240" s="260">
        <v>0</v>
      </c>
      <c r="I240" s="260">
        <v>0</v>
      </c>
      <c r="J240" s="269">
        <f t="shared" si="21"/>
        <v>63.41</v>
      </c>
      <c r="K240" s="270">
        <v>0.8</v>
      </c>
      <c r="L240" s="269">
        <f t="shared" si="22"/>
        <v>5379.2516526</v>
      </c>
      <c r="M240" s="271">
        <f t="shared" si="24"/>
        <v>5379.2516526</v>
      </c>
      <c r="N240" s="271"/>
      <c r="R240" s="243">
        <f t="shared" si="23"/>
        <v>159.0616125</v>
      </c>
    </row>
    <row r="241" ht="60" customHeight="1" spans="1:18">
      <c r="A241" s="262"/>
      <c r="B241" s="251" t="str">
        <f>装饰工程!B278</f>
        <v>现场彩绘墙面</v>
      </c>
      <c r="C241" s="256" t="str">
        <f>装饰工程!C278</f>
        <v>1.现场预留水泥砂浆找平层
2.刷白色防水乳胶漆
3.其它说明：满足规范和设计图纸要求</v>
      </c>
      <c r="D241" s="258">
        <f t="shared" si="20"/>
        <v>9213.192513</v>
      </c>
      <c r="E241" s="260">
        <f>装饰工程!E278</f>
        <v>12.46</v>
      </c>
      <c r="F241" s="260">
        <v>739.42155</v>
      </c>
      <c r="G241" s="260"/>
      <c r="H241" s="260">
        <v>0</v>
      </c>
      <c r="I241" s="260">
        <v>0</v>
      </c>
      <c r="J241" s="269">
        <f t="shared" si="21"/>
        <v>12.46</v>
      </c>
      <c r="K241" s="270">
        <v>0.65</v>
      </c>
      <c r="L241" s="269">
        <f t="shared" si="22"/>
        <v>5988.57513345</v>
      </c>
      <c r="M241" s="271">
        <f t="shared" si="24"/>
        <v>5988.57513345</v>
      </c>
      <c r="N241" s="271"/>
      <c r="R241" s="243">
        <f t="shared" si="23"/>
        <v>1109.132325</v>
      </c>
    </row>
    <row r="242" customHeight="1" spans="1:18">
      <c r="A242" s="262"/>
      <c r="B242" s="251" t="str">
        <f>装饰工程!B279</f>
        <v>木质门</v>
      </c>
      <c r="C242" s="256" t="str">
        <f>装饰工程!C279</f>
        <v>1.尺寸：800*2400
2.门锁及其他五金配件
3.其它说明：满足规范和设计图纸要求</v>
      </c>
      <c r="D242" s="258">
        <f t="shared" si="20"/>
        <v>2932.13808</v>
      </c>
      <c r="E242" s="260">
        <f>装饰工程!E279</f>
        <v>1.92</v>
      </c>
      <c r="F242" s="260">
        <v>1527.15525</v>
      </c>
      <c r="G242" s="260"/>
      <c r="H242" s="260">
        <v>0</v>
      </c>
      <c r="I242" s="260">
        <v>0</v>
      </c>
      <c r="J242" s="269">
        <f t="shared" si="21"/>
        <v>1.92</v>
      </c>
      <c r="K242" s="270">
        <v>0</v>
      </c>
      <c r="L242" s="269">
        <f t="shared" si="22"/>
        <v>0</v>
      </c>
      <c r="M242" s="271">
        <f t="shared" si="24"/>
        <v>0</v>
      </c>
      <c r="N242" s="271"/>
      <c r="R242" s="243">
        <f t="shared" si="23"/>
        <v>2290.732875</v>
      </c>
    </row>
    <row r="243" customHeight="1" spans="1:18">
      <c r="A243" s="262"/>
      <c r="B243" s="251" t="str">
        <f>装饰工程!B280</f>
        <v>墙面装饰板</v>
      </c>
      <c r="C243" s="256" t="str">
        <f>装饰工程!C280</f>
        <v>1.WD-01木饰面
2.具体做法详-1F-MB-02
3.其它说明：满足规范和设计图纸要求</v>
      </c>
      <c r="D243" s="258">
        <f t="shared" si="20"/>
        <v>1289.19744</v>
      </c>
      <c r="E243" s="260">
        <f>装饰工程!E280</f>
        <v>1.28</v>
      </c>
      <c r="F243" s="260">
        <v>1007.1855</v>
      </c>
      <c r="G243" s="260"/>
      <c r="H243" s="260">
        <v>0</v>
      </c>
      <c r="I243" s="260">
        <v>0</v>
      </c>
      <c r="J243" s="269">
        <f t="shared" si="21"/>
        <v>1.28</v>
      </c>
      <c r="K243" s="270">
        <v>0.65</v>
      </c>
      <c r="L243" s="269">
        <f t="shared" si="22"/>
        <v>837.978336</v>
      </c>
      <c r="M243" s="271">
        <f t="shared" si="24"/>
        <v>837.978336</v>
      </c>
      <c r="N243" s="271"/>
      <c r="R243" s="243">
        <f t="shared" si="23"/>
        <v>1510.77825</v>
      </c>
    </row>
    <row r="244" customHeight="1" spans="1:18">
      <c r="A244" s="262"/>
      <c r="B244" s="251" t="str">
        <f>装饰工程!B281</f>
        <v>木门窗套</v>
      </c>
      <c r="C244" s="256" t="str">
        <f>装饰工程!C281</f>
        <v>1.WD-01木饰面
2.具体做法详见-1F-MB-02
3.其它说明：满足规范和设计图纸要求</v>
      </c>
      <c r="D244" s="258">
        <f t="shared" si="20"/>
        <v>2818.4817</v>
      </c>
      <c r="E244" s="260">
        <f>装饰工程!E281</f>
        <v>1</v>
      </c>
      <c r="F244" s="260">
        <v>2818.4817</v>
      </c>
      <c r="G244" s="260"/>
      <c r="H244" s="260">
        <v>0</v>
      </c>
      <c r="I244" s="260">
        <v>0</v>
      </c>
      <c r="J244" s="269">
        <f t="shared" si="21"/>
        <v>1</v>
      </c>
      <c r="K244" s="270">
        <v>0</v>
      </c>
      <c r="L244" s="269">
        <f t="shared" si="22"/>
        <v>0</v>
      </c>
      <c r="M244" s="271">
        <f t="shared" si="24"/>
        <v>0</v>
      </c>
      <c r="N244" s="271"/>
      <c r="R244" s="243">
        <f t="shared" si="23"/>
        <v>4227.72255</v>
      </c>
    </row>
    <row r="245" customHeight="1" spans="1:18">
      <c r="A245" s="262"/>
      <c r="B245" s="251" t="str">
        <f>装饰工程!B282</f>
        <v>木隔断</v>
      </c>
      <c r="C245" s="256" t="str">
        <f>装饰工程!C282</f>
        <v>1.WD-01木饰面（成品木隔断）
2.具体做法详见27/-1F-DT-10
3.其它说明：满足规范和设计图纸要求</v>
      </c>
      <c r="D245" s="258">
        <f t="shared" si="20"/>
        <v>3746.73006</v>
      </c>
      <c r="E245" s="260">
        <f>装饰工程!E282</f>
        <v>3.28</v>
      </c>
      <c r="F245" s="260">
        <v>1142.29575</v>
      </c>
      <c r="G245" s="260"/>
      <c r="H245" s="260">
        <v>0</v>
      </c>
      <c r="I245" s="260">
        <v>0</v>
      </c>
      <c r="J245" s="269">
        <f t="shared" si="21"/>
        <v>3.28</v>
      </c>
      <c r="K245" s="270">
        <v>0.8</v>
      </c>
      <c r="L245" s="269">
        <f t="shared" si="22"/>
        <v>2997.384048</v>
      </c>
      <c r="M245" s="271">
        <f t="shared" si="24"/>
        <v>2997.384048</v>
      </c>
      <c r="N245" s="271"/>
      <c r="R245" s="243">
        <f t="shared" si="23"/>
        <v>1713.443625</v>
      </c>
    </row>
    <row r="246" customHeight="1" spans="1:18">
      <c r="A246" s="262"/>
      <c r="B246" s="251" t="str">
        <f>装饰工程!B283</f>
        <v>女卫生间</v>
      </c>
      <c r="C246" s="256"/>
      <c r="D246" s="258"/>
      <c r="E246" s="260"/>
      <c r="F246" s="260"/>
      <c r="G246" s="260"/>
      <c r="H246" s="260"/>
      <c r="I246" s="260"/>
      <c r="J246" s="269"/>
      <c r="K246" s="278"/>
      <c r="L246" s="269"/>
      <c r="M246" s="271"/>
      <c r="N246" s="271"/>
      <c r="R246" s="243">
        <f t="shared" si="23"/>
        <v>0</v>
      </c>
    </row>
    <row r="247" customHeight="1" spans="1:18">
      <c r="A247" s="262"/>
      <c r="B247" s="251" t="str">
        <f>装饰工程!B284</f>
        <v>块料墙面（卫生间）</v>
      </c>
      <c r="C247" s="256" t="str">
        <f>装饰工程!C284</f>
        <v>1.瓷砖填缝剂处理
2.瓷砖(低吸水率硬质砖石需要背覆胶处理)
3.专用瓷砖胶泥粘结层
4.聚氨酯防水层1.5厚（另列项计算）
5.素水泥浆一道(内参建筑胶)
6.1:3水泥砂浆抹灰层
7.界面剂,接缝处网格布处理
8.其它说明：满足规范和设计图纸要求</v>
      </c>
      <c r="D247" s="258">
        <f t="shared" si="20"/>
        <v>14440.878306</v>
      </c>
      <c r="E247" s="260">
        <f>装饰工程!E284</f>
        <v>31.38</v>
      </c>
      <c r="F247" s="260">
        <v>460.1937</v>
      </c>
      <c r="G247" s="260"/>
      <c r="H247" s="260">
        <v>0</v>
      </c>
      <c r="I247" s="260">
        <v>0</v>
      </c>
      <c r="J247" s="269">
        <f t="shared" si="21"/>
        <v>31.38</v>
      </c>
      <c r="K247" s="270">
        <v>0.65</v>
      </c>
      <c r="L247" s="269">
        <f t="shared" si="22"/>
        <v>9386.5708989</v>
      </c>
      <c r="M247" s="271">
        <f t="shared" si="24"/>
        <v>9386.5708989</v>
      </c>
      <c r="N247" s="271"/>
      <c r="R247" s="243">
        <f t="shared" si="23"/>
        <v>690.29055</v>
      </c>
    </row>
    <row r="248" customHeight="1" spans="1:18">
      <c r="A248" s="262"/>
      <c r="B248" s="251" t="str">
        <f>装饰工程!B285</f>
        <v>成品隔断</v>
      </c>
      <c r="C248" s="256" t="str">
        <f>装饰工程!C285</f>
        <v>1.抗倍特板隔断
2.其它说明：满足规范和设计图纸要求</v>
      </c>
      <c r="D248" s="258">
        <f t="shared" si="20"/>
        <v>22455.6101475</v>
      </c>
      <c r="E248" s="260">
        <f>装饰工程!E285</f>
        <v>16.57</v>
      </c>
      <c r="F248" s="260">
        <v>1355.19675</v>
      </c>
      <c r="G248" s="260"/>
      <c r="H248" s="260">
        <v>0</v>
      </c>
      <c r="I248" s="260">
        <v>0</v>
      </c>
      <c r="J248" s="269">
        <f t="shared" si="21"/>
        <v>16.57</v>
      </c>
      <c r="K248" s="270">
        <v>0.8</v>
      </c>
      <c r="L248" s="269">
        <f t="shared" si="22"/>
        <v>17964.488118</v>
      </c>
      <c r="M248" s="271">
        <f t="shared" si="24"/>
        <v>17964.488118</v>
      </c>
      <c r="N248" s="271"/>
      <c r="R248" s="243">
        <f t="shared" si="23"/>
        <v>2032.795125</v>
      </c>
    </row>
    <row r="249" customHeight="1" spans="1:18">
      <c r="A249" s="262"/>
      <c r="B249" s="251" t="str">
        <f>装饰工程!B286</f>
        <v>石材墙面</v>
      </c>
      <c r="C249" s="256" t="str">
        <f>装饰工程!C286</f>
        <v>1.40*40*2镀锌方通骨架
2.12厚埃特板基层
3.ST-02石材墙面
4.其它说明：满足规范和设计图纸要求
5.部位：水景区</v>
      </c>
      <c r="D249" s="258">
        <f t="shared" si="20"/>
        <v>6334.607223</v>
      </c>
      <c r="E249" s="260">
        <f>装饰工程!E286</f>
        <v>4.89</v>
      </c>
      <c r="F249" s="260">
        <v>1295.4207</v>
      </c>
      <c r="G249" s="260"/>
      <c r="H249" s="260">
        <v>0</v>
      </c>
      <c r="I249" s="260">
        <v>0</v>
      </c>
      <c r="J249" s="269">
        <f t="shared" si="21"/>
        <v>4.89</v>
      </c>
      <c r="K249" s="270">
        <v>0.65</v>
      </c>
      <c r="L249" s="269">
        <f t="shared" si="22"/>
        <v>4117.49469495</v>
      </c>
      <c r="M249" s="271">
        <f t="shared" si="24"/>
        <v>4117.49469495</v>
      </c>
      <c r="N249" s="271"/>
      <c r="R249" s="243">
        <f t="shared" si="23"/>
        <v>1943.13105</v>
      </c>
    </row>
    <row r="250" customHeight="1" spans="1:18">
      <c r="A250" s="262"/>
      <c r="B250" s="251" t="str">
        <f>装饰工程!B287</f>
        <v>石材墙面</v>
      </c>
      <c r="C250" s="256" t="str">
        <f>装饰工程!C287</f>
        <v>1.40*40*2镀锌方通骨架
2.12厚埃特板基层
3.ST-06石材墙面
4.其它说明：满足规范和设计图纸要求
5.部位：坐便器背部</v>
      </c>
      <c r="D250" s="258">
        <f t="shared" si="20"/>
        <v>7357.989576</v>
      </c>
      <c r="E250" s="260">
        <f>装饰工程!E287</f>
        <v>5.68</v>
      </c>
      <c r="F250" s="260">
        <v>1295.4207</v>
      </c>
      <c r="G250" s="260"/>
      <c r="H250" s="260">
        <v>0</v>
      </c>
      <c r="I250" s="260">
        <v>0</v>
      </c>
      <c r="J250" s="269">
        <f t="shared" si="21"/>
        <v>5.68</v>
      </c>
      <c r="K250" s="270">
        <v>0.65</v>
      </c>
      <c r="L250" s="269">
        <f t="shared" si="22"/>
        <v>4782.6932244</v>
      </c>
      <c r="M250" s="271">
        <f t="shared" si="24"/>
        <v>4782.6932244</v>
      </c>
      <c r="N250" s="271"/>
      <c r="R250" s="243">
        <f t="shared" si="23"/>
        <v>1943.13105</v>
      </c>
    </row>
    <row r="251" customHeight="1" spans="1:18">
      <c r="A251" s="262"/>
      <c r="B251" s="251" t="str">
        <f>装饰工程!B288</f>
        <v>镜面玻璃</v>
      </c>
      <c r="C251" s="256" t="str">
        <f>装饰工程!C288</f>
        <v>1.尺寸：1940*600
2.40*40*2镀锌方通骨架
3.12厚埃特板基层
4.MR01镜子
5.MT01金属包边（50宽）
6.其它说明：满足规范和设计图纸要求</v>
      </c>
      <c r="D251" s="258">
        <f t="shared" si="20"/>
        <v>3087.015369</v>
      </c>
      <c r="E251" s="260">
        <f>装饰工程!E288</f>
        <v>2.33</v>
      </c>
      <c r="F251" s="260">
        <v>1324.8993</v>
      </c>
      <c r="G251" s="260"/>
      <c r="H251" s="260">
        <v>0</v>
      </c>
      <c r="I251" s="260">
        <v>0</v>
      </c>
      <c r="J251" s="269">
        <f t="shared" si="21"/>
        <v>2.33</v>
      </c>
      <c r="K251" s="270">
        <v>0.65</v>
      </c>
      <c r="L251" s="269">
        <f t="shared" si="22"/>
        <v>2006.55998985</v>
      </c>
      <c r="M251" s="271">
        <f t="shared" si="24"/>
        <v>2006.55998985</v>
      </c>
      <c r="N251" s="271"/>
      <c r="R251" s="243">
        <f t="shared" si="23"/>
        <v>1987.34895</v>
      </c>
    </row>
    <row r="252" customHeight="1" spans="1:18">
      <c r="A252" s="262"/>
      <c r="B252" s="251" t="str">
        <f>装饰工程!B290</f>
        <v>墙面涂膜防水</v>
      </c>
      <c r="C252" s="256" t="str">
        <f>装饰工程!C290</f>
        <v>1.部位：墙面
2.聚氨酯防水层1.5厚
3.其它说明：满足规范和设计图纸要求</v>
      </c>
      <c r="D252" s="258">
        <f t="shared" si="20"/>
        <v>5978.5958085</v>
      </c>
      <c r="E252" s="260">
        <f>装饰工程!E290</f>
        <v>56.38</v>
      </c>
      <c r="F252" s="260">
        <v>106.041075</v>
      </c>
      <c r="G252" s="260"/>
      <c r="H252" s="260">
        <v>0</v>
      </c>
      <c r="I252" s="260">
        <v>0</v>
      </c>
      <c r="J252" s="269">
        <f t="shared" si="21"/>
        <v>56.38</v>
      </c>
      <c r="K252" s="270">
        <v>0.8</v>
      </c>
      <c r="L252" s="269">
        <f t="shared" si="22"/>
        <v>4782.8766468</v>
      </c>
      <c r="M252" s="271">
        <f t="shared" si="24"/>
        <v>4782.8766468</v>
      </c>
      <c r="N252" s="271"/>
      <c r="R252" s="243">
        <f t="shared" si="23"/>
        <v>159.0616125</v>
      </c>
    </row>
    <row r="253" customHeight="1" spans="1:18">
      <c r="A253" s="262"/>
      <c r="B253" s="251" t="str">
        <f>装饰工程!B291</f>
        <v>现场彩绘墙面</v>
      </c>
      <c r="C253" s="256" t="str">
        <f>装饰工程!C291</f>
        <v>1.现场预留水泥砂浆找平层
2.刷白色防水乳胶漆
3.其它说明：满足规范和设计图纸要求</v>
      </c>
      <c r="D253" s="258">
        <f t="shared" si="20"/>
        <v>9213.192513</v>
      </c>
      <c r="E253" s="260">
        <f>装饰工程!E291</f>
        <v>12.46</v>
      </c>
      <c r="F253" s="260">
        <v>739.42155</v>
      </c>
      <c r="G253" s="260"/>
      <c r="H253" s="260">
        <v>0</v>
      </c>
      <c r="I253" s="260">
        <v>0</v>
      </c>
      <c r="J253" s="269">
        <f t="shared" si="21"/>
        <v>12.46</v>
      </c>
      <c r="K253" s="270">
        <v>0.65</v>
      </c>
      <c r="L253" s="269">
        <f t="shared" si="22"/>
        <v>5988.57513345</v>
      </c>
      <c r="M253" s="271">
        <f t="shared" si="24"/>
        <v>5988.57513345</v>
      </c>
      <c r="N253" s="271"/>
      <c r="R253" s="243">
        <f t="shared" si="23"/>
        <v>1109.132325</v>
      </c>
    </row>
    <row r="254" customHeight="1" spans="1:18">
      <c r="A254" s="262"/>
      <c r="B254" s="251" t="str">
        <f>装饰工程!B292</f>
        <v>木质门</v>
      </c>
      <c r="C254" s="256" t="str">
        <f>装饰工程!C292</f>
        <v>1.尺寸：800*2400
2.门锁及其他五金配件
3.其它说明：满足规范和设计图纸要求</v>
      </c>
      <c r="D254" s="258">
        <f t="shared" si="20"/>
        <v>5864.27616</v>
      </c>
      <c r="E254" s="260">
        <f>装饰工程!E292</f>
        <v>3.84</v>
      </c>
      <c r="F254" s="260">
        <v>1527.15525</v>
      </c>
      <c r="G254" s="260"/>
      <c r="H254" s="260">
        <v>0</v>
      </c>
      <c r="I254" s="260">
        <v>0</v>
      </c>
      <c r="J254" s="269">
        <f t="shared" si="21"/>
        <v>3.84</v>
      </c>
      <c r="K254" s="270">
        <v>0</v>
      </c>
      <c r="L254" s="269">
        <f t="shared" si="22"/>
        <v>0</v>
      </c>
      <c r="M254" s="271"/>
      <c r="N254" s="271"/>
      <c r="R254" s="243">
        <f t="shared" si="23"/>
        <v>2290.732875</v>
      </c>
    </row>
    <row r="255" customHeight="1" spans="1:18">
      <c r="A255" s="262"/>
      <c r="B255" s="251" t="str">
        <f>装饰工程!B293</f>
        <v>墙面装饰板</v>
      </c>
      <c r="C255" s="256" t="str">
        <f>装饰工程!C293</f>
        <v>1.WD-01木饰面
2.具体做法详见-1F-MB-02
3.其它说明：满足规范和设计图纸要求</v>
      </c>
      <c r="D255" s="258">
        <f t="shared" si="20"/>
        <v>2578.39488</v>
      </c>
      <c r="E255" s="260">
        <f>装饰工程!E293</f>
        <v>2.56</v>
      </c>
      <c r="F255" s="260">
        <v>1007.1855</v>
      </c>
      <c r="G255" s="260"/>
      <c r="H255" s="260">
        <v>0</v>
      </c>
      <c r="I255" s="260">
        <v>0</v>
      </c>
      <c r="J255" s="269">
        <f t="shared" si="21"/>
        <v>2.56</v>
      </c>
      <c r="K255" s="270">
        <v>0.65</v>
      </c>
      <c r="L255" s="269">
        <f t="shared" si="22"/>
        <v>1675.956672</v>
      </c>
      <c r="M255" s="271">
        <f t="shared" ref="M255:M260" si="25">L255+I255</f>
        <v>1675.956672</v>
      </c>
      <c r="N255" s="271"/>
      <c r="R255" s="243">
        <f t="shared" si="23"/>
        <v>1510.77825</v>
      </c>
    </row>
    <row r="256" customHeight="1" spans="1:18">
      <c r="A256" s="262"/>
      <c r="B256" s="251" t="str">
        <f>装饰工程!B294</f>
        <v>木门窗套</v>
      </c>
      <c r="C256" s="256" t="str">
        <f>装饰工程!C294</f>
        <v>1.WD-01木饰面
2.具体做法详-1F-MB-02
3.其它说明：满足规范和设计图纸要求</v>
      </c>
      <c r="D256" s="258">
        <f t="shared" si="20"/>
        <v>5636.9634</v>
      </c>
      <c r="E256" s="260">
        <f>装饰工程!E294</f>
        <v>2</v>
      </c>
      <c r="F256" s="260">
        <v>2818.4817</v>
      </c>
      <c r="G256" s="260"/>
      <c r="H256" s="260">
        <v>0</v>
      </c>
      <c r="I256" s="260">
        <v>0</v>
      </c>
      <c r="J256" s="269">
        <f t="shared" si="21"/>
        <v>2</v>
      </c>
      <c r="K256" s="270">
        <v>0</v>
      </c>
      <c r="L256" s="269">
        <f t="shared" si="22"/>
        <v>0</v>
      </c>
      <c r="M256" s="271">
        <f t="shared" si="25"/>
        <v>0</v>
      </c>
      <c r="N256" s="271"/>
      <c r="R256" s="243">
        <f t="shared" si="23"/>
        <v>4227.72255</v>
      </c>
    </row>
    <row r="257" customHeight="1" spans="1:18">
      <c r="A257" s="262"/>
      <c r="B257" s="251" t="str">
        <f>装饰工程!B295</f>
        <v>楼梯间</v>
      </c>
      <c r="C257" s="256"/>
      <c r="D257" s="258"/>
      <c r="E257" s="260"/>
      <c r="F257" s="260"/>
      <c r="G257" s="260"/>
      <c r="H257" s="260"/>
      <c r="I257" s="260"/>
      <c r="J257" s="269"/>
      <c r="K257" s="278"/>
      <c r="L257" s="269"/>
      <c r="M257" s="271">
        <f t="shared" si="25"/>
        <v>0</v>
      </c>
      <c r="N257" s="271"/>
      <c r="R257" s="243">
        <f t="shared" si="23"/>
        <v>0</v>
      </c>
    </row>
    <row r="258" customHeight="1" spans="1:18">
      <c r="A258" s="262"/>
      <c r="B258" s="251" t="str">
        <f>装饰工程!B296</f>
        <v>墙面装饰板</v>
      </c>
      <c r="C258" s="256" t="str">
        <f>装饰工程!C296</f>
        <v>1.1:3水泥砂浆找平层
2.12mm厚阻燃夹板
3.WD-01木饰面
4.其它说明：满足规范和设计图纸要求</v>
      </c>
      <c r="D258" s="258">
        <f t="shared" si="20"/>
        <v>51458.99055</v>
      </c>
      <c r="E258" s="260">
        <f>装饰工程!E296</f>
        <v>57.13</v>
      </c>
      <c r="F258" s="260">
        <v>900.735</v>
      </c>
      <c r="G258" s="260"/>
      <c r="H258" s="260">
        <v>0</v>
      </c>
      <c r="I258" s="260">
        <v>0</v>
      </c>
      <c r="J258" s="269">
        <f t="shared" si="21"/>
        <v>57.13</v>
      </c>
      <c r="K258" s="270">
        <v>0.65</v>
      </c>
      <c r="L258" s="269">
        <f t="shared" si="22"/>
        <v>33448.3438575</v>
      </c>
      <c r="M258" s="271">
        <f t="shared" si="25"/>
        <v>33448.3438575</v>
      </c>
      <c r="N258" s="271"/>
      <c r="R258" s="243">
        <f t="shared" si="23"/>
        <v>1351.1025</v>
      </c>
    </row>
    <row r="259" customHeight="1" spans="1:18">
      <c r="A259" s="262"/>
      <c r="B259" s="251" t="str">
        <f>装饰工程!B297</f>
        <v>墙面装饰板</v>
      </c>
      <c r="C259" s="256" t="str">
        <f>装饰工程!C297</f>
        <v>1.1:3水泥砂浆找平层
2.9mm厚阻燃夹板
3.SP-03毛石饰面板
4.其它说明：满足规范和设计图纸要求</v>
      </c>
      <c r="D259" s="258">
        <f t="shared" si="20"/>
        <v>49979.39001375</v>
      </c>
      <c r="E259" s="260">
        <f>装饰工程!E297</f>
        <v>67.63</v>
      </c>
      <c r="F259" s="260">
        <v>739.012125</v>
      </c>
      <c r="G259" s="260"/>
      <c r="H259" s="260">
        <v>0</v>
      </c>
      <c r="I259" s="260">
        <v>0</v>
      </c>
      <c r="J259" s="269">
        <f t="shared" si="21"/>
        <v>67.63</v>
      </c>
      <c r="K259" s="270">
        <v>0.65</v>
      </c>
      <c r="L259" s="269">
        <f t="shared" si="22"/>
        <v>32486.6035089375</v>
      </c>
      <c r="M259" s="271">
        <f t="shared" si="25"/>
        <v>32486.6035089375</v>
      </c>
      <c r="N259" s="271"/>
      <c r="R259" s="243">
        <f t="shared" si="23"/>
        <v>1108.5181875</v>
      </c>
    </row>
    <row r="260" customHeight="1" spans="1:18">
      <c r="A260" s="262"/>
      <c r="B260" s="251" t="str">
        <f>装饰工程!B298</f>
        <v>金属踢脚线</v>
      </c>
      <c r="C260" s="256" t="str">
        <f>装饰工程!C298</f>
        <v>1.12mm厚阻燃板基层
2.MT01金属（踢脚线）30高
3.其它说明：满足规范和设计图纸要求</v>
      </c>
      <c r="D260" s="258">
        <f t="shared" si="20"/>
        <v>210.4149714</v>
      </c>
      <c r="E260" s="260">
        <f>装饰工程!E298</f>
        <v>2.83</v>
      </c>
      <c r="F260" s="260">
        <v>74.35158</v>
      </c>
      <c r="G260" s="260"/>
      <c r="H260" s="260">
        <v>0</v>
      </c>
      <c r="I260" s="260">
        <v>0</v>
      </c>
      <c r="J260" s="269">
        <f t="shared" si="21"/>
        <v>2.83</v>
      </c>
      <c r="K260" s="270">
        <v>0.65</v>
      </c>
      <c r="L260" s="269">
        <f t="shared" si="22"/>
        <v>136.76973141</v>
      </c>
      <c r="M260" s="271">
        <f t="shared" si="25"/>
        <v>136.76973141</v>
      </c>
      <c r="N260" s="271"/>
      <c r="R260" s="243">
        <f t="shared" si="23"/>
        <v>111.52737</v>
      </c>
    </row>
    <row r="261" customHeight="1" spans="1:18">
      <c r="A261" s="262"/>
      <c r="B261" s="251" t="str">
        <f>装饰工程!B299</f>
        <v>-1层家具</v>
      </c>
      <c r="C261" s="256"/>
      <c r="D261" s="258"/>
      <c r="E261" s="260"/>
      <c r="F261" s="260"/>
      <c r="G261" s="260"/>
      <c r="H261" s="260"/>
      <c r="I261" s="260"/>
      <c r="J261" s="269"/>
      <c r="K261" s="278"/>
      <c r="L261" s="269"/>
      <c r="M261" s="271"/>
      <c r="N261" s="271"/>
      <c r="R261" s="243">
        <f t="shared" si="23"/>
        <v>0</v>
      </c>
    </row>
    <row r="262" customHeight="1" spans="1:18">
      <c r="A262" s="262"/>
      <c r="B262" s="251" t="str">
        <f>装饰工程!B300</f>
        <v>亚克力展示架</v>
      </c>
      <c r="C262" s="256"/>
      <c r="D262" s="258"/>
      <c r="E262" s="260"/>
      <c r="F262" s="260"/>
      <c r="G262" s="260"/>
      <c r="H262" s="260"/>
      <c r="I262" s="260"/>
      <c r="J262" s="269"/>
      <c r="K262" s="278"/>
      <c r="L262" s="269"/>
      <c r="M262" s="271"/>
      <c r="N262" s="271"/>
      <c r="R262" s="243">
        <f>F262*$R$4</f>
        <v>0</v>
      </c>
    </row>
    <row r="263" customHeight="1" spans="1:18">
      <c r="A263" s="262"/>
      <c r="B263" s="251" t="str">
        <f>装饰工程!B301</f>
        <v>亚克力置物架</v>
      </c>
      <c r="C263" s="256" t="str">
        <f>装饰工程!C301</f>
        <v>1.亚克力置物架
2.其它说明：满足规范和设计图纸要求</v>
      </c>
      <c r="D263" s="258">
        <f>E263*F263</f>
        <v>74350.26984</v>
      </c>
      <c r="E263" s="260">
        <f>装饰工程!E301</f>
        <v>2</v>
      </c>
      <c r="F263" s="260">
        <v>37175.13492</v>
      </c>
      <c r="G263" s="260"/>
      <c r="H263" s="260">
        <v>0</v>
      </c>
      <c r="I263" s="260">
        <v>0</v>
      </c>
      <c r="J263" s="269">
        <f>E263</f>
        <v>2</v>
      </c>
      <c r="K263" s="270">
        <v>0.8</v>
      </c>
      <c r="L263" s="269">
        <f>J263*F263*K263</f>
        <v>59480.215872</v>
      </c>
      <c r="M263" s="271">
        <f>L263+I263</f>
        <v>59480.215872</v>
      </c>
      <c r="N263" s="271"/>
      <c r="R263" s="243">
        <f>F263*$R$4</f>
        <v>55762.70238</v>
      </c>
    </row>
    <row r="264" customHeight="1" spans="1:18">
      <c r="A264" s="262"/>
      <c r="B264" s="251" t="str">
        <f>装饰工程!B302</f>
        <v>沙盘</v>
      </c>
      <c r="C264" s="256"/>
      <c r="D264" s="258"/>
      <c r="E264" s="260"/>
      <c r="F264" s="260"/>
      <c r="G264" s="260"/>
      <c r="H264" s="260"/>
      <c r="I264" s="260"/>
      <c r="J264" s="269"/>
      <c r="K264" s="278"/>
      <c r="L264" s="269"/>
      <c r="M264" s="271"/>
      <c r="N264" s="271"/>
      <c r="R264" s="243">
        <f>F264*$R$4</f>
        <v>0</v>
      </c>
    </row>
    <row r="265" customHeight="1" spans="1:18">
      <c r="A265" s="262"/>
      <c r="B265" s="251" t="str">
        <f>装饰工程!B303</f>
        <v>沙盘底座</v>
      </c>
      <c r="C265" s="256" t="str">
        <f>装饰工程!C303</f>
        <v>1.40*40*2镀锌方通骨架
2.12mm厚阻燃板基层，含专用腻子等
3.PT-04木饰面油红色夯土肌理漆
4.GL-01玻璃
5.MT-01φ10实心金属
6.作法详见-1F-JJ-01
7.其它说明：满足规范和设计图纸要求</v>
      </c>
      <c r="D265" s="258">
        <f>E265*F265</f>
        <v>65065.821</v>
      </c>
      <c r="E265" s="260">
        <f>装饰工程!E303</f>
        <v>1</v>
      </c>
      <c r="F265" s="260">
        <v>65065.821</v>
      </c>
      <c r="G265" s="260"/>
      <c r="H265" s="260">
        <v>0</v>
      </c>
      <c r="I265" s="260">
        <v>0</v>
      </c>
      <c r="J265" s="269">
        <f>E265</f>
        <v>1</v>
      </c>
      <c r="K265" s="270">
        <v>0.8</v>
      </c>
      <c r="L265" s="269">
        <f>J265*F265*K265</f>
        <v>52052.6568</v>
      </c>
      <c r="M265" s="271">
        <f>L265+I265</f>
        <v>52052.6568</v>
      </c>
      <c r="N265" s="271"/>
      <c r="R265" s="243">
        <f>F265*$R$4</f>
        <v>97598.7315</v>
      </c>
    </row>
    <row r="266" ht="32" customHeight="1" spans="1:18">
      <c r="A266" s="262"/>
      <c r="B266" s="251" t="str">
        <f>装饰工程!B307</f>
        <v>户模平台-1F-JJ-02节点31</v>
      </c>
      <c r="C266" s="263"/>
      <c r="D266" s="258"/>
      <c r="E266" s="260"/>
      <c r="F266" s="260"/>
      <c r="G266" s="264"/>
      <c r="H266" s="260"/>
      <c r="I266" s="260"/>
      <c r="J266" s="269"/>
      <c r="K266" s="278"/>
      <c r="L266" s="269"/>
      <c r="M266" s="271"/>
      <c r="N266" s="271"/>
      <c r="R266" s="243">
        <f>F266*$R$4</f>
        <v>0</v>
      </c>
    </row>
    <row r="267" ht="39" customHeight="1" spans="1:18">
      <c r="A267" s="262"/>
      <c r="B267" s="251" t="str">
        <f>装饰工程!B308</f>
        <v>展台</v>
      </c>
      <c r="C267" s="256" t="str">
        <f>装饰工程!C308</f>
        <v>1.40*40*2镀锌方通骨架
2.12mm厚阻燃板基层，含专用腻子等
3.MT02-金属面+木饰面油红色夯土肌理漆+木饰面白色油漆
4.GL-01玻璃
5.作法详见-1F-JJ-02节点31
6.其它说明：满足规范和设计图纸要求</v>
      </c>
      <c r="D267" s="258">
        <f>E267*F267</f>
        <v>34601.3256</v>
      </c>
      <c r="E267" s="260">
        <f>装饰工程!E308</f>
        <v>4</v>
      </c>
      <c r="F267" s="260">
        <v>8650.3314</v>
      </c>
      <c r="G267" s="264"/>
      <c r="H267" s="260">
        <v>0</v>
      </c>
      <c r="I267" s="260">
        <v>0</v>
      </c>
      <c r="J267" s="269">
        <f>E267</f>
        <v>4</v>
      </c>
      <c r="K267" s="270">
        <v>0</v>
      </c>
      <c r="L267" s="269">
        <f>J267*F267*K267</f>
        <v>0</v>
      </c>
      <c r="M267" s="271"/>
      <c r="N267" s="271"/>
      <c r="R267" s="243">
        <f>F267*$R$4</f>
        <v>12975.4971</v>
      </c>
    </row>
    <row r="268" ht="35" customHeight="1" spans="1:18">
      <c r="A268" s="262"/>
      <c r="B268" s="251" t="str">
        <f>装饰工程!B315</f>
        <v>展示台1 -1F-JJ-02节点32</v>
      </c>
      <c r="C268" s="256"/>
      <c r="D268" s="258"/>
      <c r="E268" s="260"/>
      <c r="F268" s="260"/>
      <c r="G268" s="264"/>
      <c r="H268" s="260"/>
      <c r="I268" s="260"/>
      <c r="J268" s="269"/>
      <c r="K268" s="278"/>
      <c r="L268" s="269"/>
      <c r="M268" s="271"/>
      <c r="N268" s="271"/>
      <c r="R268" s="243">
        <f>F268*$R$4</f>
        <v>0</v>
      </c>
    </row>
    <row r="269" ht="38" customHeight="1" spans="1:18">
      <c r="A269" s="262"/>
      <c r="B269" s="251" t="str">
        <f>装饰工程!B316</f>
        <v>展台</v>
      </c>
      <c r="C269" s="256" t="str">
        <f>装饰工程!C316</f>
        <v>1.40*40*2镀锌方通骨架
2.12mm厚阻燃板基层
3.MT02-金属面+木饰面白色油漆
4.GL-01玻璃
5.作法详见-1F-JJ-02节点32
6.其它说明：满足规范和设计图纸要求</v>
      </c>
      <c r="D269" s="258">
        <f>E269*F269</f>
        <v>43962.4188</v>
      </c>
      <c r="E269" s="260">
        <f>装饰工程!E316</f>
        <v>6</v>
      </c>
      <c r="F269" s="260">
        <v>7327.0698</v>
      </c>
      <c r="G269" s="264"/>
      <c r="H269" s="260">
        <v>0</v>
      </c>
      <c r="I269" s="260">
        <v>0</v>
      </c>
      <c r="J269" s="269">
        <f>E269</f>
        <v>6</v>
      </c>
      <c r="K269" s="270">
        <v>0</v>
      </c>
      <c r="L269" s="269">
        <f>J269*F269*K269</f>
        <v>0</v>
      </c>
      <c r="M269" s="271"/>
      <c r="N269" s="271"/>
      <c r="R269" s="243">
        <f>F269*$R$4</f>
        <v>10990.6047</v>
      </c>
    </row>
    <row r="270" ht="32" customHeight="1" spans="1:18">
      <c r="A270" s="262"/>
      <c r="B270" s="251" t="str">
        <f>装饰工程!B321</f>
        <v>展示台2 -1F-JJ-04节点33</v>
      </c>
      <c r="C270" s="256"/>
      <c r="D270" s="258"/>
      <c r="E270" s="260"/>
      <c r="F270" s="260"/>
      <c r="G270" s="264"/>
      <c r="H270" s="260"/>
      <c r="I270" s="260"/>
      <c r="J270" s="269"/>
      <c r="K270" s="278"/>
      <c r="L270" s="269"/>
      <c r="M270" s="271"/>
      <c r="N270" s="271"/>
      <c r="R270" s="243">
        <f>F270*$R$4</f>
        <v>0</v>
      </c>
    </row>
    <row r="271" ht="38" customHeight="1" spans="1:18">
      <c r="A271" s="262"/>
      <c r="B271" s="251" t="str">
        <f>装饰工程!B322</f>
        <v>展台</v>
      </c>
      <c r="C271" s="256" t="str">
        <f>装饰工程!C322</f>
        <v>1.40*40*2镀锌方通骨架
2.12mm厚阻燃板基层
3.MT02-金属面+木饰面白色油漆
4.SP02亚克力+GL01玻璃
5.做法详见-1F-JJ-04节点33
6.其它说明：满足规范和设计图纸要求</v>
      </c>
      <c r="D271" s="258">
        <f>E271*F271</f>
        <v>8650.3314</v>
      </c>
      <c r="E271" s="260">
        <f>装饰工程!E322</f>
        <v>1</v>
      </c>
      <c r="F271" s="260">
        <v>8650.3314</v>
      </c>
      <c r="G271" s="264"/>
      <c r="H271" s="260">
        <v>0</v>
      </c>
      <c r="I271" s="260">
        <v>0</v>
      </c>
      <c r="J271" s="269">
        <f>E271</f>
        <v>1</v>
      </c>
      <c r="K271" s="270">
        <v>0</v>
      </c>
      <c r="L271" s="269">
        <f>J271*F271*K271</f>
        <v>0</v>
      </c>
      <c r="M271" s="271"/>
      <c r="N271" s="271"/>
      <c r="R271" s="243">
        <f>F271*$R$4</f>
        <v>12975.4971</v>
      </c>
    </row>
    <row r="272" ht="47" customHeight="1" spans="1:18">
      <c r="A272" s="262"/>
      <c r="B272" s="251" t="str">
        <f>装饰工程!B328</f>
        <v>展示台3 34/-1F-JJ-04</v>
      </c>
      <c r="C272" s="256"/>
      <c r="D272" s="258"/>
      <c r="E272" s="260"/>
      <c r="F272" s="260"/>
      <c r="G272" s="264"/>
      <c r="H272" s="260"/>
      <c r="I272" s="260"/>
      <c r="J272" s="269"/>
      <c r="K272" s="278"/>
      <c r="L272" s="269"/>
      <c r="M272" s="271"/>
      <c r="N272" s="271"/>
      <c r="R272" s="243">
        <f>F272*$R$4</f>
        <v>0</v>
      </c>
    </row>
    <row r="273" ht="40" customHeight="1" spans="1:18">
      <c r="A273" s="262"/>
      <c r="B273" s="251" t="str">
        <f>装饰工程!B329</f>
        <v>展台</v>
      </c>
      <c r="C273" s="256" t="str">
        <f>装饰工程!C329</f>
        <v>1.40*40*2镀锌方通骨架
2.12mm厚阻燃板基层
3.MT02-金属面+木饰面白色油漆
4.SP02亚克力+GL01玻璃
5.作法详见-1F-JJ-04节点34
6.其它说明：满足规范和设计图纸要求</v>
      </c>
      <c r="D273" s="258">
        <f>E273*F273</f>
        <v>14228.01006</v>
      </c>
      <c r="E273" s="260">
        <f>装饰工程!E329</f>
        <v>1</v>
      </c>
      <c r="F273" s="260">
        <v>14228.01006</v>
      </c>
      <c r="G273" s="264"/>
      <c r="H273" s="260">
        <v>0</v>
      </c>
      <c r="I273" s="260">
        <v>0</v>
      </c>
      <c r="J273" s="269">
        <f>E273</f>
        <v>1</v>
      </c>
      <c r="K273" s="270">
        <v>0</v>
      </c>
      <c r="L273" s="269">
        <f>J273*F273*K273</f>
        <v>0</v>
      </c>
      <c r="M273" s="271"/>
      <c r="N273" s="271"/>
      <c r="R273" s="243">
        <f>F273*$R$4</f>
        <v>21342.01509</v>
      </c>
    </row>
    <row r="274" ht="23" customHeight="1" spans="1:18">
      <c r="A274" s="262"/>
      <c r="B274" s="251" t="str">
        <f>装饰工程!B335</f>
        <v>服务台</v>
      </c>
      <c r="C274" s="256"/>
      <c r="D274" s="258"/>
      <c r="E274" s="260"/>
      <c r="F274" s="260"/>
      <c r="G274" s="264"/>
      <c r="H274" s="260"/>
      <c r="I274" s="260"/>
      <c r="J274" s="269"/>
      <c r="K274" s="278"/>
      <c r="L274" s="269"/>
      <c r="M274" s="271"/>
      <c r="N274" s="271"/>
      <c r="R274" s="243">
        <f>F274*$R$4</f>
        <v>0</v>
      </c>
    </row>
    <row r="275" ht="26" customHeight="1" spans="1:18">
      <c r="A275" s="262"/>
      <c r="B275" s="251" t="str">
        <f>装饰工程!B336</f>
        <v>服务台</v>
      </c>
      <c r="C275" s="256" t="str">
        <f>装饰工程!C336</f>
        <v>1.40*40*2镀锌方通骨架
2.12mm厚阻燃板基层，含专用腻子等
3.MT02-金属面+WD-01木饰面+肌理漆+WD-01实木
4.SP02亚克力+GL01玻璃
5.作法详见-1F-JJ-05、-1F-JJ-06
6.其它说明：满足规范和设计图纸要求</v>
      </c>
      <c r="D275" s="258">
        <f>E275*F275</f>
        <v>119718.49032</v>
      </c>
      <c r="E275" s="260">
        <f>装饰工程!E336</f>
        <v>13.2</v>
      </c>
      <c r="F275" s="260">
        <v>9069.5826</v>
      </c>
      <c r="G275" s="264"/>
      <c r="H275" s="260">
        <v>0</v>
      </c>
      <c r="I275" s="260">
        <v>0</v>
      </c>
      <c r="J275" s="269">
        <f>E275</f>
        <v>13.2</v>
      </c>
      <c r="K275" s="270">
        <v>0</v>
      </c>
      <c r="L275" s="269">
        <f>J275*F275*K275</f>
        <v>0</v>
      </c>
      <c r="M275" s="271"/>
      <c r="N275" s="271"/>
      <c r="R275" s="243">
        <f>F275*$R$4</f>
        <v>13604.3739</v>
      </c>
    </row>
    <row r="276" ht="26" customHeight="1" spans="1:18">
      <c r="A276" s="262"/>
      <c r="B276" s="32" t="s">
        <v>35</v>
      </c>
      <c r="C276" s="32" t="s">
        <v>36</v>
      </c>
      <c r="D276" s="258">
        <f>E276*F276</f>
        <v>32045.285325</v>
      </c>
      <c r="E276" s="260">
        <v>103.75</v>
      </c>
      <c r="F276" s="260">
        <v>308.87022</v>
      </c>
      <c r="G276" s="264"/>
      <c r="H276" s="260"/>
      <c r="I276" s="260"/>
      <c r="J276" s="269"/>
      <c r="K276" s="270">
        <v>0</v>
      </c>
      <c r="L276" s="269"/>
      <c r="M276" s="271"/>
      <c r="N276" s="271"/>
      <c r="R276" s="243"/>
    </row>
    <row r="277" ht="26" customHeight="1" spans="1:18">
      <c r="A277" s="262"/>
      <c r="B277" s="32" t="s">
        <v>35</v>
      </c>
      <c r="C277" s="32" t="s">
        <v>37</v>
      </c>
      <c r="D277" s="258">
        <f>E277*F277</f>
        <v>685.6918884</v>
      </c>
      <c r="E277" s="260">
        <v>2.22</v>
      </c>
      <c r="F277" s="260">
        <v>308.87022</v>
      </c>
      <c r="G277" s="264"/>
      <c r="H277" s="260"/>
      <c r="I277" s="260"/>
      <c r="J277" s="269"/>
      <c r="K277" s="270">
        <v>0</v>
      </c>
      <c r="L277" s="269"/>
      <c r="M277" s="271"/>
      <c r="N277" s="271"/>
      <c r="R277" s="243"/>
    </row>
    <row r="278" ht="22" customHeight="1" spans="1:18">
      <c r="A278" s="262"/>
      <c r="B278" s="280" t="s">
        <v>20</v>
      </c>
      <c r="C278" s="281"/>
      <c r="D278" s="257">
        <f>SUM(D279:D499)</f>
        <v>1360769.92645368</v>
      </c>
      <c r="E278" s="264"/>
      <c r="F278" s="264"/>
      <c r="G278" s="260"/>
      <c r="H278" s="260"/>
      <c r="I278" s="260"/>
      <c r="J278" s="269"/>
      <c r="K278" s="278"/>
      <c r="L278" s="269"/>
      <c r="M278" s="257">
        <f>SUM(M279:M499)</f>
        <v>602070.929478176</v>
      </c>
      <c r="N278" s="271"/>
      <c r="R278" s="243">
        <f t="shared" ref="R278:R327" si="26">F278*$R$4</f>
        <v>0</v>
      </c>
    </row>
    <row r="279" customHeight="1" spans="1:18">
      <c r="A279" s="262"/>
      <c r="B279" s="282" t="str">
        <f>安装工程!B8</f>
        <v>配电箱</v>
      </c>
      <c r="C279" s="283" t="str">
        <f>安装工程!C8</f>
        <v>1.名称:售楼部照明配电箱
2.型号、规格:ZAL1-10#
3.安装方式:暗装,H+1.6m
4.含无端子接线</v>
      </c>
      <c r="D279" s="258">
        <f t="shared" ref="D278:D327" si="27">E279*F279</f>
        <v>308.87022</v>
      </c>
      <c r="E279" s="284">
        <f>安装工程!E8</f>
        <v>1</v>
      </c>
      <c r="F279" s="284">
        <v>308.87022</v>
      </c>
      <c r="G279" s="260"/>
      <c r="H279" s="260">
        <v>0</v>
      </c>
      <c r="I279" s="260">
        <v>0</v>
      </c>
      <c r="J279" s="269">
        <f t="shared" ref="J278:J327" si="28">E279</f>
        <v>1</v>
      </c>
      <c r="K279" s="270">
        <v>0.8</v>
      </c>
      <c r="L279" s="269">
        <f t="shared" ref="L278:L344" si="29">J279*F279*K279</f>
        <v>247.096176</v>
      </c>
      <c r="M279" s="271">
        <f t="shared" ref="M278:M309" si="30">L279+I279</f>
        <v>247.096176</v>
      </c>
      <c r="N279" s="271"/>
      <c r="R279" s="243">
        <f t="shared" si="26"/>
        <v>463.30533</v>
      </c>
    </row>
    <row r="280" customHeight="1" spans="1:18">
      <c r="A280" s="262"/>
      <c r="B280" s="282" t="str">
        <f>安装工程!B9</f>
        <v>配电箱</v>
      </c>
      <c r="C280" s="283" t="str">
        <f>安装工程!C9</f>
        <v>1.名称:售楼部总配电箱
2.型号、规格:ZAP-10#
3.安装方式:明装,H+1.1m
4.其它说明：满足规范和设计图纸要求</v>
      </c>
      <c r="D280" s="258">
        <f t="shared" si="27"/>
        <v>6034.6542</v>
      </c>
      <c r="E280" s="284">
        <f>安装工程!E9</f>
        <v>1</v>
      </c>
      <c r="F280" s="284">
        <v>6034.6542</v>
      </c>
      <c r="G280" s="260">
        <v>0</v>
      </c>
      <c r="H280" s="260">
        <v>0</v>
      </c>
      <c r="I280" s="260">
        <v>0</v>
      </c>
      <c r="J280" s="269">
        <f t="shared" si="28"/>
        <v>1</v>
      </c>
      <c r="K280" s="270">
        <v>0.8</v>
      </c>
      <c r="L280" s="269">
        <f t="shared" si="29"/>
        <v>4827.72336</v>
      </c>
      <c r="M280" s="271">
        <f t="shared" si="30"/>
        <v>4827.72336</v>
      </c>
      <c r="N280" s="271"/>
      <c r="R280" s="243">
        <f t="shared" si="26"/>
        <v>9051.9813</v>
      </c>
    </row>
    <row r="281" customHeight="1" spans="1:18">
      <c r="A281" s="262"/>
      <c r="B281" s="282" t="str">
        <f>安装工程!B10</f>
        <v>桥架</v>
      </c>
      <c r="C281" s="283" t="str">
        <f>安装工程!C10</f>
        <v>1.名称:强电线槽
2.规格:100x50
3.安装位置:室内
4.其它说明：满足规范和设计图纸要求</v>
      </c>
      <c r="D281" s="258">
        <f t="shared" si="27"/>
        <v>738.317931</v>
      </c>
      <c r="E281" s="284">
        <f>安装工程!E10</f>
        <v>7.54</v>
      </c>
      <c r="F281" s="284">
        <v>97.92015</v>
      </c>
      <c r="G281" s="260">
        <v>0</v>
      </c>
      <c r="H281" s="260">
        <v>0</v>
      </c>
      <c r="I281" s="260">
        <v>0</v>
      </c>
      <c r="J281" s="269">
        <f t="shared" si="28"/>
        <v>7.54</v>
      </c>
      <c r="K281" s="270">
        <v>0.8</v>
      </c>
      <c r="L281" s="269">
        <f t="shared" si="29"/>
        <v>590.6543448</v>
      </c>
      <c r="M281" s="271">
        <f t="shared" si="30"/>
        <v>590.6543448</v>
      </c>
      <c r="N281" s="271"/>
      <c r="R281" s="243">
        <f t="shared" si="26"/>
        <v>146.880225</v>
      </c>
    </row>
    <row r="282" customHeight="1" spans="1:18">
      <c r="A282" s="262"/>
      <c r="B282" s="282" t="str">
        <f>安装工程!B11</f>
        <v>桥架</v>
      </c>
      <c r="C282" s="283" t="str">
        <f>安装工程!C11</f>
        <v>1.名称:强电线槽
2.规格:150x100
3.安装位置:室内
4.其它说明：满足规范和设计图纸要求</v>
      </c>
      <c r="D282" s="258">
        <f t="shared" si="27"/>
        <v>15156.41391882</v>
      </c>
      <c r="E282" s="284">
        <f>安装工程!E11</f>
        <v>105.39</v>
      </c>
      <c r="F282" s="284">
        <v>143.812638</v>
      </c>
      <c r="G282" s="260">
        <v>0</v>
      </c>
      <c r="H282" s="260">
        <v>0</v>
      </c>
      <c r="I282" s="260">
        <v>0</v>
      </c>
      <c r="J282" s="269">
        <f t="shared" si="28"/>
        <v>105.39</v>
      </c>
      <c r="K282" s="270">
        <v>0.8</v>
      </c>
      <c r="L282" s="269">
        <f t="shared" si="29"/>
        <v>12125.131135056</v>
      </c>
      <c r="M282" s="271">
        <f t="shared" si="30"/>
        <v>12125.131135056</v>
      </c>
      <c r="N282" s="271"/>
      <c r="R282" s="243">
        <f t="shared" si="26"/>
        <v>215.718957</v>
      </c>
    </row>
    <row r="283" customHeight="1" spans="1:18">
      <c r="A283" s="262"/>
      <c r="B283" s="282" t="str">
        <f>安装工程!B12</f>
        <v>桥架</v>
      </c>
      <c r="C283" s="283" t="str">
        <f>安装工程!C12</f>
        <v>1.名称:强电线槽
2.规格:250x100
3.安装位置:室内
4.其它说明：满足规范和设计图纸要求</v>
      </c>
      <c r="D283" s="258">
        <f t="shared" si="27"/>
        <v>1409.3482545</v>
      </c>
      <c r="E283" s="284">
        <f>安装工程!E12</f>
        <v>7.65</v>
      </c>
      <c r="F283" s="284">
        <v>184.22853</v>
      </c>
      <c r="G283" s="260">
        <v>0</v>
      </c>
      <c r="H283" s="260">
        <v>0</v>
      </c>
      <c r="I283" s="260">
        <v>0</v>
      </c>
      <c r="J283" s="269">
        <f t="shared" si="28"/>
        <v>7.65</v>
      </c>
      <c r="K283" s="270">
        <v>0.8</v>
      </c>
      <c r="L283" s="269">
        <f t="shared" si="29"/>
        <v>1127.4786036</v>
      </c>
      <c r="M283" s="271">
        <f t="shared" si="30"/>
        <v>1127.4786036</v>
      </c>
      <c r="N283" s="271"/>
      <c r="R283" s="243">
        <f t="shared" si="26"/>
        <v>276.342795</v>
      </c>
    </row>
    <row r="284" customHeight="1" spans="1:18">
      <c r="A284" s="262"/>
      <c r="B284" s="282" t="str">
        <f>安装工程!B13</f>
        <v>桥架</v>
      </c>
      <c r="C284" s="283" t="str">
        <f>安装工程!C13</f>
        <v>1.名称:强电线槽
2.规格:300x150
3.安装位置:室内
4.其它说明：满足规范和设计图纸要求</v>
      </c>
      <c r="D284" s="258">
        <f t="shared" si="27"/>
        <v>17186.8112793</v>
      </c>
      <c r="E284" s="284">
        <f>安装工程!E13</f>
        <v>44.61</v>
      </c>
      <c r="F284" s="284">
        <v>385.26813</v>
      </c>
      <c r="G284" s="260">
        <v>0</v>
      </c>
      <c r="H284" s="260">
        <v>0</v>
      </c>
      <c r="I284" s="260">
        <v>0</v>
      </c>
      <c r="J284" s="269">
        <f t="shared" si="28"/>
        <v>44.61</v>
      </c>
      <c r="K284" s="270">
        <v>0.8</v>
      </c>
      <c r="L284" s="269">
        <f t="shared" si="29"/>
        <v>13749.44902344</v>
      </c>
      <c r="M284" s="271">
        <f t="shared" si="30"/>
        <v>13749.44902344</v>
      </c>
      <c r="N284" s="271"/>
      <c r="R284" s="243">
        <f t="shared" si="26"/>
        <v>577.902195</v>
      </c>
    </row>
    <row r="285" customHeight="1" spans="1:18">
      <c r="A285" s="262"/>
      <c r="B285" s="282" t="str">
        <f>安装工程!B14</f>
        <v>铁构件</v>
      </c>
      <c r="C285" s="283" t="str">
        <f>安装工程!C14</f>
        <v>1.名称:桥架支架
2.材质、规格及除锈刷漆要求:详见图纸设计
3.安装部位:室内
4.其它说明：满足规范和设计图纸要求</v>
      </c>
      <c r="D285" s="258">
        <f t="shared" si="27"/>
        <v>2947.94209488</v>
      </c>
      <c r="E285" s="284">
        <f>安装工程!E14</f>
        <v>134.57</v>
      </c>
      <c r="F285" s="284">
        <v>21.906384</v>
      </c>
      <c r="G285" s="260">
        <v>0</v>
      </c>
      <c r="H285" s="260">
        <v>0</v>
      </c>
      <c r="I285" s="260">
        <v>0</v>
      </c>
      <c r="J285" s="269">
        <f t="shared" si="28"/>
        <v>134.57</v>
      </c>
      <c r="K285" s="270">
        <v>0.8</v>
      </c>
      <c r="L285" s="269">
        <f t="shared" si="29"/>
        <v>2358.353675904</v>
      </c>
      <c r="M285" s="271">
        <f t="shared" si="30"/>
        <v>2358.353675904</v>
      </c>
      <c r="N285" s="271"/>
      <c r="R285" s="243">
        <f t="shared" si="26"/>
        <v>32.859576</v>
      </c>
    </row>
    <row r="286" customHeight="1" spans="1:18">
      <c r="A286" s="262"/>
      <c r="B286" s="282" t="str">
        <f>安装工程!B15</f>
        <v>配管</v>
      </c>
      <c r="C286" s="283" t="str">
        <f>安装工程!C15</f>
        <v>1.名称:电气配管
2.规格:JDG20
3.配置形式:吊顶内明敷
4.其它说明：满足规范和设计图纸要求</v>
      </c>
      <c r="D286" s="258">
        <f t="shared" si="27"/>
        <v>28515.926447445</v>
      </c>
      <c r="E286" s="284">
        <f>安装工程!E15</f>
        <v>931.43</v>
      </c>
      <c r="F286" s="284">
        <v>30.6152115</v>
      </c>
      <c r="G286" s="260">
        <v>0</v>
      </c>
      <c r="H286" s="260">
        <v>0</v>
      </c>
      <c r="I286" s="260">
        <v>0</v>
      </c>
      <c r="J286" s="269">
        <f t="shared" si="28"/>
        <v>931.43</v>
      </c>
      <c r="K286" s="270">
        <v>0.8</v>
      </c>
      <c r="L286" s="269">
        <f t="shared" si="29"/>
        <v>22812.741157956</v>
      </c>
      <c r="M286" s="271">
        <f t="shared" si="30"/>
        <v>22812.741157956</v>
      </c>
      <c r="N286" s="271"/>
      <c r="R286" s="243">
        <f t="shared" si="26"/>
        <v>45.92281725</v>
      </c>
    </row>
    <row r="287" customHeight="1" spans="1:18">
      <c r="A287" s="262"/>
      <c r="B287" s="282" t="str">
        <f>安装工程!B16</f>
        <v>配管</v>
      </c>
      <c r="C287" s="283" t="str">
        <f>安装工程!C16</f>
        <v>1.名称:电气配管
2.规格:JDG20
3.配置形式:暗敷
4.其它说明：满足规范和设计图纸要求</v>
      </c>
      <c r="D287" s="258">
        <f t="shared" si="27"/>
        <v>12429.775869</v>
      </c>
      <c r="E287" s="284">
        <f>安装工程!E16</f>
        <v>406</v>
      </c>
      <c r="F287" s="284">
        <v>30.6152115</v>
      </c>
      <c r="G287" s="260">
        <v>0</v>
      </c>
      <c r="H287" s="260">
        <v>0</v>
      </c>
      <c r="I287" s="260">
        <v>0</v>
      </c>
      <c r="J287" s="269">
        <f t="shared" si="28"/>
        <v>406</v>
      </c>
      <c r="K287" s="270">
        <v>0.8</v>
      </c>
      <c r="L287" s="269">
        <f t="shared" si="29"/>
        <v>9943.8206952</v>
      </c>
      <c r="M287" s="271">
        <f t="shared" si="30"/>
        <v>9943.8206952</v>
      </c>
      <c r="N287" s="271"/>
      <c r="R287" s="243">
        <f t="shared" si="26"/>
        <v>45.92281725</v>
      </c>
    </row>
    <row r="288" customHeight="1" spans="1:18">
      <c r="A288" s="262"/>
      <c r="B288" s="282" t="str">
        <f>安装工程!B17</f>
        <v>配管</v>
      </c>
      <c r="C288" s="283" t="str">
        <f>安装工程!C17</f>
        <v>1.名称:电气配管
2.规格:JDG25
3.配置形式:吊顶内明敷
4.其它说明：满足规范和设计图纸要求</v>
      </c>
      <c r="D288" s="258">
        <f t="shared" si="27"/>
        <v>8333.067433896</v>
      </c>
      <c r="E288" s="284">
        <f>安装工程!E17</f>
        <v>230.52</v>
      </c>
      <c r="F288" s="284">
        <v>36.1489998</v>
      </c>
      <c r="G288" s="260">
        <v>0</v>
      </c>
      <c r="H288" s="260">
        <v>0</v>
      </c>
      <c r="I288" s="260">
        <v>0</v>
      </c>
      <c r="J288" s="269">
        <f t="shared" si="28"/>
        <v>230.52</v>
      </c>
      <c r="K288" s="270">
        <v>0.8</v>
      </c>
      <c r="L288" s="269">
        <f t="shared" si="29"/>
        <v>6666.4539471168</v>
      </c>
      <c r="M288" s="271">
        <f t="shared" si="30"/>
        <v>6666.4539471168</v>
      </c>
      <c r="N288" s="271"/>
      <c r="R288" s="243">
        <f t="shared" si="26"/>
        <v>54.2234997</v>
      </c>
    </row>
    <row r="289" customHeight="1" spans="1:18">
      <c r="A289" s="262"/>
      <c r="B289" s="282" t="str">
        <f>安装工程!B18</f>
        <v>配管</v>
      </c>
      <c r="C289" s="283" t="str">
        <f>安装工程!C18</f>
        <v>1.名称:电气配管
2.规格:JDG25
3.配置形式:暗敷
4.其它说明：满足规范和设计图纸要求</v>
      </c>
      <c r="D289" s="258">
        <f t="shared" si="27"/>
        <v>1550.79209142</v>
      </c>
      <c r="E289" s="284">
        <f>安装工程!E18</f>
        <v>42.9</v>
      </c>
      <c r="F289" s="284">
        <v>36.1489998</v>
      </c>
      <c r="G289" s="260">
        <v>0</v>
      </c>
      <c r="H289" s="260">
        <v>0</v>
      </c>
      <c r="I289" s="260">
        <v>0</v>
      </c>
      <c r="J289" s="269">
        <f t="shared" si="28"/>
        <v>42.9</v>
      </c>
      <c r="K289" s="270">
        <v>0.8</v>
      </c>
      <c r="L289" s="269">
        <f t="shared" si="29"/>
        <v>1240.633673136</v>
      </c>
      <c r="M289" s="271">
        <f t="shared" si="30"/>
        <v>1240.633673136</v>
      </c>
      <c r="N289" s="271"/>
      <c r="R289" s="243">
        <f t="shared" si="26"/>
        <v>54.2234997</v>
      </c>
    </row>
    <row r="290" customHeight="1" spans="1:18">
      <c r="A290" s="262"/>
      <c r="B290" s="282" t="str">
        <f>安装工程!B19</f>
        <v>电力电缆</v>
      </c>
      <c r="C290" s="283" t="str">
        <f>安装工程!C19</f>
        <v>1.名称:电力电缆
2.规格:WDZR-YJY-4X35+1X16
3.敷设方式、部位:综合考虑
4.其它说明：满足规范和设计图纸要求</v>
      </c>
      <c r="D290" s="258">
        <f t="shared" si="27"/>
        <v>766.5293328</v>
      </c>
      <c r="E290" s="284">
        <f>安装工程!E19</f>
        <v>3.08</v>
      </c>
      <c r="F290" s="284">
        <v>248.87316</v>
      </c>
      <c r="G290" s="260">
        <v>0</v>
      </c>
      <c r="H290" s="260">
        <v>0</v>
      </c>
      <c r="I290" s="260">
        <v>0</v>
      </c>
      <c r="J290" s="269">
        <f t="shared" si="28"/>
        <v>3.08</v>
      </c>
      <c r="K290" s="270">
        <v>0.8</v>
      </c>
      <c r="L290" s="269">
        <f t="shared" si="29"/>
        <v>613.22346624</v>
      </c>
      <c r="M290" s="271">
        <f t="shared" si="30"/>
        <v>613.22346624</v>
      </c>
      <c r="N290" s="271"/>
      <c r="R290" s="243">
        <f t="shared" si="26"/>
        <v>373.30974</v>
      </c>
    </row>
    <row r="291" customHeight="1" spans="1:18">
      <c r="A291" s="262"/>
      <c r="B291" s="282" t="str">
        <f>安装工程!B20</f>
        <v>电力电缆头</v>
      </c>
      <c r="C291" s="283" t="str">
        <f>安装工程!C20</f>
        <v>1.名称:电力电缆终端头
2.规格:五芯35mm2
3.材质、类型:铜芯
4.安装部位:室内
5.其它说明：满足规范和设计图纸要求</v>
      </c>
      <c r="D291" s="258">
        <f t="shared" si="27"/>
        <v>227.538699</v>
      </c>
      <c r="E291" s="284">
        <f>安装工程!E20</f>
        <v>2</v>
      </c>
      <c r="F291" s="284">
        <v>113.7693495</v>
      </c>
      <c r="G291" s="260">
        <v>0</v>
      </c>
      <c r="H291" s="260">
        <v>0</v>
      </c>
      <c r="I291" s="260">
        <v>0</v>
      </c>
      <c r="J291" s="269">
        <f t="shared" si="28"/>
        <v>2</v>
      </c>
      <c r="K291" s="270">
        <v>0.8</v>
      </c>
      <c r="L291" s="269">
        <f t="shared" si="29"/>
        <v>182.0309592</v>
      </c>
      <c r="M291" s="271">
        <f t="shared" si="30"/>
        <v>182.0309592</v>
      </c>
      <c r="N291" s="271"/>
      <c r="R291" s="243">
        <f t="shared" si="26"/>
        <v>170.65402425</v>
      </c>
    </row>
    <row r="292" customHeight="1" spans="1:18">
      <c r="A292" s="262"/>
      <c r="B292" s="282" t="str">
        <f>安装工程!B21</f>
        <v>配线</v>
      </c>
      <c r="C292" s="283" t="str">
        <f>安装工程!C21</f>
        <v>1.名称:铜芯导线
2.规格、型号:WDZ-BYJ-1.0
3.敷设方式:穿管敷设
4.其它说明：满足规范和设计图纸要求</v>
      </c>
      <c r="D292" s="258">
        <f t="shared" si="27"/>
        <v>18535.865816688</v>
      </c>
      <c r="E292" s="284">
        <f>安装工程!E21</f>
        <v>1913.96</v>
      </c>
      <c r="F292" s="284">
        <v>9.6845628</v>
      </c>
      <c r="G292" s="260">
        <v>0</v>
      </c>
      <c r="H292" s="260">
        <v>0</v>
      </c>
      <c r="I292" s="260">
        <v>0</v>
      </c>
      <c r="J292" s="269">
        <f t="shared" si="28"/>
        <v>1913.96</v>
      </c>
      <c r="K292" s="270">
        <v>0.8</v>
      </c>
      <c r="L292" s="269">
        <f t="shared" si="29"/>
        <v>14828.6926533504</v>
      </c>
      <c r="M292" s="271">
        <f t="shared" si="30"/>
        <v>14828.6926533504</v>
      </c>
      <c r="N292" s="271"/>
      <c r="R292" s="243">
        <f t="shared" si="26"/>
        <v>14.5268442</v>
      </c>
    </row>
    <row r="293" customHeight="1" spans="1:18">
      <c r="A293" s="262"/>
      <c r="B293" s="282" t="str">
        <f>安装工程!B22</f>
        <v>配线</v>
      </c>
      <c r="C293" s="283" t="str">
        <f>安装工程!C22</f>
        <v>1.名称:铜芯导线
2.规格、型号:WDZ-BYJ-2.5
3.敷设方式:穿管敷设
4.其它说明：满足规范和设计图纸要求</v>
      </c>
      <c r="D293" s="258">
        <f t="shared" si="27"/>
        <v>30347.91999306</v>
      </c>
      <c r="E293" s="284">
        <f>安装工程!E22</f>
        <v>2687.35</v>
      </c>
      <c r="F293" s="284">
        <v>11.2928796</v>
      </c>
      <c r="G293" s="260">
        <v>0</v>
      </c>
      <c r="H293" s="260">
        <v>0</v>
      </c>
      <c r="I293" s="260">
        <v>0</v>
      </c>
      <c r="J293" s="269">
        <f t="shared" si="28"/>
        <v>2687.35</v>
      </c>
      <c r="K293" s="270">
        <v>0.8</v>
      </c>
      <c r="L293" s="269">
        <f t="shared" si="29"/>
        <v>24278.335994448</v>
      </c>
      <c r="M293" s="271">
        <f t="shared" si="30"/>
        <v>24278.335994448</v>
      </c>
      <c r="N293" s="271"/>
      <c r="R293" s="243">
        <f t="shared" si="26"/>
        <v>16.9393194</v>
      </c>
    </row>
    <row r="294" customHeight="1" spans="1:18">
      <c r="A294" s="262"/>
      <c r="B294" s="282" t="str">
        <f>安装工程!B23</f>
        <v>配线</v>
      </c>
      <c r="C294" s="283" t="str">
        <f>安装工程!C23</f>
        <v>1.名称:铜芯导线
2.规格、型号:WDZ-BYJ-2.5
3.敷设方式:桥架内敷设
4.其它说明：满足规范和设计图纸要求</v>
      </c>
      <c r="D294" s="258">
        <f t="shared" si="27"/>
        <v>16109.970322176</v>
      </c>
      <c r="E294" s="284">
        <f>安装工程!E23</f>
        <v>1426.56</v>
      </c>
      <c r="F294" s="284">
        <v>11.2928796</v>
      </c>
      <c r="G294" s="260">
        <v>0</v>
      </c>
      <c r="H294" s="260">
        <v>0</v>
      </c>
      <c r="I294" s="260">
        <v>0</v>
      </c>
      <c r="J294" s="269">
        <f t="shared" si="28"/>
        <v>1426.56</v>
      </c>
      <c r="K294" s="270">
        <v>0.8</v>
      </c>
      <c r="L294" s="269">
        <f t="shared" si="29"/>
        <v>12887.9762577408</v>
      </c>
      <c r="M294" s="271">
        <f t="shared" si="30"/>
        <v>12887.9762577408</v>
      </c>
      <c r="N294" s="271"/>
      <c r="R294" s="243">
        <f t="shared" si="26"/>
        <v>16.9393194</v>
      </c>
    </row>
    <row r="295" customHeight="1" spans="1:18">
      <c r="A295" s="262"/>
      <c r="B295" s="282" t="str">
        <f>安装工程!B24</f>
        <v>配线</v>
      </c>
      <c r="C295" s="283" t="str">
        <f>安装工程!C24</f>
        <v>1.名称:铜芯导线
2.规格、型号:WDZ-BYJ-4
3.敷设方式:穿管敷设
4.其它说明：满足规范和设计图纸要求</v>
      </c>
      <c r="D295" s="258">
        <f t="shared" si="27"/>
        <v>16871.410580136</v>
      </c>
      <c r="E295" s="284">
        <f>安装工程!E24</f>
        <v>1307.74</v>
      </c>
      <c r="F295" s="284">
        <v>12.9011964</v>
      </c>
      <c r="G295" s="260">
        <v>0</v>
      </c>
      <c r="H295" s="260">
        <v>0</v>
      </c>
      <c r="I295" s="260">
        <v>0</v>
      </c>
      <c r="J295" s="269">
        <f t="shared" si="28"/>
        <v>1307.74</v>
      </c>
      <c r="K295" s="270">
        <v>0.8</v>
      </c>
      <c r="L295" s="269">
        <f t="shared" si="29"/>
        <v>13497.1284641088</v>
      </c>
      <c r="M295" s="271">
        <f t="shared" si="30"/>
        <v>13497.1284641088</v>
      </c>
      <c r="N295" s="271"/>
      <c r="R295" s="243">
        <f t="shared" si="26"/>
        <v>19.3517946</v>
      </c>
    </row>
    <row r="296" customHeight="1" spans="1:18">
      <c r="A296" s="262"/>
      <c r="B296" s="282" t="str">
        <f>安装工程!B25</f>
        <v>配线</v>
      </c>
      <c r="C296" s="283" t="str">
        <f>安装工程!C25</f>
        <v>1.名称:铜芯导线
2.规格、型号:WDZ-BYJ-4
3.敷设方式:桥架内敷设
4.其它说明：满足规范和设计图纸要求</v>
      </c>
      <c r="D296" s="258">
        <f t="shared" si="27"/>
        <v>30510.555414216</v>
      </c>
      <c r="E296" s="284">
        <f>安装工程!E25</f>
        <v>2364.94</v>
      </c>
      <c r="F296" s="284">
        <v>12.9011964</v>
      </c>
      <c r="G296" s="260">
        <v>0</v>
      </c>
      <c r="H296" s="260">
        <v>0</v>
      </c>
      <c r="I296" s="260">
        <v>0</v>
      </c>
      <c r="J296" s="269">
        <f t="shared" si="28"/>
        <v>2364.94</v>
      </c>
      <c r="K296" s="270">
        <v>0.8</v>
      </c>
      <c r="L296" s="269">
        <f t="shared" si="29"/>
        <v>24408.4443313728</v>
      </c>
      <c r="M296" s="271">
        <f t="shared" si="30"/>
        <v>24408.4443313728</v>
      </c>
      <c r="N296" s="271"/>
      <c r="R296" s="243">
        <f t="shared" si="26"/>
        <v>19.3517946</v>
      </c>
    </row>
    <row r="297" customHeight="1" spans="1:18">
      <c r="A297" s="262"/>
      <c r="B297" s="282" t="str">
        <f>安装工程!B26</f>
        <v>装饰灯</v>
      </c>
      <c r="C297" s="283" t="str">
        <f>安装工程!C26</f>
        <v>1.名称:石英圆形射灯
2.规格:详见图纸
3.安装方式:吸顶
4.其它说明：满足规范和设计图纸要求</v>
      </c>
      <c r="D297" s="258">
        <f t="shared" si="27"/>
        <v>12777.019785</v>
      </c>
      <c r="E297" s="284">
        <f>安装工程!E26</f>
        <v>43</v>
      </c>
      <c r="F297" s="284">
        <v>297.139995</v>
      </c>
      <c r="G297" s="260">
        <v>0</v>
      </c>
      <c r="H297" s="260">
        <v>0</v>
      </c>
      <c r="I297" s="260">
        <v>0</v>
      </c>
      <c r="J297" s="269">
        <f t="shared" si="28"/>
        <v>43</v>
      </c>
      <c r="K297" s="270">
        <v>0</v>
      </c>
      <c r="L297" s="269">
        <f t="shared" si="29"/>
        <v>0</v>
      </c>
      <c r="M297" s="271">
        <f t="shared" si="30"/>
        <v>0</v>
      </c>
      <c r="N297" s="271"/>
      <c r="R297" s="243">
        <f t="shared" si="26"/>
        <v>445.7099925</v>
      </c>
    </row>
    <row r="298" customHeight="1" spans="1:18">
      <c r="A298" s="262"/>
      <c r="B298" s="282" t="str">
        <f>安装工程!B27</f>
        <v>装饰灯</v>
      </c>
      <c r="C298" s="283" t="str">
        <f>安装工程!C27</f>
        <v>1.名称:筒灯
2.规格:详见图纸
3.安装方式:嵌入式
4.其它说明：满足规范和设计图纸要求</v>
      </c>
      <c r="D298" s="258">
        <f t="shared" si="27"/>
        <v>22553.52354</v>
      </c>
      <c r="E298" s="284">
        <f>安装工程!E27</f>
        <v>123</v>
      </c>
      <c r="F298" s="284">
        <v>183.36198</v>
      </c>
      <c r="G298" s="260">
        <v>0</v>
      </c>
      <c r="H298" s="260">
        <v>0</v>
      </c>
      <c r="I298" s="260">
        <v>0</v>
      </c>
      <c r="J298" s="269">
        <f t="shared" si="28"/>
        <v>123</v>
      </c>
      <c r="K298" s="270">
        <v>0</v>
      </c>
      <c r="L298" s="269">
        <f t="shared" si="29"/>
        <v>0</v>
      </c>
      <c r="M298" s="271">
        <f t="shared" si="30"/>
        <v>0</v>
      </c>
      <c r="N298" s="271"/>
      <c r="R298" s="243">
        <f t="shared" si="26"/>
        <v>275.04297</v>
      </c>
    </row>
    <row r="299" customHeight="1" spans="1:18">
      <c r="A299" s="262"/>
      <c r="B299" s="282" t="str">
        <f>安装工程!B28</f>
        <v>装饰灯</v>
      </c>
      <c r="C299" s="283" t="str">
        <f>安装工程!C28</f>
        <v>1.名称:艺术壁灯
2.规格:详见图纸
3.安装方式:壁装
4.其它说明：满足规范和设计图纸要求</v>
      </c>
      <c r="D299" s="258">
        <f t="shared" si="27"/>
        <v>0</v>
      </c>
      <c r="E299" s="284">
        <f>安装工程!E28</f>
        <v>5</v>
      </c>
      <c r="F299" s="284">
        <v>0</v>
      </c>
      <c r="G299" s="260">
        <v>0</v>
      </c>
      <c r="H299" s="260">
        <v>0</v>
      </c>
      <c r="I299" s="260">
        <v>0</v>
      </c>
      <c r="J299" s="269">
        <f t="shared" si="28"/>
        <v>5</v>
      </c>
      <c r="K299" s="270">
        <v>0</v>
      </c>
      <c r="L299" s="269"/>
      <c r="M299" s="271">
        <f t="shared" si="30"/>
        <v>0</v>
      </c>
      <c r="N299" s="271"/>
      <c r="R299" s="243">
        <f t="shared" si="26"/>
        <v>0</v>
      </c>
    </row>
    <row r="300" customHeight="1" spans="1:18">
      <c r="A300" s="262"/>
      <c r="B300" s="282" t="str">
        <f>安装工程!B29</f>
        <v>装饰灯</v>
      </c>
      <c r="C300" s="283" t="str">
        <f>安装工程!C29</f>
        <v>1.名称:LED灯带
2.规格:详见图纸
3.安装方式:天棚内
4.其它说明：满足规范和设计图纸要求</v>
      </c>
      <c r="D300" s="258">
        <f t="shared" si="27"/>
        <v>13417.3569075</v>
      </c>
      <c r="E300" s="284">
        <f>安装工程!E29</f>
        <v>151.06</v>
      </c>
      <c r="F300" s="284">
        <v>88.821375</v>
      </c>
      <c r="G300" s="260">
        <v>0</v>
      </c>
      <c r="H300" s="260">
        <v>0</v>
      </c>
      <c r="I300" s="260">
        <v>0</v>
      </c>
      <c r="J300" s="269">
        <f t="shared" si="28"/>
        <v>151.06</v>
      </c>
      <c r="K300" s="270">
        <v>0</v>
      </c>
      <c r="L300" s="269">
        <f t="shared" si="29"/>
        <v>0</v>
      </c>
      <c r="M300" s="271">
        <f t="shared" si="30"/>
        <v>0</v>
      </c>
      <c r="N300" s="271"/>
      <c r="R300" s="243">
        <f t="shared" si="26"/>
        <v>133.2320625</v>
      </c>
    </row>
    <row r="301" customHeight="1" spans="1:18">
      <c r="A301" s="262"/>
      <c r="B301" s="282" t="str">
        <f>安装工程!B30</f>
        <v>装饰灯</v>
      </c>
      <c r="C301" s="283" t="str">
        <f>安装工程!C30</f>
        <v>1.名称:艺术吊灯1
2.规格:详见图纸
3.安装方式:吊装
4.其它说明：满足规范和设计图纸要求</v>
      </c>
      <c r="D301" s="258">
        <f t="shared" si="27"/>
        <v>0</v>
      </c>
      <c r="E301" s="284">
        <f>安装工程!E30</f>
        <v>1</v>
      </c>
      <c r="F301" s="284">
        <v>0</v>
      </c>
      <c r="G301" s="260">
        <v>0</v>
      </c>
      <c r="H301" s="260">
        <v>0</v>
      </c>
      <c r="I301" s="260">
        <v>0</v>
      </c>
      <c r="J301" s="269">
        <f t="shared" si="28"/>
        <v>1</v>
      </c>
      <c r="K301" s="278"/>
      <c r="L301" s="269"/>
      <c r="M301" s="271"/>
      <c r="N301" s="271"/>
      <c r="R301" s="243">
        <f t="shared" si="26"/>
        <v>0</v>
      </c>
    </row>
    <row r="302" customHeight="1" spans="1:18">
      <c r="A302" s="262"/>
      <c r="B302" s="282" t="str">
        <f>安装工程!B31</f>
        <v>装饰灯</v>
      </c>
      <c r="C302" s="283" t="str">
        <f>安装工程!C31</f>
        <v>1.名称:艺术吊灯2
2.规格:详见图纸
3.安装方式:吊装
4.其它说明：满足规范和设计图纸要求</v>
      </c>
      <c r="D302" s="258">
        <f t="shared" si="27"/>
        <v>0</v>
      </c>
      <c r="E302" s="284">
        <f>安装工程!E31</f>
        <v>1</v>
      </c>
      <c r="F302" s="284">
        <v>0</v>
      </c>
      <c r="G302" s="260">
        <v>0</v>
      </c>
      <c r="H302" s="260">
        <v>0</v>
      </c>
      <c r="I302" s="260">
        <v>0</v>
      </c>
      <c r="J302" s="269">
        <f t="shared" si="28"/>
        <v>1</v>
      </c>
      <c r="K302" s="278"/>
      <c r="L302" s="269"/>
      <c r="M302" s="271"/>
      <c r="N302" s="271"/>
      <c r="R302" s="243">
        <f t="shared" si="26"/>
        <v>0</v>
      </c>
    </row>
    <row r="303" customHeight="1" spans="1:18">
      <c r="A303" s="262"/>
      <c r="B303" s="282" t="str">
        <f>安装工程!B32</f>
        <v>照明开关</v>
      </c>
      <c r="C303" s="283" t="str">
        <f>安装工程!C32</f>
        <v>1.名称:一位面板开关
2.规格:250V/10A
3.安装方式:暗装</v>
      </c>
      <c r="D303" s="258">
        <f t="shared" si="27"/>
        <v>920.414748</v>
      </c>
      <c r="E303" s="284">
        <f>安装工程!E32</f>
        <v>11</v>
      </c>
      <c r="F303" s="284">
        <v>83.674068</v>
      </c>
      <c r="G303" s="260">
        <v>0</v>
      </c>
      <c r="H303" s="260">
        <v>0</v>
      </c>
      <c r="I303" s="260">
        <v>0</v>
      </c>
      <c r="J303" s="269">
        <f t="shared" si="28"/>
        <v>11</v>
      </c>
      <c r="K303" s="270">
        <v>0</v>
      </c>
      <c r="L303" s="269">
        <f t="shared" si="29"/>
        <v>0</v>
      </c>
      <c r="M303" s="271">
        <f t="shared" si="30"/>
        <v>0</v>
      </c>
      <c r="N303" s="271"/>
      <c r="R303" s="243">
        <f t="shared" si="26"/>
        <v>125.511102</v>
      </c>
    </row>
    <row r="304" customHeight="1" spans="1:18">
      <c r="A304" s="262"/>
      <c r="B304" s="282" t="str">
        <f>安装工程!B33</f>
        <v>照明开关</v>
      </c>
      <c r="C304" s="283" t="str">
        <f>安装工程!C33</f>
        <v>1.名称:二位面板开关
2.规格:250V/10A
3.安装方式:暗装</v>
      </c>
      <c r="D304" s="258">
        <f t="shared" si="27"/>
        <v>680.58837</v>
      </c>
      <c r="E304" s="284">
        <f>安装工程!E33</f>
        <v>6</v>
      </c>
      <c r="F304" s="284">
        <v>113.431395</v>
      </c>
      <c r="G304" s="260">
        <v>0</v>
      </c>
      <c r="H304" s="260">
        <v>0</v>
      </c>
      <c r="I304" s="260">
        <v>0</v>
      </c>
      <c r="J304" s="269">
        <f t="shared" si="28"/>
        <v>6</v>
      </c>
      <c r="K304" s="270">
        <v>0</v>
      </c>
      <c r="L304" s="269">
        <f t="shared" si="29"/>
        <v>0</v>
      </c>
      <c r="M304" s="271">
        <f t="shared" si="30"/>
        <v>0</v>
      </c>
      <c r="N304" s="271"/>
      <c r="R304" s="243">
        <f t="shared" si="26"/>
        <v>170.1470925</v>
      </c>
    </row>
    <row r="305" customHeight="1" spans="1:18">
      <c r="A305" s="262"/>
      <c r="B305" s="282" t="str">
        <f>安装工程!B34</f>
        <v>照明开关</v>
      </c>
      <c r="C305" s="283" t="str">
        <f>安装工程!C34</f>
        <v>1.名称:三位面板开关
2.规格:250V/10A
3.安装方式:暗装</v>
      </c>
      <c r="D305" s="258">
        <f t="shared" si="27"/>
        <v>141.438291</v>
      </c>
      <c r="E305" s="284">
        <f>安装工程!E34</f>
        <v>1</v>
      </c>
      <c r="F305" s="284">
        <v>141.438291</v>
      </c>
      <c r="G305" s="260">
        <v>0</v>
      </c>
      <c r="H305" s="260">
        <v>0</v>
      </c>
      <c r="I305" s="260">
        <v>0</v>
      </c>
      <c r="J305" s="269">
        <f t="shared" si="28"/>
        <v>1</v>
      </c>
      <c r="K305" s="270">
        <v>0</v>
      </c>
      <c r="L305" s="269">
        <f t="shared" si="29"/>
        <v>0</v>
      </c>
      <c r="M305" s="271">
        <f t="shared" si="30"/>
        <v>0</v>
      </c>
      <c r="N305" s="271"/>
      <c r="R305" s="243">
        <f t="shared" si="26"/>
        <v>212.1574365</v>
      </c>
    </row>
    <row r="306" customHeight="1" spans="1:18">
      <c r="A306" s="262"/>
      <c r="B306" s="282" t="str">
        <f>安装工程!B35</f>
        <v>照明开关</v>
      </c>
      <c r="C306" s="283" t="str">
        <f>安装工程!C35</f>
        <v>1.名称:四位面板开关
2.规格:250V/10A
3.安装方式:暗装</v>
      </c>
      <c r="D306" s="258">
        <f t="shared" si="27"/>
        <v>1247.381394</v>
      </c>
      <c r="E306" s="284">
        <f>安装工程!E35</f>
        <v>7</v>
      </c>
      <c r="F306" s="284">
        <v>178.197342</v>
      </c>
      <c r="G306" s="260">
        <v>0</v>
      </c>
      <c r="H306" s="260">
        <v>0</v>
      </c>
      <c r="I306" s="260">
        <v>0</v>
      </c>
      <c r="J306" s="269">
        <f t="shared" si="28"/>
        <v>7</v>
      </c>
      <c r="K306" s="270">
        <v>0</v>
      </c>
      <c r="L306" s="269">
        <f t="shared" si="29"/>
        <v>0</v>
      </c>
      <c r="M306" s="271">
        <f t="shared" si="30"/>
        <v>0</v>
      </c>
      <c r="N306" s="271"/>
      <c r="R306" s="243">
        <f t="shared" si="26"/>
        <v>267.296013</v>
      </c>
    </row>
    <row r="307" customHeight="1" spans="1:18">
      <c r="A307" s="262"/>
      <c r="B307" s="282" t="str">
        <f>安装工程!B36</f>
        <v>控制开关</v>
      </c>
      <c r="C307" s="283" t="str">
        <f>安装工程!C36</f>
        <v>1.名称:温控开关
2.规格:250V/10A
3.安装方式:暗装</v>
      </c>
      <c r="D307" s="258">
        <f t="shared" si="27"/>
        <v>8643.922905</v>
      </c>
      <c r="E307" s="284">
        <f>安装工程!E36</f>
        <v>23</v>
      </c>
      <c r="F307" s="284">
        <v>375.822735</v>
      </c>
      <c r="G307" s="260">
        <v>0</v>
      </c>
      <c r="H307" s="260">
        <v>0</v>
      </c>
      <c r="I307" s="260">
        <v>0</v>
      </c>
      <c r="J307" s="269">
        <f t="shared" si="28"/>
        <v>23</v>
      </c>
      <c r="K307" s="270">
        <v>0</v>
      </c>
      <c r="L307" s="269">
        <f t="shared" si="29"/>
        <v>0</v>
      </c>
      <c r="M307" s="271">
        <f t="shared" si="30"/>
        <v>0</v>
      </c>
      <c r="N307" s="271"/>
      <c r="R307" s="243">
        <f t="shared" si="26"/>
        <v>563.7341025</v>
      </c>
    </row>
    <row r="308" customHeight="1" spans="1:18">
      <c r="A308" s="262"/>
      <c r="B308" s="282" t="str">
        <f>安装工程!B37</f>
        <v>插座</v>
      </c>
      <c r="C308" s="283" t="str">
        <f>安装工程!C37</f>
        <v>1.名称：单相二、三极插座
2.规格：250V 10A
3.安装方式：暗装</v>
      </c>
      <c r="D308" s="258">
        <f t="shared" si="27"/>
        <v>2677.570176</v>
      </c>
      <c r="E308" s="284">
        <f>安装工程!E37</f>
        <v>32</v>
      </c>
      <c r="F308" s="284">
        <v>83.674068</v>
      </c>
      <c r="G308" s="260">
        <v>0</v>
      </c>
      <c r="H308" s="260">
        <v>0</v>
      </c>
      <c r="I308" s="260">
        <v>0</v>
      </c>
      <c r="J308" s="269">
        <f t="shared" si="28"/>
        <v>32</v>
      </c>
      <c r="K308" s="270">
        <v>0</v>
      </c>
      <c r="L308" s="269">
        <f t="shared" si="29"/>
        <v>0</v>
      </c>
      <c r="M308" s="271">
        <f t="shared" si="30"/>
        <v>0</v>
      </c>
      <c r="N308" s="271"/>
      <c r="R308" s="243">
        <f t="shared" si="26"/>
        <v>125.511102</v>
      </c>
    </row>
    <row r="309" customHeight="1" spans="1:18">
      <c r="A309" s="262"/>
      <c r="B309" s="282" t="str">
        <f>安装工程!B38</f>
        <v>插座</v>
      </c>
      <c r="C309" s="283" t="str">
        <f>安装工程!C38</f>
        <v>1.名称：单相二、三极地面插座
2.规格：250V 10A
3.安装方式：地面暗装</v>
      </c>
      <c r="D309" s="258">
        <f t="shared" si="27"/>
        <v>6979.36701</v>
      </c>
      <c r="E309" s="284">
        <f>安装工程!E38</f>
        <v>14</v>
      </c>
      <c r="F309" s="284">
        <v>498.526215</v>
      </c>
      <c r="G309" s="260">
        <v>0</v>
      </c>
      <c r="H309" s="260">
        <v>0</v>
      </c>
      <c r="I309" s="260">
        <v>0</v>
      </c>
      <c r="J309" s="269">
        <f t="shared" si="28"/>
        <v>14</v>
      </c>
      <c r="K309" s="270">
        <v>0</v>
      </c>
      <c r="L309" s="269">
        <f t="shared" si="29"/>
        <v>0</v>
      </c>
      <c r="M309" s="271">
        <f t="shared" si="30"/>
        <v>0</v>
      </c>
      <c r="N309" s="271"/>
      <c r="R309" s="243">
        <f t="shared" si="26"/>
        <v>747.7893225</v>
      </c>
    </row>
    <row r="310" customHeight="1" spans="1:18">
      <c r="A310" s="262"/>
      <c r="B310" s="282" t="str">
        <f>安装工程!B39</f>
        <v>插座</v>
      </c>
      <c r="C310" s="283" t="str">
        <f>安装工程!C39</f>
        <v>1.名称：含开关防溅插座
2.规格：250V 10A
3.安装方式：暗装</v>
      </c>
      <c r="D310" s="258">
        <f t="shared" si="27"/>
        <v>1020.882555</v>
      </c>
      <c r="E310" s="284">
        <f>安装工程!E39</f>
        <v>9</v>
      </c>
      <c r="F310" s="284">
        <v>113.431395</v>
      </c>
      <c r="G310" s="260">
        <v>0</v>
      </c>
      <c r="H310" s="260">
        <v>0</v>
      </c>
      <c r="I310" s="260">
        <v>0</v>
      </c>
      <c r="J310" s="269">
        <f t="shared" si="28"/>
        <v>9</v>
      </c>
      <c r="K310" s="270">
        <v>0</v>
      </c>
      <c r="L310" s="269">
        <f t="shared" si="29"/>
        <v>0</v>
      </c>
      <c r="M310" s="271">
        <f t="shared" ref="M310:M344" si="31">L310+I310</f>
        <v>0</v>
      </c>
      <c r="N310" s="271"/>
      <c r="R310" s="243">
        <f t="shared" si="26"/>
        <v>170.1470925</v>
      </c>
    </row>
    <row r="311" customHeight="1" spans="1:18">
      <c r="A311" s="262"/>
      <c r="B311" s="282" t="str">
        <f>安装工程!B40</f>
        <v>接线盒</v>
      </c>
      <c r="C311" s="283" t="str">
        <f>安装工程!C40</f>
        <v>1.名称:开关（插座）盒
2.材质:详见图纸
3.安装形式:暗装</v>
      </c>
      <c r="D311" s="258">
        <f t="shared" si="27"/>
        <v>1840.93070904</v>
      </c>
      <c r="E311" s="284">
        <f>安装工程!E40</f>
        <v>103</v>
      </c>
      <c r="F311" s="284">
        <v>17.87311368</v>
      </c>
      <c r="G311" s="260">
        <v>0</v>
      </c>
      <c r="H311" s="260">
        <v>0</v>
      </c>
      <c r="I311" s="260">
        <v>0</v>
      </c>
      <c r="J311" s="269">
        <f t="shared" si="28"/>
        <v>103</v>
      </c>
      <c r="K311" s="270">
        <v>0.8</v>
      </c>
      <c r="L311" s="269">
        <f t="shared" si="29"/>
        <v>1472.744567232</v>
      </c>
      <c r="M311" s="271">
        <f t="shared" si="31"/>
        <v>1472.744567232</v>
      </c>
      <c r="N311" s="271"/>
      <c r="R311" s="243">
        <f t="shared" si="26"/>
        <v>26.80967052</v>
      </c>
    </row>
    <row r="312" customHeight="1" spans="1:18">
      <c r="A312" s="262"/>
      <c r="B312" s="282" t="str">
        <f>安装工程!B41</f>
        <v>接线盒</v>
      </c>
      <c r="C312" s="283" t="str">
        <f>安装工程!C41</f>
        <v>1.名称:接线盒
2.材质:详见图纸
3.安装形式:暗装</v>
      </c>
      <c r="D312" s="258">
        <f t="shared" si="27"/>
        <v>3610.36896336</v>
      </c>
      <c r="E312" s="284">
        <f>安装工程!E41</f>
        <v>202</v>
      </c>
      <c r="F312" s="284">
        <v>17.87311368</v>
      </c>
      <c r="G312" s="260">
        <v>0</v>
      </c>
      <c r="H312" s="260">
        <v>0</v>
      </c>
      <c r="I312" s="260">
        <v>0</v>
      </c>
      <c r="J312" s="269">
        <f t="shared" si="28"/>
        <v>202</v>
      </c>
      <c r="K312" s="270">
        <v>0.8</v>
      </c>
      <c r="L312" s="269">
        <f t="shared" si="29"/>
        <v>2888.295170688</v>
      </c>
      <c r="M312" s="271">
        <f t="shared" si="31"/>
        <v>2888.295170688</v>
      </c>
      <c r="N312" s="271"/>
      <c r="R312" s="243">
        <f t="shared" si="26"/>
        <v>26.80967052</v>
      </c>
    </row>
    <row r="313" customHeight="1" spans="1:18">
      <c r="A313" s="262"/>
      <c r="B313" s="282" t="str">
        <f>安装工程!B42</f>
        <v>送配电装置系统</v>
      </c>
      <c r="C313" s="283" t="str">
        <f>安装工程!C42</f>
        <v>1.名称:送配电装置系统调试</v>
      </c>
      <c r="D313" s="258">
        <f t="shared" si="27"/>
        <v>667.2435</v>
      </c>
      <c r="E313" s="284">
        <f>安装工程!E42</f>
        <v>1</v>
      </c>
      <c r="F313" s="284">
        <v>667.2435</v>
      </c>
      <c r="G313" s="260">
        <v>0</v>
      </c>
      <c r="H313" s="260">
        <v>0</v>
      </c>
      <c r="I313" s="260">
        <v>0</v>
      </c>
      <c r="J313" s="269">
        <f t="shared" si="28"/>
        <v>1</v>
      </c>
      <c r="K313" s="270">
        <v>0</v>
      </c>
      <c r="L313" s="269">
        <f t="shared" si="29"/>
        <v>0</v>
      </c>
      <c r="M313" s="271">
        <f t="shared" si="31"/>
        <v>0</v>
      </c>
      <c r="N313" s="271"/>
      <c r="R313" s="243">
        <f t="shared" si="26"/>
        <v>1000.86525</v>
      </c>
    </row>
    <row r="314" customHeight="1" spans="1:18">
      <c r="A314" s="262"/>
      <c r="B314" s="282" t="str">
        <f>安装工程!B43</f>
        <v>弱电</v>
      </c>
      <c r="C314" s="283"/>
      <c r="D314" s="258">
        <f t="shared" si="27"/>
        <v>0</v>
      </c>
      <c r="E314" s="284">
        <f>安装工程!E43</f>
        <v>0</v>
      </c>
      <c r="F314" s="284">
        <v>0</v>
      </c>
      <c r="G314" s="260">
        <v>0</v>
      </c>
      <c r="H314" s="260">
        <v>0</v>
      </c>
      <c r="I314" s="260">
        <v>0</v>
      </c>
      <c r="J314" s="269">
        <f t="shared" si="28"/>
        <v>0</v>
      </c>
      <c r="K314" s="278"/>
      <c r="L314" s="269"/>
      <c r="M314" s="271"/>
      <c r="N314" s="271"/>
      <c r="R314" s="243">
        <f t="shared" si="26"/>
        <v>0</v>
      </c>
    </row>
    <row r="315" customHeight="1" spans="1:18">
      <c r="A315" s="262"/>
      <c r="B315" s="282" t="str">
        <f>安装工程!B44</f>
        <v>桥架</v>
      </c>
      <c r="C315" s="283" t="str">
        <f>安装工程!C44</f>
        <v>1.名称:弱电线槽
2.规格:(100+100)x100
3.安装位置:室内
4.其它说明：满足规范和设计图纸要求</v>
      </c>
      <c r="D315" s="258">
        <f t="shared" si="27"/>
        <v>7728.794112</v>
      </c>
      <c r="E315" s="284">
        <f>安装工程!E44</f>
        <v>51.2</v>
      </c>
      <c r="F315" s="284">
        <v>150.95301</v>
      </c>
      <c r="G315" s="260">
        <v>0</v>
      </c>
      <c r="H315" s="260">
        <v>0</v>
      </c>
      <c r="I315" s="260">
        <v>0</v>
      </c>
      <c r="J315" s="269">
        <f t="shared" si="28"/>
        <v>51.2</v>
      </c>
      <c r="K315" s="270">
        <v>0.8</v>
      </c>
      <c r="L315" s="269">
        <f t="shared" si="29"/>
        <v>6183.0352896</v>
      </c>
      <c r="M315" s="271">
        <f t="shared" si="31"/>
        <v>6183.0352896</v>
      </c>
      <c r="N315" s="271"/>
      <c r="R315" s="243">
        <f t="shared" si="26"/>
        <v>226.429515</v>
      </c>
    </row>
    <row r="316" customHeight="1" spans="1:18">
      <c r="A316" s="262"/>
      <c r="B316" s="282" t="str">
        <f>安装工程!B45</f>
        <v>桥架</v>
      </c>
      <c r="C316" s="283" t="str">
        <f>安装工程!C45</f>
        <v>1.名称:弱电线槽
2.规格:(75+75)x100
3.安装位置:室内
4.其它说明：满足规范和设计图纸要求</v>
      </c>
      <c r="D316" s="258">
        <f t="shared" si="27"/>
        <v>11500.64432124</v>
      </c>
      <c r="E316" s="284">
        <f>安装工程!E45</f>
        <v>82.99</v>
      </c>
      <c r="F316" s="284">
        <v>138.578676</v>
      </c>
      <c r="G316" s="260">
        <v>0</v>
      </c>
      <c r="H316" s="260">
        <v>0</v>
      </c>
      <c r="I316" s="260">
        <v>0</v>
      </c>
      <c r="J316" s="269">
        <f t="shared" si="28"/>
        <v>82.99</v>
      </c>
      <c r="K316" s="270">
        <v>0.8</v>
      </c>
      <c r="L316" s="269">
        <f t="shared" si="29"/>
        <v>9200.515456992</v>
      </c>
      <c r="M316" s="271">
        <f t="shared" si="31"/>
        <v>9200.515456992</v>
      </c>
      <c r="N316" s="271"/>
      <c r="R316" s="243">
        <f t="shared" si="26"/>
        <v>207.868014</v>
      </c>
    </row>
    <row r="317" customHeight="1" spans="1:18">
      <c r="A317" s="262"/>
      <c r="B317" s="282" t="str">
        <f>安装工程!B46</f>
        <v>铁构件</v>
      </c>
      <c r="C317" s="283" t="str">
        <f>安装工程!C46</f>
        <v>1.名称:桥架支架
2.材质、规格及除锈刷漆要求:详见图纸设计
3.安装部位:室内
4.其它说明：满足规范和设计图纸要求</v>
      </c>
      <c r="D317" s="258">
        <f t="shared" si="27"/>
        <v>1469.48023872</v>
      </c>
      <c r="E317" s="284">
        <f>安装工程!E46</f>
        <v>67.08</v>
      </c>
      <c r="F317" s="284">
        <v>21.906384</v>
      </c>
      <c r="G317" s="260">
        <v>0</v>
      </c>
      <c r="H317" s="260">
        <v>0</v>
      </c>
      <c r="I317" s="260">
        <v>0</v>
      </c>
      <c r="J317" s="269">
        <f t="shared" si="28"/>
        <v>67.08</v>
      </c>
      <c r="K317" s="270">
        <v>0.8</v>
      </c>
      <c r="L317" s="269">
        <f t="shared" si="29"/>
        <v>1175.584190976</v>
      </c>
      <c r="M317" s="271">
        <f t="shared" si="31"/>
        <v>1175.584190976</v>
      </c>
      <c r="N317" s="271"/>
      <c r="R317" s="243">
        <f t="shared" si="26"/>
        <v>32.859576</v>
      </c>
    </row>
    <row r="318" customHeight="1" spans="1:18">
      <c r="A318" s="262"/>
      <c r="B318" s="282" t="str">
        <f>安装工程!B47</f>
        <v>配管</v>
      </c>
      <c r="C318" s="283" t="str">
        <f>安装工程!C47</f>
        <v>1.名称:电气配管
2.规格:JDG20
3.配置形式:吊顶内明敷
4.其它说明：满足规范和设计图纸要求</v>
      </c>
      <c r="D318" s="258">
        <f t="shared" si="27"/>
        <v>6506.34474798</v>
      </c>
      <c r="E318" s="284">
        <f>安装工程!E47</f>
        <v>212.52</v>
      </c>
      <c r="F318" s="284">
        <v>30.6152115</v>
      </c>
      <c r="G318" s="260">
        <v>0</v>
      </c>
      <c r="H318" s="260">
        <v>0</v>
      </c>
      <c r="I318" s="260">
        <v>0</v>
      </c>
      <c r="J318" s="269">
        <f t="shared" si="28"/>
        <v>212.52</v>
      </c>
      <c r="K318" s="270">
        <v>0.8</v>
      </c>
      <c r="L318" s="269">
        <f t="shared" si="29"/>
        <v>5205.075798384</v>
      </c>
      <c r="M318" s="271">
        <f t="shared" si="31"/>
        <v>5205.075798384</v>
      </c>
      <c r="N318" s="271"/>
      <c r="R318" s="243">
        <f t="shared" si="26"/>
        <v>45.92281725</v>
      </c>
    </row>
    <row r="319" customHeight="1" spans="1:18">
      <c r="A319" s="262"/>
      <c r="B319" s="282" t="str">
        <f>安装工程!B48</f>
        <v>配管</v>
      </c>
      <c r="C319" s="283" t="str">
        <f>安装工程!C48</f>
        <v>1.名称:电气配管
2.规格:JDG20
3.配置形式:暗敷
4.其它说明：满足规范和设计图纸要求</v>
      </c>
      <c r="D319" s="258">
        <f t="shared" si="27"/>
        <v>1501.36997196</v>
      </c>
      <c r="E319" s="284">
        <f>安装工程!E48</f>
        <v>49.04</v>
      </c>
      <c r="F319" s="284">
        <v>30.6152115</v>
      </c>
      <c r="G319" s="260">
        <v>0</v>
      </c>
      <c r="H319" s="260">
        <v>0</v>
      </c>
      <c r="I319" s="260">
        <v>0</v>
      </c>
      <c r="J319" s="269">
        <f t="shared" si="28"/>
        <v>49.04</v>
      </c>
      <c r="K319" s="270">
        <v>0.8</v>
      </c>
      <c r="L319" s="269">
        <f t="shared" si="29"/>
        <v>1201.095977568</v>
      </c>
      <c r="M319" s="271">
        <f t="shared" si="31"/>
        <v>1201.095977568</v>
      </c>
      <c r="N319" s="271"/>
      <c r="R319" s="243">
        <f t="shared" si="26"/>
        <v>45.92281725</v>
      </c>
    </row>
    <row r="320" customHeight="1" spans="1:18">
      <c r="A320" s="262"/>
      <c r="B320" s="282" t="str">
        <f>安装工程!B49</f>
        <v>配管</v>
      </c>
      <c r="C320" s="283" t="str">
        <f>安装工程!C49</f>
        <v>1.名称:电气配管
2.规格:JDG25
3.配置形式:吊顶内明敷
4.其它说明：满足规范和设计图纸要求</v>
      </c>
      <c r="D320" s="258">
        <f t="shared" si="27"/>
        <v>199.542478896</v>
      </c>
      <c r="E320" s="284">
        <f>安装工程!E49</f>
        <v>5.52</v>
      </c>
      <c r="F320" s="284">
        <v>36.1489998</v>
      </c>
      <c r="G320" s="260">
        <v>0</v>
      </c>
      <c r="H320" s="260">
        <v>0</v>
      </c>
      <c r="I320" s="260">
        <v>0</v>
      </c>
      <c r="J320" s="269">
        <f t="shared" si="28"/>
        <v>5.52</v>
      </c>
      <c r="K320" s="270">
        <v>0.8</v>
      </c>
      <c r="L320" s="269">
        <f t="shared" si="29"/>
        <v>159.6339831168</v>
      </c>
      <c r="M320" s="271">
        <f t="shared" si="31"/>
        <v>159.6339831168</v>
      </c>
      <c r="N320" s="271"/>
      <c r="R320" s="243">
        <f t="shared" si="26"/>
        <v>54.2234997</v>
      </c>
    </row>
    <row r="321" customHeight="1" spans="1:18">
      <c r="A321" s="262"/>
      <c r="B321" s="282" t="str">
        <f>安装工程!B50</f>
        <v>配管</v>
      </c>
      <c r="C321" s="283" t="str">
        <f>安装工程!C50</f>
        <v>1.名称:电气配管
2.规格:JDG25
3.配置形式:暗敷
4.其它说明：满足规范和设计图纸要求</v>
      </c>
      <c r="D321" s="258">
        <f t="shared" si="27"/>
        <v>216.8939988</v>
      </c>
      <c r="E321" s="284">
        <f>安装工程!E50</f>
        <v>6</v>
      </c>
      <c r="F321" s="284">
        <v>36.1489998</v>
      </c>
      <c r="G321" s="260">
        <v>0</v>
      </c>
      <c r="H321" s="260">
        <v>0</v>
      </c>
      <c r="I321" s="260">
        <v>0</v>
      </c>
      <c r="J321" s="269">
        <f t="shared" si="28"/>
        <v>6</v>
      </c>
      <c r="K321" s="270">
        <v>0.8</v>
      </c>
      <c r="L321" s="269">
        <f t="shared" si="29"/>
        <v>173.51519904</v>
      </c>
      <c r="M321" s="271">
        <f t="shared" si="31"/>
        <v>173.51519904</v>
      </c>
      <c r="N321" s="271"/>
      <c r="R321" s="243">
        <f t="shared" si="26"/>
        <v>54.2234997</v>
      </c>
    </row>
    <row r="322" customHeight="1" spans="1:18">
      <c r="A322" s="262"/>
      <c r="B322" s="282" t="str">
        <f>安装工程!B51</f>
        <v>配线</v>
      </c>
      <c r="C322" s="283" t="str">
        <f>安装工程!C51</f>
        <v>1.名称:多芯软导线
2.规格、型号:HYV-4x0.5
3.敷设方式:穿管敷设
4.其它说明：满足规范和设计图纸要求</v>
      </c>
      <c r="D322" s="258">
        <f t="shared" si="27"/>
        <v>362.660672388</v>
      </c>
      <c r="E322" s="284">
        <f>安装工程!E51</f>
        <v>31.01</v>
      </c>
      <c r="F322" s="284">
        <v>11.6949588</v>
      </c>
      <c r="G322" s="260">
        <v>0</v>
      </c>
      <c r="H322" s="260">
        <v>0</v>
      </c>
      <c r="I322" s="260">
        <v>0</v>
      </c>
      <c r="J322" s="269">
        <f t="shared" si="28"/>
        <v>31.01</v>
      </c>
      <c r="K322" s="270">
        <v>0.8</v>
      </c>
      <c r="L322" s="269">
        <f t="shared" si="29"/>
        <v>290.1285379104</v>
      </c>
      <c r="M322" s="271">
        <f t="shared" si="31"/>
        <v>290.1285379104</v>
      </c>
      <c r="N322" s="271"/>
      <c r="R322" s="243">
        <f t="shared" si="26"/>
        <v>17.5424382</v>
      </c>
    </row>
    <row r="323" customHeight="1" spans="1:18">
      <c r="A323" s="262"/>
      <c r="B323" s="282" t="str">
        <f>安装工程!B52</f>
        <v>配线</v>
      </c>
      <c r="C323" s="283" t="str">
        <f>安装工程!C52</f>
        <v>1.名称:多芯软导线
2.规格、型号:HYV-4x0.5
3.敷设方式:桥架内敷设
4.其它说明：满足规范和设计图纸要求</v>
      </c>
      <c r="D323" s="258">
        <f t="shared" si="27"/>
        <v>1042.254728256</v>
      </c>
      <c r="E323" s="284">
        <f>安装工程!E52</f>
        <v>89.12</v>
      </c>
      <c r="F323" s="284">
        <v>11.6949588</v>
      </c>
      <c r="G323" s="260">
        <v>0</v>
      </c>
      <c r="H323" s="260">
        <v>0</v>
      </c>
      <c r="I323" s="260">
        <v>0</v>
      </c>
      <c r="J323" s="269">
        <f t="shared" si="28"/>
        <v>89.12</v>
      </c>
      <c r="K323" s="270">
        <v>0.8</v>
      </c>
      <c r="L323" s="269">
        <f t="shared" si="29"/>
        <v>833.8037826048</v>
      </c>
      <c r="M323" s="271">
        <f t="shared" si="31"/>
        <v>833.8037826048</v>
      </c>
      <c r="N323" s="271"/>
      <c r="R323" s="243">
        <f t="shared" si="26"/>
        <v>17.5424382</v>
      </c>
    </row>
    <row r="324" customHeight="1" spans="1:18">
      <c r="A324" s="262"/>
      <c r="B324" s="282" t="str">
        <f>安装工程!B53</f>
        <v>配线</v>
      </c>
      <c r="C324" s="283" t="str">
        <f>安装工程!C53</f>
        <v>1.名称:多芯软导线
2.规格、型号:RVV-2x0.75
3.敷设方式:穿管敷设
4.其它说明：满足规范和设计图纸要求</v>
      </c>
      <c r="D324" s="258">
        <f t="shared" si="27"/>
        <v>35.183871072</v>
      </c>
      <c r="E324" s="284">
        <f>安装工程!E53</f>
        <v>3.42</v>
      </c>
      <c r="F324" s="284">
        <v>10.2876816</v>
      </c>
      <c r="G324" s="260">
        <v>0</v>
      </c>
      <c r="H324" s="260">
        <v>0</v>
      </c>
      <c r="I324" s="260">
        <v>0</v>
      </c>
      <c r="J324" s="269">
        <f t="shared" si="28"/>
        <v>3.42</v>
      </c>
      <c r="K324" s="270">
        <v>0.8</v>
      </c>
      <c r="L324" s="269">
        <f t="shared" si="29"/>
        <v>28.1470968576</v>
      </c>
      <c r="M324" s="271">
        <f t="shared" si="31"/>
        <v>28.1470968576</v>
      </c>
      <c r="N324" s="271"/>
      <c r="R324" s="243">
        <f t="shared" si="26"/>
        <v>15.4315224</v>
      </c>
    </row>
    <row r="325" customHeight="1" spans="1:18">
      <c r="A325" s="262"/>
      <c r="B325" s="282" t="str">
        <f>安装工程!B54</f>
        <v>配线</v>
      </c>
      <c r="C325" s="283" t="str">
        <f>安装工程!C54</f>
        <v>1.名称:多芯软导线
2.规格、型号:RVV-2x1.5
3.敷设方式:穿管敷设
4.其它说明：满足规范和设计图纸要求</v>
      </c>
      <c r="D325" s="258">
        <f t="shared" si="27"/>
        <v>1435.74302088</v>
      </c>
      <c r="E325" s="284">
        <f>安装工程!E54</f>
        <v>109.58</v>
      </c>
      <c r="F325" s="284">
        <v>13.102236</v>
      </c>
      <c r="G325" s="260">
        <v>0</v>
      </c>
      <c r="H325" s="260">
        <v>0</v>
      </c>
      <c r="I325" s="260">
        <v>0</v>
      </c>
      <c r="J325" s="269">
        <f t="shared" si="28"/>
        <v>109.58</v>
      </c>
      <c r="K325" s="270">
        <v>0.8</v>
      </c>
      <c r="L325" s="269">
        <f t="shared" si="29"/>
        <v>1148.594416704</v>
      </c>
      <c r="M325" s="271">
        <f t="shared" si="31"/>
        <v>1148.594416704</v>
      </c>
      <c r="N325" s="271"/>
      <c r="R325" s="243">
        <f t="shared" si="26"/>
        <v>19.653354</v>
      </c>
    </row>
    <row r="326" customHeight="1" spans="1:18">
      <c r="A326" s="262"/>
      <c r="B326" s="282" t="str">
        <f>安装工程!B55</f>
        <v>配线</v>
      </c>
      <c r="C326" s="283" t="str">
        <f>安装工程!C55</f>
        <v>1.名称:多芯软导线
2.规格、型号:RVV-3x1.5
3.敷设方式:桥架内敷设
4.其它说明：满足规范和设计图纸要求</v>
      </c>
      <c r="D326" s="258">
        <f t="shared" si="27"/>
        <v>754.1203368</v>
      </c>
      <c r="E326" s="284">
        <f>安装工程!E55</f>
        <v>49.9</v>
      </c>
      <c r="F326" s="284">
        <v>15.112632</v>
      </c>
      <c r="G326" s="260">
        <v>0</v>
      </c>
      <c r="H326" s="260">
        <v>0</v>
      </c>
      <c r="I326" s="260">
        <v>0</v>
      </c>
      <c r="J326" s="269">
        <f t="shared" si="28"/>
        <v>49.9</v>
      </c>
      <c r="K326" s="270">
        <v>0.8</v>
      </c>
      <c r="L326" s="269">
        <f t="shared" si="29"/>
        <v>603.29626944</v>
      </c>
      <c r="M326" s="271">
        <f t="shared" si="31"/>
        <v>603.29626944</v>
      </c>
      <c r="N326" s="271"/>
      <c r="R326" s="243">
        <f t="shared" si="26"/>
        <v>22.668948</v>
      </c>
    </row>
    <row r="327" customHeight="1" spans="1:18">
      <c r="A327" s="262"/>
      <c r="B327" s="282" t="str">
        <f>安装工程!B56</f>
        <v>配线</v>
      </c>
      <c r="C327" s="283" t="str">
        <f>安装工程!C56</f>
        <v>1.名称:多芯软导线
2.规格、型号:RVV-4x0.75
3.敷设方式:穿管敷设
4.其它说明：满足规范和设计图纸要求</v>
      </c>
      <c r="D327" s="258">
        <f t="shared" si="27"/>
        <v>26.87310198</v>
      </c>
      <c r="E327" s="284">
        <f>安装工程!E56</f>
        <v>2.15</v>
      </c>
      <c r="F327" s="284">
        <v>12.4991172</v>
      </c>
      <c r="G327" s="260">
        <v>0</v>
      </c>
      <c r="H327" s="260">
        <v>0</v>
      </c>
      <c r="I327" s="260">
        <v>0</v>
      </c>
      <c r="J327" s="269">
        <f t="shared" si="28"/>
        <v>2.15</v>
      </c>
      <c r="K327" s="270">
        <v>0.8</v>
      </c>
      <c r="L327" s="269">
        <f t="shared" si="29"/>
        <v>21.498481584</v>
      </c>
      <c r="M327" s="271">
        <f t="shared" si="31"/>
        <v>21.498481584</v>
      </c>
      <c r="N327" s="271"/>
      <c r="R327" s="243">
        <f t="shared" si="26"/>
        <v>18.7486758</v>
      </c>
    </row>
    <row r="328" customHeight="1" spans="1:18">
      <c r="A328" s="262"/>
      <c r="B328" s="282" t="str">
        <f>安装工程!B57</f>
        <v>配线</v>
      </c>
      <c r="C328" s="283" t="str">
        <f>安装工程!C57</f>
        <v>1.名称:多芯软导线
2.规格、型号:RVV-6x0.5
3.敷设方式:穿管敷设
4.其它说明：满足规范和设计图纸要求</v>
      </c>
      <c r="D328" s="258">
        <f t="shared" ref="D328:D391" si="32">E328*F328</f>
        <v>40.113708684</v>
      </c>
      <c r="E328" s="284">
        <f>安装工程!E57</f>
        <v>3.43</v>
      </c>
      <c r="F328" s="284">
        <v>11.6949588</v>
      </c>
      <c r="G328" s="260">
        <v>0</v>
      </c>
      <c r="H328" s="260">
        <v>0</v>
      </c>
      <c r="I328" s="260">
        <v>0</v>
      </c>
      <c r="J328" s="269">
        <f t="shared" ref="J328:J358" si="33">E328</f>
        <v>3.43</v>
      </c>
      <c r="K328" s="270">
        <v>0.8</v>
      </c>
      <c r="L328" s="269">
        <f t="shared" si="29"/>
        <v>32.0909669472</v>
      </c>
      <c r="M328" s="271">
        <f t="shared" si="31"/>
        <v>32.0909669472</v>
      </c>
      <c r="N328" s="271"/>
      <c r="R328" s="243">
        <f t="shared" ref="R328:R391" si="34">F328*$R$4</f>
        <v>17.5424382</v>
      </c>
    </row>
    <row r="329" customHeight="1" spans="1:18">
      <c r="A329" s="262"/>
      <c r="B329" s="282" t="str">
        <f>安装工程!B58</f>
        <v>双绞线缆</v>
      </c>
      <c r="C329" s="283" t="str">
        <f>安装工程!C58</f>
        <v>1.名称:双绞线缆
2.规格:UTP-CAT6
3.敷设方式:穿管敷设
4.其它说明：满足规范和设计图纸要求</v>
      </c>
      <c r="D329" s="258">
        <f t="shared" si="32"/>
        <v>2475.92953692</v>
      </c>
      <c r="E329" s="284">
        <f>安装工程!E58</f>
        <v>188.97</v>
      </c>
      <c r="F329" s="284">
        <v>13.102236</v>
      </c>
      <c r="G329" s="260">
        <v>0</v>
      </c>
      <c r="H329" s="260">
        <v>0</v>
      </c>
      <c r="I329" s="260">
        <v>0</v>
      </c>
      <c r="J329" s="269">
        <f t="shared" si="33"/>
        <v>188.97</v>
      </c>
      <c r="K329" s="270">
        <v>0.8</v>
      </c>
      <c r="L329" s="269">
        <f t="shared" si="29"/>
        <v>1980.743629536</v>
      </c>
      <c r="M329" s="271">
        <f t="shared" si="31"/>
        <v>1980.743629536</v>
      </c>
      <c r="N329" s="271"/>
      <c r="R329" s="243">
        <f t="shared" si="34"/>
        <v>19.653354</v>
      </c>
    </row>
    <row r="330" customHeight="1" spans="1:18">
      <c r="A330" s="262"/>
      <c r="B330" s="282" t="str">
        <f>安装工程!B59</f>
        <v>双绞线缆</v>
      </c>
      <c r="C330" s="283" t="str">
        <f>安装工程!C59</f>
        <v>1.名称:双绞线缆
2.规格:UTP-CAT6
3.敷设方式:桥架内敷设
4.其它说明：满足规范和设计图纸要求</v>
      </c>
      <c r="D330" s="258">
        <f t="shared" si="32"/>
        <v>16077.62277324</v>
      </c>
      <c r="E330" s="284">
        <f>安装工程!E59</f>
        <v>1227.09</v>
      </c>
      <c r="F330" s="284">
        <v>13.102236</v>
      </c>
      <c r="G330" s="260">
        <v>0</v>
      </c>
      <c r="H330" s="260">
        <v>0</v>
      </c>
      <c r="I330" s="260">
        <v>0</v>
      </c>
      <c r="J330" s="269">
        <f t="shared" si="33"/>
        <v>1227.09</v>
      </c>
      <c r="K330" s="270">
        <v>0.8</v>
      </c>
      <c r="L330" s="269">
        <f t="shared" si="29"/>
        <v>12862.098218592</v>
      </c>
      <c r="M330" s="271">
        <f t="shared" si="31"/>
        <v>12862.098218592</v>
      </c>
      <c r="N330" s="271"/>
      <c r="R330" s="243">
        <f t="shared" si="34"/>
        <v>19.653354</v>
      </c>
    </row>
    <row r="331" customHeight="1" spans="1:18">
      <c r="A331" s="262"/>
      <c r="B331" s="282" t="str">
        <f>安装工程!B60</f>
        <v>机柜、机架</v>
      </c>
      <c r="C331" s="283" t="str">
        <f>安装工程!C60</f>
        <v>1.名称:弱电机柜
2.规格:详见图纸
3.其它说明：满足规范和设计图纸要求</v>
      </c>
      <c r="D331" s="258">
        <f t="shared" si="32"/>
        <v>10580.5755</v>
      </c>
      <c r="E331" s="284">
        <f>安装工程!E60</f>
        <v>1</v>
      </c>
      <c r="F331" s="284">
        <v>10580.5755</v>
      </c>
      <c r="G331" s="260">
        <v>0</v>
      </c>
      <c r="H331" s="260">
        <v>0</v>
      </c>
      <c r="I331" s="260">
        <v>0</v>
      </c>
      <c r="J331" s="269">
        <f t="shared" si="33"/>
        <v>1</v>
      </c>
      <c r="K331" s="270">
        <v>0</v>
      </c>
      <c r="L331" s="269">
        <f t="shared" si="29"/>
        <v>0</v>
      </c>
      <c r="M331" s="271">
        <f t="shared" si="31"/>
        <v>0</v>
      </c>
      <c r="N331" s="271"/>
      <c r="R331" s="243">
        <f t="shared" si="34"/>
        <v>15870.86325</v>
      </c>
    </row>
    <row r="332" customHeight="1" spans="1:18">
      <c r="A332" s="262"/>
      <c r="B332" s="282" t="str">
        <f>安装工程!B61</f>
        <v>背景音乐系统设备</v>
      </c>
      <c r="C332" s="283" t="str">
        <f>安装工程!C61</f>
        <v>1.名称:背景音乐主机
2.规格:详见图纸
3.其它说明：满足规范和设计图纸要求</v>
      </c>
      <c r="D332" s="258">
        <f t="shared" si="32"/>
        <v>29869.9785</v>
      </c>
      <c r="E332" s="284">
        <f>安装工程!E61</f>
        <v>1</v>
      </c>
      <c r="F332" s="284">
        <v>29869.9785</v>
      </c>
      <c r="G332" s="260">
        <v>0</v>
      </c>
      <c r="H332" s="260">
        <v>0</v>
      </c>
      <c r="I332" s="260">
        <v>0</v>
      </c>
      <c r="J332" s="269">
        <f t="shared" si="33"/>
        <v>1</v>
      </c>
      <c r="K332" s="270">
        <v>0</v>
      </c>
      <c r="L332" s="269">
        <f t="shared" si="29"/>
        <v>0</v>
      </c>
      <c r="M332" s="271">
        <f t="shared" si="31"/>
        <v>0</v>
      </c>
      <c r="N332" s="271"/>
      <c r="R332" s="243">
        <f t="shared" si="34"/>
        <v>44804.96775</v>
      </c>
    </row>
    <row r="333" customHeight="1" spans="1:18">
      <c r="A333" s="262"/>
      <c r="B333" s="282" t="str">
        <f>安装工程!B62</f>
        <v>扩声系统设备</v>
      </c>
      <c r="C333" s="283" t="str">
        <f>安装工程!C62</f>
        <v>1.名称:背景音乐
2.规格:详见图纸
3.安装方式:天花安装
4.其它说明：满足规范和设计图纸要求</v>
      </c>
      <c r="D333" s="258">
        <f t="shared" si="32"/>
        <v>3223.306035</v>
      </c>
      <c r="E333" s="284">
        <f>安装工程!E62</f>
        <v>9</v>
      </c>
      <c r="F333" s="284">
        <v>358.145115</v>
      </c>
      <c r="G333" s="260">
        <v>0</v>
      </c>
      <c r="H333" s="260">
        <v>0</v>
      </c>
      <c r="I333" s="260">
        <v>0</v>
      </c>
      <c r="J333" s="269">
        <f t="shared" si="33"/>
        <v>9</v>
      </c>
      <c r="K333" s="270">
        <v>0</v>
      </c>
      <c r="L333" s="269">
        <f t="shared" si="29"/>
        <v>0</v>
      </c>
      <c r="M333" s="271">
        <f t="shared" si="31"/>
        <v>0</v>
      </c>
      <c r="N333" s="271"/>
      <c r="R333" s="243">
        <f t="shared" si="34"/>
        <v>537.2176725</v>
      </c>
    </row>
    <row r="334" customHeight="1" spans="1:18">
      <c r="A334" s="262"/>
      <c r="B334" s="282" t="str">
        <f>安装工程!B63</f>
        <v>扩声系统设备</v>
      </c>
      <c r="C334" s="283" t="str">
        <f>安装工程!C63</f>
        <v>1.名称:音量控制器
2.安装方式:暗装
3.其它说明：满足规范和设计图纸要求</v>
      </c>
      <c r="D334" s="258">
        <f t="shared" si="32"/>
        <v>970.536</v>
      </c>
      <c r="E334" s="284">
        <f>安装工程!E63</f>
        <v>1</v>
      </c>
      <c r="F334" s="284">
        <v>970.536</v>
      </c>
      <c r="G334" s="260">
        <v>0</v>
      </c>
      <c r="H334" s="260">
        <v>0</v>
      </c>
      <c r="I334" s="260">
        <v>0</v>
      </c>
      <c r="J334" s="269">
        <f t="shared" si="33"/>
        <v>1</v>
      </c>
      <c r="K334" s="270">
        <v>0</v>
      </c>
      <c r="L334" s="269">
        <f t="shared" si="29"/>
        <v>0</v>
      </c>
      <c r="M334" s="271">
        <f t="shared" si="31"/>
        <v>0</v>
      </c>
      <c r="N334" s="271"/>
      <c r="R334" s="243">
        <f t="shared" si="34"/>
        <v>1455.804</v>
      </c>
    </row>
    <row r="335" customHeight="1" spans="1:18">
      <c r="A335" s="262"/>
      <c r="B335" s="282" t="str">
        <f>安装工程!B64</f>
        <v>电视、电话插座</v>
      </c>
      <c r="C335" s="283" t="str">
        <f>安装工程!C64</f>
        <v>1.名称:一位电视插座
2.安装方式:暗装
3.其它说明：满足规范和设计图纸要求</v>
      </c>
      <c r="D335" s="258">
        <f t="shared" si="32"/>
        <v>113.431395</v>
      </c>
      <c r="E335" s="284">
        <f>安装工程!E64</f>
        <v>1</v>
      </c>
      <c r="F335" s="284">
        <v>113.431395</v>
      </c>
      <c r="G335" s="260">
        <v>0</v>
      </c>
      <c r="H335" s="260">
        <v>0</v>
      </c>
      <c r="I335" s="260">
        <v>0</v>
      </c>
      <c r="J335" s="269">
        <f t="shared" si="33"/>
        <v>1</v>
      </c>
      <c r="K335" s="270">
        <v>0</v>
      </c>
      <c r="L335" s="269">
        <f t="shared" si="29"/>
        <v>0</v>
      </c>
      <c r="M335" s="271">
        <f t="shared" si="31"/>
        <v>0</v>
      </c>
      <c r="N335" s="271"/>
      <c r="R335" s="243">
        <f t="shared" si="34"/>
        <v>170.1470925</v>
      </c>
    </row>
    <row r="336" customHeight="1" spans="1:18">
      <c r="A336" s="262"/>
      <c r="B336" s="282" t="str">
        <f>安装工程!B65</f>
        <v>电视、电话插座</v>
      </c>
      <c r="C336" s="283" t="str">
        <f>安装工程!C65</f>
        <v>1.名称:一位网络+电话插座
2.安装方式:暗装
3.其它说明：满足规范和设计图纸要求</v>
      </c>
      <c r="D336" s="258">
        <f t="shared" si="32"/>
        <v>944.19288</v>
      </c>
      <c r="E336" s="284">
        <f>安装工程!E65</f>
        <v>3</v>
      </c>
      <c r="F336" s="284">
        <v>314.73096</v>
      </c>
      <c r="G336" s="260">
        <v>0</v>
      </c>
      <c r="H336" s="260">
        <v>0</v>
      </c>
      <c r="I336" s="260">
        <v>0</v>
      </c>
      <c r="J336" s="269">
        <f t="shared" si="33"/>
        <v>3</v>
      </c>
      <c r="K336" s="270">
        <v>0</v>
      </c>
      <c r="L336" s="269">
        <f t="shared" si="29"/>
        <v>0</v>
      </c>
      <c r="M336" s="271">
        <f t="shared" si="31"/>
        <v>0</v>
      </c>
      <c r="N336" s="271"/>
      <c r="R336" s="243">
        <f t="shared" si="34"/>
        <v>472.09644</v>
      </c>
    </row>
    <row r="337" customHeight="1" spans="1:18">
      <c r="A337" s="262"/>
      <c r="B337" s="282" t="str">
        <f>安装工程!B66</f>
        <v>信息插座</v>
      </c>
      <c r="C337" s="283" t="str">
        <f>安装工程!C66</f>
        <v>1.名称:一位网络插座
2.安装方式:暗装
3.其它说明：满足规范和设计图纸要求</v>
      </c>
      <c r="D337" s="258">
        <f t="shared" si="32"/>
        <v>1825.387575</v>
      </c>
      <c r="E337" s="284">
        <f>安装工程!E66</f>
        <v>11</v>
      </c>
      <c r="F337" s="284">
        <v>165.944325</v>
      </c>
      <c r="G337" s="260">
        <v>0</v>
      </c>
      <c r="H337" s="260">
        <v>0</v>
      </c>
      <c r="I337" s="260">
        <v>0</v>
      </c>
      <c r="J337" s="269">
        <f t="shared" si="33"/>
        <v>11</v>
      </c>
      <c r="K337" s="270">
        <v>0</v>
      </c>
      <c r="L337" s="269">
        <f t="shared" si="29"/>
        <v>0</v>
      </c>
      <c r="M337" s="271">
        <f t="shared" si="31"/>
        <v>0</v>
      </c>
      <c r="N337" s="271"/>
      <c r="R337" s="243">
        <f t="shared" si="34"/>
        <v>248.9164875</v>
      </c>
    </row>
    <row r="338" customHeight="1" spans="1:18">
      <c r="A338" s="262"/>
      <c r="B338" s="282" t="str">
        <f>安装工程!B67</f>
        <v>监控摄像设备</v>
      </c>
      <c r="C338" s="283" t="str">
        <f>安装工程!C67</f>
        <v>1.名称:半球摄像机
2.安装方式:天花安装
3.其它说明：满足规范和设计图纸要求</v>
      </c>
      <c r="D338" s="258">
        <f t="shared" si="32"/>
        <v>9788.5488</v>
      </c>
      <c r="E338" s="284">
        <f>安装工程!E67</f>
        <v>10</v>
      </c>
      <c r="F338" s="284">
        <v>978.85488</v>
      </c>
      <c r="G338" s="260">
        <v>0</v>
      </c>
      <c r="H338" s="260">
        <v>0</v>
      </c>
      <c r="I338" s="260">
        <v>0</v>
      </c>
      <c r="J338" s="269">
        <f t="shared" si="33"/>
        <v>10</v>
      </c>
      <c r="K338" s="270">
        <v>0</v>
      </c>
      <c r="L338" s="269">
        <f t="shared" si="29"/>
        <v>0</v>
      </c>
      <c r="M338" s="271">
        <f t="shared" si="31"/>
        <v>0</v>
      </c>
      <c r="N338" s="271"/>
      <c r="R338" s="243">
        <f t="shared" si="34"/>
        <v>1468.28232</v>
      </c>
    </row>
    <row r="339" customHeight="1" spans="1:18">
      <c r="A339" s="262"/>
      <c r="B339" s="282" t="str">
        <f>安装工程!B68</f>
        <v>路由器</v>
      </c>
      <c r="C339" s="283" t="str">
        <f>安装工程!C68</f>
        <v>1.名称:无线AP
2.安装方式:天花安装
3.其它说明：满足规范和设计图纸要求</v>
      </c>
      <c r="D339" s="258">
        <f t="shared" si="32"/>
        <v>2691.417645</v>
      </c>
      <c r="E339" s="284">
        <f>安装工程!E68</f>
        <v>7</v>
      </c>
      <c r="F339" s="284">
        <v>384.488235</v>
      </c>
      <c r="G339" s="260">
        <v>0</v>
      </c>
      <c r="H339" s="260">
        <v>0</v>
      </c>
      <c r="I339" s="260">
        <v>0</v>
      </c>
      <c r="J339" s="269">
        <f t="shared" si="33"/>
        <v>7</v>
      </c>
      <c r="K339" s="270">
        <v>0</v>
      </c>
      <c r="L339" s="269">
        <f t="shared" si="29"/>
        <v>0</v>
      </c>
      <c r="M339" s="271">
        <f t="shared" si="31"/>
        <v>0</v>
      </c>
      <c r="N339" s="271"/>
      <c r="R339" s="243">
        <f t="shared" si="34"/>
        <v>576.7323525</v>
      </c>
    </row>
    <row r="340" customHeight="1" spans="1:18">
      <c r="A340" s="262"/>
      <c r="B340" s="282" t="str">
        <f>安装工程!B69</f>
        <v>出入口目标识别设备</v>
      </c>
      <c r="C340" s="283" t="str">
        <f>安装工程!C69</f>
        <v>1.名称:门禁读卡器
2.规格:详见图纸</v>
      </c>
      <c r="D340" s="258">
        <f t="shared" si="32"/>
        <v>1276.42815</v>
      </c>
      <c r="E340" s="284">
        <f>安装工程!E69</f>
        <v>1</v>
      </c>
      <c r="F340" s="284">
        <v>1276.42815</v>
      </c>
      <c r="G340" s="260">
        <v>0</v>
      </c>
      <c r="H340" s="260">
        <v>0</v>
      </c>
      <c r="I340" s="260">
        <v>0</v>
      </c>
      <c r="J340" s="269">
        <f t="shared" si="33"/>
        <v>1</v>
      </c>
      <c r="K340" s="270">
        <v>0</v>
      </c>
      <c r="L340" s="269">
        <f t="shared" si="29"/>
        <v>0</v>
      </c>
      <c r="M340" s="271">
        <f t="shared" si="31"/>
        <v>0</v>
      </c>
      <c r="N340" s="271"/>
      <c r="R340" s="243">
        <f t="shared" si="34"/>
        <v>1914.642225</v>
      </c>
    </row>
    <row r="341" customHeight="1" spans="1:18">
      <c r="A341" s="262"/>
      <c r="B341" s="282" t="str">
        <f>安装工程!B70</f>
        <v>出入口目标识别设备</v>
      </c>
      <c r="C341" s="283" t="str">
        <f>安装工程!C70</f>
        <v>1.名称:开门按钮
2.规格:详见图纸</v>
      </c>
      <c r="D341" s="258">
        <f t="shared" si="32"/>
        <v>314.817615</v>
      </c>
      <c r="E341" s="284">
        <f>安装工程!E70</f>
        <v>1</v>
      </c>
      <c r="F341" s="284">
        <v>314.817615</v>
      </c>
      <c r="G341" s="260">
        <v>0</v>
      </c>
      <c r="H341" s="260">
        <v>0</v>
      </c>
      <c r="I341" s="260">
        <v>0</v>
      </c>
      <c r="J341" s="269">
        <f t="shared" si="33"/>
        <v>1</v>
      </c>
      <c r="K341" s="270">
        <v>0</v>
      </c>
      <c r="L341" s="269">
        <f t="shared" si="29"/>
        <v>0</v>
      </c>
      <c r="M341" s="271">
        <f t="shared" si="31"/>
        <v>0</v>
      </c>
      <c r="N341" s="271"/>
      <c r="R341" s="243">
        <f t="shared" si="34"/>
        <v>472.2264225</v>
      </c>
    </row>
    <row r="342" customHeight="1" spans="1:18">
      <c r="A342" s="262"/>
      <c r="B342" s="282" t="str">
        <f>安装工程!B71</f>
        <v>出入口控制设备</v>
      </c>
      <c r="C342" s="283" t="str">
        <f>安装工程!C71</f>
        <v>1.名称:门禁控制器
2.规格:详见图纸</v>
      </c>
      <c r="D342" s="258">
        <f t="shared" si="32"/>
        <v>3873.4785</v>
      </c>
      <c r="E342" s="284">
        <f>安装工程!E71</f>
        <v>1</v>
      </c>
      <c r="F342" s="284">
        <v>3873.4785</v>
      </c>
      <c r="G342" s="260">
        <v>0</v>
      </c>
      <c r="H342" s="260">
        <v>0</v>
      </c>
      <c r="I342" s="260">
        <v>0</v>
      </c>
      <c r="J342" s="269">
        <f t="shared" si="33"/>
        <v>1</v>
      </c>
      <c r="K342" s="270">
        <v>0</v>
      </c>
      <c r="L342" s="269">
        <f t="shared" si="29"/>
        <v>0</v>
      </c>
      <c r="M342" s="271">
        <f t="shared" si="31"/>
        <v>0</v>
      </c>
      <c r="N342" s="271"/>
      <c r="R342" s="243">
        <f t="shared" si="34"/>
        <v>5810.21775</v>
      </c>
    </row>
    <row r="343" customHeight="1" spans="1:18">
      <c r="A343" s="262"/>
      <c r="B343" s="282" t="str">
        <f>安装工程!B72</f>
        <v>出入口执行机构设备</v>
      </c>
      <c r="C343" s="283" t="str">
        <f>安装工程!C72</f>
        <v>1.名称:门禁锁
2.规格:详见图纸</v>
      </c>
      <c r="D343" s="258">
        <f t="shared" si="32"/>
        <v>2824.953</v>
      </c>
      <c r="E343" s="284">
        <f>安装工程!E72</f>
        <v>1</v>
      </c>
      <c r="F343" s="284">
        <v>2824.953</v>
      </c>
      <c r="G343" s="260">
        <v>0</v>
      </c>
      <c r="H343" s="260">
        <v>0</v>
      </c>
      <c r="I343" s="260">
        <v>0</v>
      </c>
      <c r="J343" s="269">
        <f t="shared" si="33"/>
        <v>1</v>
      </c>
      <c r="K343" s="270">
        <v>0</v>
      </c>
      <c r="L343" s="269">
        <f t="shared" si="29"/>
        <v>0</v>
      </c>
      <c r="M343" s="271">
        <f t="shared" si="31"/>
        <v>0</v>
      </c>
      <c r="N343" s="271"/>
      <c r="R343" s="243">
        <f t="shared" si="34"/>
        <v>4237.4295</v>
      </c>
    </row>
    <row r="344" customHeight="1" spans="1:18">
      <c r="A344" s="262"/>
      <c r="B344" s="282" t="str">
        <f>安装工程!B73</f>
        <v>接线盒</v>
      </c>
      <c r="C344" s="283" t="str">
        <f>安装工程!C73</f>
        <v>1.名称:接线盒
2.材质:详见图纸
3.安装形式:暗装</v>
      </c>
      <c r="D344" s="258">
        <f t="shared" si="32"/>
        <v>804.2901156</v>
      </c>
      <c r="E344" s="284">
        <f>安装工程!E73</f>
        <v>45</v>
      </c>
      <c r="F344" s="284">
        <v>17.87311368</v>
      </c>
      <c r="G344" s="260">
        <v>0</v>
      </c>
      <c r="H344" s="260">
        <v>0</v>
      </c>
      <c r="I344" s="260">
        <v>0</v>
      </c>
      <c r="J344" s="269">
        <f t="shared" si="33"/>
        <v>45</v>
      </c>
      <c r="K344" s="270">
        <v>0.8</v>
      </c>
      <c r="L344" s="269">
        <f t="shared" si="29"/>
        <v>643.43209248</v>
      </c>
      <c r="M344" s="271">
        <f t="shared" si="31"/>
        <v>643.43209248</v>
      </c>
      <c r="N344" s="271"/>
      <c r="R344" s="243">
        <f t="shared" si="34"/>
        <v>26.80967052</v>
      </c>
    </row>
    <row r="345" customHeight="1" spans="1:18">
      <c r="A345" s="262"/>
      <c r="B345" s="282" t="str">
        <f>安装工程!B74</f>
        <v>给排水</v>
      </c>
      <c r="C345" s="283"/>
      <c r="D345" s="258">
        <f t="shared" si="32"/>
        <v>0</v>
      </c>
      <c r="E345" s="284">
        <f>安装工程!E74</f>
        <v>0</v>
      </c>
      <c r="F345" s="284">
        <v>0</v>
      </c>
      <c r="G345" s="260">
        <v>0</v>
      </c>
      <c r="H345" s="260">
        <v>0</v>
      </c>
      <c r="I345" s="260">
        <v>0</v>
      </c>
      <c r="J345" s="269">
        <f t="shared" si="33"/>
        <v>0</v>
      </c>
      <c r="K345" s="278"/>
      <c r="L345" s="269"/>
      <c r="M345" s="271"/>
      <c r="N345" s="271"/>
      <c r="R345" s="243">
        <f t="shared" si="34"/>
        <v>0</v>
      </c>
    </row>
    <row r="346" customHeight="1" spans="1:18">
      <c r="A346" s="262"/>
      <c r="B346" s="282" t="str">
        <f>安装工程!B75</f>
        <v>洗脸盆</v>
      </c>
      <c r="C346" s="283" t="str">
        <f>安装工程!C75</f>
        <v>1.名称:台式洗脸盆
2.组装形式:成套
3.附件名称、数量:含五金配件
4.安装后需满足使用要求
5.其它说明：满足规范和设计图纸要求</v>
      </c>
      <c r="D346" s="258">
        <f t="shared" si="32"/>
        <v>11369.136</v>
      </c>
      <c r="E346" s="284">
        <f>安装工程!E75</f>
        <v>4</v>
      </c>
      <c r="F346" s="284">
        <v>2842.284</v>
      </c>
      <c r="G346" s="260">
        <v>0</v>
      </c>
      <c r="H346" s="260">
        <v>0</v>
      </c>
      <c r="I346" s="260">
        <v>0</v>
      </c>
      <c r="J346" s="269">
        <f t="shared" si="33"/>
        <v>4</v>
      </c>
      <c r="K346" s="270">
        <v>0</v>
      </c>
      <c r="L346" s="269">
        <f t="shared" ref="L346:L358" si="35">J346*F346*K346</f>
        <v>0</v>
      </c>
      <c r="M346" s="271">
        <f t="shared" ref="M346:M358" si="36">L346+I346</f>
        <v>0</v>
      </c>
      <c r="N346" s="271"/>
      <c r="R346" s="243">
        <f t="shared" si="34"/>
        <v>4263.426</v>
      </c>
    </row>
    <row r="347" customHeight="1" spans="1:18">
      <c r="A347" s="262"/>
      <c r="B347" s="282" t="str">
        <f>安装工程!B76</f>
        <v>大便器</v>
      </c>
      <c r="C347" s="283" t="str">
        <f>安装工程!C76</f>
        <v>1.名称:坐式大便器
2.组装形式:成套
3.附件名称、数量:含五金配件
4.安装后需满足使用要求
5.其它说明：满足规范和设计图纸要求</v>
      </c>
      <c r="D347" s="258">
        <f t="shared" si="32"/>
        <v>10331.0091</v>
      </c>
      <c r="E347" s="284">
        <f>安装工程!E76</f>
        <v>6</v>
      </c>
      <c r="F347" s="284">
        <v>1721.83485</v>
      </c>
      <c r="G347" s="260">
        <v>0</v>
      </c>
      <c r="H347" s="260">
        <v>0</v>
      </c>
      <c r="I347" s="260">
        <v>0</v>
      </c>
      <c r="J347" s="269">
        <f t="shared" si="33"/>
        <v>6</v>
      </c>
      <c r="K347" s="270">
        <v>0</v>
      </c>
      <c r="L347" s="269">
        <f t="shared" si="35"/>
        <v>0</v>
      </c>
      <c r="M347" s="271">
        <f t="shared" si="36"/>
        <v>0</v>
      </c>
      <c r="N347" s="271"/>
      <c r="R347" s="243">
        <f t="shared" si="34"/>
        <v>2582.752275</v>
      </c>
    </row>
    <row r="348" customHeight="1" spans="1:18">
      <c r="A348" s="262"/>
      <c r="B348" s="282" t="str">
        <f>安装工程!B77</f>
        <v>小便器</v>
      </c>
      <c r="C348" s="283" t="str">
        <f>安装工程!C77</f>
        <v>1.名称:小便器
2.组装形式:成套
3.附件名称、数量:含五金配件
4.安装后需满足使用要求
5.其它说明：满足规范和设计图纸要求</v>
      </c>
      <c r="D348" s="258">
        <f t="shared" si="32"/>
        <v>3373.65246</v>
      </c>
      <c r="E348" s="284">
        <f>安装工程!E77</f>
        <v>2</v>
      </c>
      <c r="F348" s="284">
        <v>1686.82623</v>
      </c>
      <c r="G348" s="260">
        <v>0</v>
      </c>
      <c r="H348" s="260">
        <v>0</v>
      </c>
      <c r="I348" s="260">
        <v>0</v>
      </c>
      <c r="J348" s="269">
        <f t="shared" si="33"/>
        <v>2</v>
      </c>
      <c r="K348" s="270">
        <v>0</v>
      </c>
      <c r="L348" s="269">
        <f t="shared" si="35"/>
        <v>0</v>
      </c>
      <c r="M348" s="271">
        <f t="shared" si="36"/>
        <v>0</v>
      </c>
      <c r="N348" s="271"/>
      <c r="R348" s="243">
        <f t="shared" si="34"/>
        <v>2530.239345</v>
      </c>
    </row>
    <row r="349" customHeight="1" spans="1:18">
      <c r="A349" s="262"/>
      <c r="B349" s="282" t="str">
        <f>安装工程!B78</f>
        <v>其他成品卫生器具</v>
      </c>
      <c r="C349" s="283" t="str">
        <f>安装工程!C78</f>
        <v>1.名称:拖布池
2.组装形式:成套
3.附件名称、数量:含五金配件
4.安装后需满足使用要求
5.其它说明：满足规范和设计图纸要求</v>
      </c>
      <c r="D349" s="258">
        <f t="shared" si="32"/>
        <v>1285.09365</v>
      </c>
      <c r="E349" s="284">
        <f>安装工程!E78</f>
        <v>1</v>
      </c>
      <c r="F349" s="284">
        <v>1285.09365</v>
      </c>
      <c r="G349" s="260">
        <v>0</v>
      </c>
      <c r="H349" s="260">
        <v>0</v>
      </c>
      <c r="I349" s="260">
        <v>0</v>
      </c>
      <c r="J349" s="269">
        <f t="shared" si="33"/>
        <v>1</v>
      </c>
      <c r="K349" s="270">
        <v>0</v>
      </c>
      <c r="L349" s="269">
        <f t="shared" si="35"/>
        <v>0</v>
      </c>
      <c r="M349" s="271">
        <f t="shared" si="36"/>
        <v>0</v>
      </c>
      <c r="N349" s="271"/>
      <c r="R349" s="243">
        <f t="shared" si="34"/>
        <v>1927.640475</v>
      </c>
    </row>
    <row r="350" customHeight="1" spans="1:18">
      <c r="A350" s="262"/>
      <c r="B350" s="282" t="str">
        <f>安装工程!B79</f>
        <v>给、排水附(配)件</v>
      </c>
      <c r="C350" s="283" t="str">
        <f>安装工程!C79</f>
        <v>1.名称:地漏
2.型号、规格:De63</v>
      </c>
      <c r="D350" s="258">
        <f t="shared" si="32"/>
        <v>663.08406</v>
      </c>
      <c r="E350" s="284">
        <f>安装工程!E79</f>
        <v>4</v>
      </c>
      <c r="F350" s="284">
        <v>165.771015</v>
      </c>
      <c r="G350" s="260">
        <v>0</v>
      </c>
      <c r="H350" s="260">
        <v>0</v>
      </c>
      <c r="I350" s="260">
        <v>0</v>
      </c>
      <c r="J350" s="269">
        <f t="shared" si="33"/>
        <v>4</v>
      </c>
      <c r="K350" s="270">
        <v>0.8</v>
      </c>
      <c r="L350" s="269">
        <f t="shared" si="35"/>
        <v>530.467248</v>
      </c>
      <c r="M350" s="271">
        <f t="shared" si="36"/>
        <v>530.467248</v>
      </c>
      <c r="N350" s="271"/>
      <c r="R350" s="243">
        <f t="shared" si="34"/>
        <v>248.6565225</v>
      </c>
    </row>
    <row r="351" customHeight="1" spans="1:18">
      <c r="A351" s="262"/>
      <c r="B351" s="282" t="str">
        <f>安装工程!B80</f>
        <v>给、排水附(配)件</v>
      </c>
      <c r="C351" s="283" t="str">
        <f>安装工程!C80</f>
        <v>1.名称:地面清扫口
2.型号、规格:De90</v>
      </c>
      <c r="D351" s="258">
        <f t="shared" si="32"/>
        <v>113.258085</v>
      </c>
      <c r="E351" s="284">
        <f>安装工程!E80</f>
        <v>1</v>
      </c>
      <c r="F351" s="284">
        <v>113.258085</v>
      </c>
      <c r="G351" s="260">
        <v>0</v>
      </c>
      <c r="H351" s="260">
        <v>0</v>
      </c>
      <c r="I351" s="260">
        <v>0</v>
      </c>
      <c r="J351" s="269">
        <f t="shared" si="33"/>
        <v>1</v>
      </c>
      <c r="K351" s="270">
        <v>0.8</v>
      </c>
      <c r="L351" s="269">
        <f t="shared" si="35"/>
        <v>90.606468</v>
      </c>
      <c r="M351" s="271">
        <f t="shared" si="36"/>
        <v>90.606468</v>
      </c>
      <c r="N351" s="271"/>
      <c r="R351" s="243">
        <f t="shared" si="34"/>
        <v>169.8871275</v>
      </c>
    </row>
    <row r="352" customHeight="1" spans="1:18">
      <c r="A352" s="262"/>
      <c r="B352" s="282" t="str">
        <f>安装工程!B81</f>
        <v>塑料管</v>
      </c>
      <c r="C352" s="283" t="str">
        <f>安装工程!C81</f>
        <v>1.安装部位:室内
2.介质:污水
3.材质、规格:UPVC排水管De63
4.连接形式:粘接连接</v>
      </c>
      <c r="D352" s="258">
        <f t="shared" si="32"/>
        <v>1453.23138636</v>
      </c>
      <c r="E352" s="284">
        <f>安装工程!E81</f>
        <v>13.11</v>
      </c>
      <c r="F352" s="284">
        <v>110.849076</v>
      </c>
      <c r="G352" s="260">
        <v>0</v>
      </c>
      <c r="H352" s="260">
        <v>0</v>
      </c>
      <c r="I352" s="260">
        <v>0</v>
      </c>
      <c r="J352" s="269">
        <f t="shared" si="33"/>
        <v>13.11</v>
      </c>
      <c r="K352" s="270">
        <v>0.8</v>
      </c>
      <c r="L352" s="269">
        <f t="shared" si="35"/>
        <v>1162.585109088</v>
      </c>
      <c r="M352" s="271">
        <f t="shared" si="36"/>
        <v>1162.585109088</v>
      </c>
      <c r="N352" s="271"/>
      <c r="R352" s="243">
        <f t="shared" si="34"/>
        <v>166.273614</v>
      </c>
    </row>
    <row r="353" customHeight="1" spans="1:18">
      <c r="A353" s="262"/>
      <c r="B353" s="282" t="str">
        <f>安装工程!B83</f>
        <v>塑料管</v>
      </c>
      <c r="C353" s="283" t="str">
        <f>安装工程!C83</f>
        <v>1.安装部位:室内
2.介质:污水
3.材质、规格:UPVC排水管De90
4.连接形式:粘接连接</v>
      </c>
      <c r="D353" s="258">
        <f t="shared" si="32"/>
        <v>1320.89169705</v>
      </c>
      <c r="E353" s="284">
        <f>安装工程!E83</f>
        <v>8.53</v>
      </c>
      <c r="F353" s="284">
        <v>154.852485</v>
      </c>
      <c r="G353" s="260">
        <v>0</v>
      </c>
      <c r="H353" s="260">
        <v>0</v>
      </c>
      <c r="I353" s="260">
        <v>0</v>
      </c>
      <c r="J353" s="269">
        <f t="shared" si="33"/>
        <v>8.53</v>
      </c>
      <c r="K353" s="270">
        <v>0.8</v>
      </c>
      <c r="L353" s="269">
        <f t="shared" si="35"/>
        <v>1056.71335764</v>
      </c>
      <c r="M353" s="271">
        <f t="shared" si="36"/>
        <v>1056.71335764</v>
      </c>
      <c r="N353" s="271"/>
      <c r="R353" s="243">
        <f t="shared" si="34"/>
        <v>232.2787275</v>
      </c>
    </row>
    <row r="354" customHeight="1" spans="1:18">
      <c r="A354" s="262"/>
      <c r="B354" s="282" t="str">
        <f>安装工程!B85</f>
        <v>塑料管</v>
      </c>
      <c r="C354" s="283" t="str">
        <f>安装工程!C85</f>
        <v>1.安装部位:室内
2.介质:污水
3.材质、规格:UPVC排水管De110
4.连接形式:粘接连接</v>
      </c>
      <c r="D354" s="258">
        <f t="shared" si="32"/>
        <v>2658.8145678</v>
      </c>
      <c r="E354" s="284">
        <f>安装工程!E85</f>
        <v>14.12</v>
      </c>
      <c r="F354" s="284">
        <v>188.301315</v>
      </c>
      <c r="G354" s="260">
        <v>0</v>
      </c>
      <c r="H354" s="260">
        <v>0</v>
      </c>
      <c r="I354" s="260">
        <v>0</v>
      </c>
      <c r="J354" s="269">
        <f t="shared" si="33"/>
        <v>14.12</v>
      </c>
      <c r="K354" s="270">
        <v>0.8</v>
      </c>
      <c r="L354" s="269">
        <f t="shared" si="35"/>
        <v>2127.05165424</v>
      </c>
      <c r="M354" s="271">
        <f t="shared" si="36"/>
        <v>2127.05165424</v>
      </c>
      <c r="N354" s="271"/>
      <c r="R354" s="243">
        <f t="shared" si="34"/>
        <v>282.4519725</v>
      </c>
    </row>
    <row r="355" customHeight="1" spans="1:18">
      <c r="A355" s="262"/>
      <c r="B355" s="282" t="str">
        <f>安装工程!B87</f>
        <v>塑料管</v>
      </c>
      <c r="C355" s="283" t="str">
        <f>安装工程!C87</f>
        <v>1.安装部位:室内
2.介质:给水
3.材质、规格:PP-R管De20
4.连接形式:热熔连接
5.压力试验及吹、洗设计要求:满足设计要求</v>
      </c>
      <c r="D355" s="258">
        <f t="shared" si="32"/>
        <v>750.8205144</v>
      </c>
      <c r="E355" s="284">
        <f>安装工程!E87</f>
        <v>16.41</v>
      </c>
      <c r="F355" s="284">
        <v>45.75384</v>
      </c>
      <c r="G355" s="260">
        <v>0</v>
      </c>
      <c r="H355" s="260">
        <v>0</v>
      </c>
      <c r="I355" s="260">
        <v>0</v>
      </c>
      <c r="J355" s="269">
        <f t="shared" si="33"/>
        <v>16.41</v>
      </c>
      <c r="K355" s="270">
        <v>0.8</v>
      </c>
      <c r="L355" s="269">
        <f t="shared" si="35"/>
        <v>600.65641152</v>
      </c>
      <c r="M355" s="271">
        <f t="shared" si="36"/>
        <v>600.65641152</v>
      </c>
      <c r="N355" s="271"/>
      <c r="R355" s="243">
        <f t="shared" si="34"/>
        <v>68.63076</v>
      </c>
    </row>
    <row r="356" customHeight="1" spans="1:18">
      <c r="A356" s="262"/>
      <c r="B356" s="282" t="str">
        <f>安装工程!B89</f>
        <v>塑料管</v>
      </c>
      <c r="C356" s="283" t="str">
        <f>安装工程!C89</f>
        <v>1.安装部位:室内
2.介质:给水
3.材质、规格:PP-R管De25
4.连接形式:热熔连接
5.压力试验及吹、洗设计要求:满足设计要求</v>
      </c>
      <c r="D356" s="258">
        <f t="shared" si="32"/>
        <v>617.416875</v>
      </c>
      <c r="E356" s="284">
        <f>安装工程!E89</f>
        <v>12.5</v>
      </c>
      <c r="F356" s="284">
        <v>49.39335</v>
      </c>
      <c r="G356" s="260">
        <v>0</v>
      </c>
      <c r="H356" s="260">
        <v>0</v>
      </c>
      <c r="I356" s="260">
        <v>0</v>
      </c>
      <c r="J356" s="269">
        <f t="shared" si="33"/>
        <v>12.5</v>
      </c>
      <c r="K356" s="270">
        <v>0.8</v>
      </c>
      <c r="L356" s="269">
        <f t="shared" si="35"/>
        <v>493.9335</v>
      </c>
      <c r="M356" s="271">
        <f t="shared" si="36"/>
        <v>493.9335</v>
      </c>
      <c r="N356" s="271"/>
      <c r="R356" s="243">
        <f t="shared" si="34"/>
        <v>74.090025</v>
      </c>
    </row>
    <row r="357" customHeight="1" spans="1:18">
      <c r="A357" s="262"/>
      <c r="B357" s="282" t="str">
        <f>安装工程!B91</f>
        <v>塑料管</v>
      </c>
      <c r="C357" s="283" t="str">
        <f>安装工程!C91</f>
        <v>1.安装部位:室内
2.介质:给水
3.材质、规格:PP-R管De32
4.连接形式:热熔连接
5.压力试验及吹、洗设计要求:满足设计要求</v>
      </c>
      <c r="D357" s="258">
        <f t="shared" si="32"/>
        <v>567.9819306</v>
      </c>
      <c r="E357" s="284">
        <f>安装工程!E91</f>
        <v>10.71</v>
      </c>
      <c r="F357" s="284">
        <v>53.03286</v>
      </c>
      <c r="G357" s="260">
        <v>0</v>
      </c>
      <c r="H357" s="260">
        <v>0</v>
      </c>
      <c r="I357" s="260">
        <v>0</v>
      </c>
      <c r="J357" s="269">
        <f t="shared" si="33"/>
        <v>10.71</v>
      </c>
      <c r="K357" s="270">
        <v>0.8</v>
      </c>
      <c r="L357" s="269">
        <f t="shared" si="35"/>
        <v>454.38554448</v>
      </c>
      <c r="M357" s="271">
        <f t="shared" si="36"/>
        <v>454.38554448</v>
      </c>
      <c r="N357" s="271"/>
      <c r="R357" s="243">
        <f t="shared" si="34"/>
        <v>79.54929</v>
      </c>
    </row>
    <row r="358" customHeight="1" spans="1:18">
      <c r="A358" s="262"/>
      <c r="B358" s="282" t="str">
        <f>安装工程!B93</f>
        <v>塑料管</v>
      </c>
      <c r="C358" s="283" t="str">
        <f>安装工程!C93</f>
        <v>1.安装部位:室内
2.介质:给水
3.材质、规格:PP-R管De50
4.连接形式:热熔连接
5.压力试验及吹、洗设计要求:满足设计要求</v>
      </c>
      <c r="D358" s="258">
        <f t="shared" si="32"/>
        <v>534.9421122</v>
      </c>
      <c r="E358" s="284">
        <f>安装工程!E93</f>
        <v>6.28</v>
      </c>
      <c r="F358" s="284">
        <v>85.181865</v>
      </c>
      <c r="G358" s="260">
        <v>0</v>
      </c>
      <c r="H358" s="260">
        <v>0</v>
      </c>
      <c r="I358" s="260">
        <v>0</v>
      </c>
      <c r="J358" s="269">
        <f t="shared" si="33"/>
        <v>6.28</v>
      </c>
      <c r="K358" s="270">
        <v>0.8</v>
      </c>
      <c r="L358" s="269">
        <f t="shared" si="35"/>
        <v>427.95368976</v>
      </c>
      <c r="M358" s="271">
        <f t="shared" si="36"/>
        <v>427.95368976</v>
      </c>
      <c r="N358" s="271"/>
      <c r="R358" s="243">
        <f t="shared" si="34"/>
        <v>127.7727975</v>
      </c>
    </row>
    <row r="359" customHeight="1" spans="1:18">
      <c r="A359" s="262"/>
      <c r="B359" s="282" t="str">
        <f>安装工程!B95</f>
        <v>螺纹阀门</v>
      </c>
      <c r="C359" s="283" t="str">
        <f>安装工程!C95</f>
        <v>1.名称:铜球阀
2.规格、压力等级:DN25
3.连接形式:螺纹连接</v>
      </c>
      <c r="D359" s="258">
        <f t="shared" si="32"/>
        <v>153.639315</v>
      </c>
      <c r="E359" s="284">
        <f>安装工程!E95</f>
        <v>1</v>
      </c>
      <c r="F359" s="284">
        <v>153.639315</v>
      </c>
      <c r="G359" s="260">
        <v>0</v>
      </c>
      <c r="H359" s="260">
        <v>0</v>
      </c>
      <c r="I359" s="260">
        <v>0</v>
      </c>
      <c r="J359" s="269">
        <f t="shared" ref="J359:J377" si="37">E359</f>
        <v>1</v>
      </c>
      <c r="K359" s="270">
        <v>0.8</v>
      </c>
      <c r="L359" s="269">
        <f t="shared" ref="L359:L377" si="38">J359*F359*K359</f>
        <v>122.911452</v>
      </c>
      <c r="M359" s="271">
        <f t="shared" ref="M359:M377" si="39">L359+I359</f>
        <v>122.911452</v>
      </c>
      <c r="N359" s="271"/>
      <c r="R359" s="243">
        <f t="shared" si="34"/>
        <v>230.4589725</v>
      </c>
    </row>
    <row r="360" customHeight="1" spans="1:18">
      <c r="A360" s="262"/>
      <c r="B360" s="282" t="str">
        <f>安装工程!B96</f>
        <v>螺纹阀门</v>
      </c>
      <c r="C360" s="283" t="str">
        <f>安装工程!C96</f>
        <v>1.名称:铜球阀
2.规格、压力等级:DN40
3.连接形式:螺纹连接</v>
      </c>
      <c r="D360" s="258">
        <f t="shared" si="32"/>
        <v>188.647935</v>
      </c>
      <c r="E360" s="284">
        <f>安装工程!E96</f>
        <v>1</v>
      </c>
      <c r="F360" s="284">
        <v>188.647935</v>
      </c>
      <c r="G360" s="260">
        <v>0</v>
      </c>
      <c r="H360" s="260">
        <v>0</v>
      </c>
      <c r="I360" s="260">
        <v>0</v>
      </c>
      <c r="J360" s="269">
        <f t="shared" si="37"/>
        <v>1</v>
      </c>
      <c r="K360" s="270">
        <v>0.8</v>
      </c>
      <c r="L360" s="269">
        <f t="shared" si="38"/>
        <v>150.918348</v>
      </c>
      <c r="M360" s="271">
        <f t="shared" si="39"/>
        <v>150.918348</v>
      </c>
      <c r="N360" s="271"/>
      <c r="R360" s="243">
        <f t="shared" si="34"/>
        <v>282.9719025</v>
      </c>
    </row>
    <row r="361" customHeight="1" spans="1:18">
      <c r="A361" s="262"/>
      <c r="B361" s="282" t="str">
        <f>安装工程!B97</f>
        <v>通风空调</v>
      </c>
      <c r="C361" s="283"/>
      <c r="D361" s="258">
        <f t="shared" si="32"/>
        <v>0</v>
      </c>
      <c r="E361" s="284">
        <f>安装工程!E97</f>
        <v>0</v>
      </c>
      <c r="F361" s="284">
        <v>0</v>
      </c>
      <c r="G361" s="260">
        <v>0</v>
      </c>
      <c r="H361" s="260">
        <v>0</v>
      </c>
      <c r="I361" s="260">
        <v>0</v>
      </c>
      <c r="J361" s="269">
        <f t="shared" si="37"/>
        <v>0</v>
      </c>
      <c r="K361" s="278"/>
      <c r="L361" s="269"/>
      <c r="M361" s="271"/>
      <c r="N361" s="271"/>
      <c r="R361" s="243">
        <f t="shared" si="34"/>
        <v>0</v>
      </c>
    </row>
    <row r="362" customHeight="1" spans="1:18">
      <c r="A362" s="262"/>
      <c r="B362" s="282" t="str">
        <f>安装工程!B98</f>
        <v>小电器</v>
      </c>
      <c r="C362" s="283" t="str">
        <f>安装工程!C98</f>
        <v>1.名称：BLD-1200
2.规格型号：Q=1200m3/h，P=115Pa， N=70W
3.备注：PQ-1，带止回装置
4.其它说明：满足规范和设计图纸要求</v>
      </c>
      <c r="D362" s="258">
        <f t="shared" si="32"/>
        <v>2445.4041</v>
      </c>
      <c r="E362" s="284">
        <f>安装工程!E98</f>
        <v>2</v>
      </c>
      <c r="F362" s="284">
        <v>1222.70205</v>
      </c>
      <c r="G362" s="260">
        <v>0</v>
      </c>
      <c r="H362" s="260">
        <v>0</v>
      </c>
      <c r="I362" s="260">
        <v>0</v>
      </c>
      <c r="J362" s="269">
        <f t="shared" si="37"/>
        <v>2</v>
      </c>
      <c r="K362" s="270">
        <v>0</v>
      </c>
      <c r="L362" s="269">
        <f t="shared" si="38"/>
        <v>0</v>
      </c>
      <c r="M362" s="271">
        <f t="shared" si="39"/>
        <v>0</v>
      </c>
      <c r="N362" s="271"/>
      <c r="R362" s="243">
        <f t="shared" si="34"/>
        <v>1834.053075</v>
      </c>
    </row>
    <row r="363" customHeight="1" spans="1:18">
      <c r="A363" s="262"/>
      <c r="B363" s="282" t="str">
        <f>安装工程!B99</f>
        <v>防火玻璃挡烟垂壁</v>
      </c>
      <c r="C363" s="283" t="str">
        <f>安装工程!C99</f>
        <v>1.名称:防火玻璃挡烟垂壁
2.安装方式:底距地3.0m
3.其它说明：满足规范和设计图纸要求</v>
      </c>
      <c r="D363" s="258">
        <f t="shared" si="32"/>
        <v>44663.338818</v>
      </c>
      <c r="E363" s="284">
        <f>安装工程!E99</f>
        <v>32.58</v>
      </c>
      <c r="F363" s="284">
        <v>1370.8821</v>
      </c>
      <c r="G363" s="260">
        <v>0</v>
      </c>
      <c r="H363" s="260">
        <v>0</v>
      </c>
      <c r="I363" s="260">
        <v>0</v>
      </c>
      <c r="J363" s="269">
        <f t="shared" si="37"/>
        <v>32.58</v>
      </c>
      <c r="K363" s="270">
        <v>0</v>
      </c>
      <c r="L363" s="269">
        <f t="shared" si="38"/>
        <v>0</v>
      </c>
      <c r="M363" s="271">
        <f t="shared" si="39"/>
        <v>0</v>
      </c>
      <c r="N363" s="271"/>
      <c r="R363" s="243">
        <f t="shared" si="34"/>
        <v>2056.32315</v>
      </c>
    </row>
    <row r="364" customHeight="1" spans="1:18">
      <c r="A364" s="262"/>
      <c r="B364" s="282" t="str">
        <f>安装工程!B100</f>
        <v>空调器</v>
      </c>
      <c r="C364" s="283" t="str">
        <f>安装工程!C100</f>
        <v>1.名称:室内机标准型薄型风管机 KF系列
2.型号、规格:HVR-71KF/G2FZBp 制冷量:7.1KW,制热量:8KW 输入功率:0.12KW
3.外形尺寸：1180x447x192
3.其它说明：满足规范和设计图纸要求</v>
      </c>
      <c r="D364" s="258">
        <f t="shared" si="32"/>
        <v>6639.5061</v>
      </c>
      <c r="E364" s="284">
        <f>安装工程!E100</f>
        <v>1</v>
      </c>
      <c r="F364" s="284">
        <v>6639.5061</v>
      </c>
      <c r="G364" s="260">
        <v>0</v>
      </c>
      <c r="H364" s="260">
        <v>0</v>
      </c>
      <c r="I364" s="260">
        <v>0</v>
      </c>
      <c r="J364" s="269">
        <f t="shared" si="37"/>
        <v>1</v>
      </c>
      <c r="K364" s="270">
        <v>0.8</v>
      </c>
      <c r="L364" s="269">
        <f t="shared" si="38"/>
        <v>5311.60488</v>
      </c>
      <c r="M364" s="271">
        <f t="shared" si="39"/>
        <v>5311.60488</v>
      </c>
      <c r="N364" s="271"/>
      <c r="R364" s="243">
        <f t="shared" si="34"/>
        <v>9959.25915</v>
      </c>
    </row>
    <row r="365" customHeight="1" spans="1:18">
      <c r="A365" s="262"/>
      <c r="B365" s="282" t="str">
        <f>安装工程!B101</f>
        <v>空调器</v>
      </c>
      <c r="C365" s="283" t="str">
        <f>安装工程!C101</f>
        <v>1.名称:室内机标准型薄型风管机 KF系列
2.型号、规格:HVR-63KF/G2FZBp 制冷量:6.3KW,制热量:7.1KW 输入功率:0.12KW
3.外形尺寸：1180x447x192
4.其它说明：满足规范和设计图纸要求</v>
      </c>
      <c r="D365" s="258">
        <f t="shared" si="32"/>
        <v>6114.3768</v>
      </c>
      <c r="E365" s="284">
        <f>安装工程!E101</f>
        <v>1</v>
      </c>
      <c r="F365" s="284">
        <v>6114.3768</v>
      </c>
      <c r="G365" s="260">
        <v>0</v>
      </c>
      <c r="H365" s="260">
        <v>0</v>
      </c>
      <c r="I365" s="260">
        <v>0</v>
      </c>
      <c r="J365" s="269">
        <f t="shared" si="37"/>
        <v>1</v>
      </c>
      <c r="K365" s="270">
        <v>0.8</v>
      </c>
      <c r="L365" s="269">
        <f t="shared" si="38"/>
        <v>4891.50144</v>
      </c>
      <c r="M365" s="271">
        <f t="shared" si="39"/>
        <v>4891.50144</v>
      </c>
      <c r="N365" s="271"/>
      <c r="R365" s="243">
        <f t="shared" si="34"/>
        <v>9171.5652</v>
      </c>
    </row>
    <row r="366" customHeight="1" spans="1:18">
      <c r="A366" s="262"/>
      <c r="B366" s="282" t="str">
        <f>安装工程!B102</f>
        <v>空调器</v>
      </c>
      <c r="C366" s="283" t="str">
        <f>安装工程!C102</f>
        <v>1.名称:室内机标准型薄型风管机 KF系列
2.型号、规格:HVR-50KF/G2FZBp 制冷量:5KW,制热量:5.6KW 输入功率:0.08KW
3.外形尺寸：910x447x192
4.其它说明：满足规范和设计图纸要求</v>
      </c>
      <c r="D366" s="258">
        <f t="shared" si="32"/>
        <v>5939.3337</v>
      </c>
      <c r="E366" s="284">
        <f>安装工程!E102</f>
        <v>1</v>
      </c>
      <c r="F366" s="284">
        <v>5939.3337</v>
      </c>
      <c r="G366" s="260">
        <v>0</v>
      </c>
      <c r="H366" s="260">
        <v>0</v>
      </c>
      <c r="I366" s="260">
        <v>0</v>
      </c>
      <c r="J366" s="269">
        <f t="shared" si="37"/>
        <v>1</v>
      </c>
      <c r="K366" s="270">
        <v>0.8</v>
      </c>
      <c r="L366" s="269">
        <f t="shared" si="38"/>
        <v>4751.46696</v>
      </c>
      <c r="M366" s="271">
        <f t="shared" si="39"/>
        <v>4751.46696</v>
      </c>
      <c r="N366" s="271"/>
      <c r="R366" s="243">
        <f t="shared" si="34"/>
        <v>8909.00055</v>
      </c>
    </row>
    <row r="367" customHeight="1" spans="1:18">
      <c r="A367" s="262"/>
      <c r="B367" s="282" t="str">
        <f>安装工程!B103</f>
        <v>空调器</v>
      </c>
      <c r="C367" s="283" t="str">
        <f>安装工程!C103</f>
        <v>1.名称:室内机标准型薄型风管机 KF系列
2.型号、规格:HVR-45KF/G2FZBp 制冷量:4.5KW,制热量:5KW 输入功率:0.08KW
3.外形尺寸：910x447x192
4.其它说明：满足规范和设计图纸要求</v>
      </c>
      <c r="D367" s="258">
        <f t="shared" si="32"/>
        <v>11703.6243</v>
      </c>
      <c r="E367" s="284">
        <f>安装工程!E103</f>
        <v>2</v>
      </c>
      <c r="F367" s="284">
        <v>5851.81215</v>
      </c>
      <c r="G367" s="260">
        <v>0</v>
      </c>
      <c r="H367" s="260">
        <v>0</v>
      </c>
      <c r="I367" s="260">
        <v>0</v>
      </c>
      <c r="J367" s="269">
        <f t="shared" si="37"/>
        <v>2</v>
      </c>
      <c r="K367" s="270">
        <v>0.8</v>
      </c>
      <c r="L367" s="269">
        <f t="shared" si="38"/>
        <v>9362.89944</v>
      </c>
      <c r="M367" s="271">
        <f t="shared" si="39"/>
        <v>9362.89944</v>
      </c>
      <c r="N367" s="271"/>
      <c r="R367" s="243">
        <f t="shared" si="34"/>
        <v>8777.718225</v>
      </c>
    </row>
    <row r="368" customHeight="1" spans="1:18">
      <c r="A368" s="262"/>
      <c r="B368" s="282" t="str">
        <f>安装工程!B104</f>
        <v>空调器</v>
      </c>
      <c r="C368" s="283" t="str">
        <f>安装工程!C104</f>
        <v>1.名称:室内机标准型薄型风管机 KF系列
2.型号、规格:HVR-40KF/G2FZBp 制冷量:4KW,制热量:4.5KW 输入功率:0.08KW
3.外形尺寸：910x447x192
4.其它说明：满足规范和设计图纸要求</v>
      </c>
      <c r="D368" s="258">
        <f t="shared" si="32"/>
        <v>5764.2906</v>
      </c>
      <c r="E368" s="284">
        <f>安装工程!E104</f>
        <v>1</v>
      </c>
      <c r="F368" s="284">
        <v>5764.2906</v>
      </c>
      <c r="G368" s="260">
        <v>0</v>
      </c>
      <c r="H368" s="260">
        <v>0</v>
      </c>
      <c r="I368" s="260">
        <v>0</v>
      </c>
      <c r="J368" s="269">
        <f t="shared" si="37"/>
        <v>1</v>
      </c>
      <c r="K368" s="270">
        <v>0.8</v>
      </c>
      <c r="L368" s="269">
        <f t="shared" si="38"/>
        <v>4611.43248</v>
      </c>
      <c r="M368" s="271">
        <f t="shared" si="39"/>
        <v>4611.43248</v>
      </c>
      <c r="N368" s="271"/>
      <c r="R368" s="243">
        <f t="shared" si="34"/>
        <v>8646.4359</v>
      </c>
    </row>
    <row r="369" customHeight="1" spans="1:18">
      <c r="A369" s="262"/>
      <c r="B369" s="282" t="str">
        <f>安装工程!B105</f>
        <v>空调器</v>
      </c>
      <c r="C369" s="283" t="str">
        <f>安装工程!C105</f>
        <v>1.名称:室内机标准型薄型风管机 KF系列
2.型号、规格:HVR-32KF/G2FZBp 制冷量:3.2KW,制热量:3.6KW 输入功率:0.07KW
3.外形尺寸：700x447x192
4.其它说明：满足规范和设计图纸要求</v>
      </c>
      <c r="D369" s="258">
        <f t="shared" si="32"/>
        <v>5676.76905</v>
      </c>
      <c r="E369" s="284">
        <f>安装工程!E105</f>
        <v>1</v>
      </c>
      <c r="F369" s="284">
        <v>5676.76905</v>
      </c>
      <c r="G369" s="260">
        <v>0</v>
      </c>
      <c r="H369" s="260">
        <v>0</v>
      </c>
      <c r="I369" s="260">
        <v>0</v>
      </c>
      <c r="J369" s="269">
        <f t="shared" si="37"/>
        <v>1</v>
      </c>
      <c r="K369" s="270">
        <v>0.8</v>
      </c>
      <c r="L369" s="269">
        <f t="shared" si="38"/>
        <v>4541.41524</v>
      </c>
      <c r="M369" s="271">
        <f t="shared" si="39"/>
        <v>4541.41524</v>
      </c>
      <c r="N369" s="271"/>
      <c r="R369" s="243">
        <f t="shared" si="34"/>
        <v>8515.153575</v>
      </c>
    </row>
    <row r="370" customHeight="1" spans="1:18">
      <c r="A370" s="262"/>
      <c r="B370" s="282" t="str">
        <f>安装工程!B106</f>
        <v>空调器</v>
      </c>
      <c r="C370" s="283" t="str">
        <f>安装工程!C106</f>
        <v>1.名称:室内机标准型薄型风管机 KF系列
2.型号、规格:HVR-28KF/G2FZBp 制冷量:2.8KW,制热量:3.2KW 输入功率:0.07KW
3.外形尺寸：700x447x192
4.其它说明：满足规范和设计图纸要求</v>
      </c>
      <c r="D370" s="258">
        <f t="shared" si="32"/>
        <v>5676.76905</v>
      </c>
      <c r="E370" s="284">
        <f>安装工程!E106</f>
        <v>1</v>
      </c>
      <c r="F370" s="284">
        <v>5676.76905</v>
      </c>
      <c r="G370" s="260">
        <v>0</v>
      </c>
      <c r="H370" s="260">
        <v>0</v>
      </c>
      <c r="I370" s="260">
        <v>0</v>
      </c>
      <c r="J370" s="269">
        <f t="shared" si="37"/>
        <v>1</v>
      </c>
      <c r="K370" s="270">
        <v>0.8</v>
      </c>
      <c r="L370" s="269">
        <f t="shared" si="38"/>
        <v>4541.41524</v>
      </c>
      <c r="M370" s="271">
        <f t="shared" si="39"/>
        <v>4541.41524</v>
      </c>
      <c r="N370" s="271"/>
      <c r="R370" s="243">
        <f t="shared" si="34"/>
        <v>8515.153575</v>
      </c>
    </row>
    <row r="371" customHeight="1" spans="1:18">
      <c r="A371" s="262"/>
      <c r="B371" s="282" t="str">
        <f>安装工程!B107</f>
        <v>空调器</v>
      </c>
      <c r="C371" s="283" t="str">
        <f>安装工程!C107</f>
        <v>1.名称:室内机标准型薄型风管机 KF系列
2.型号、规格:HVR-25KF/G2FZBp 制冷量:2.5KW,制热量:2.8KW 输入功率:0.05KW
3.外形尺寸：700x447x192
4.其它说明：满足规范和设计图纸要求</v>
      </c>
      <c r="D371" s="258">
        <f t="shared" si="32"/>
        <v>5676.76905</v>
      </c>
      <c r="E371" s="284">
        <f>安装工程!E107</f>
        <v>1</v>
      </c>
      <c r="F371" s="284">
        <v>5676.76905</v>
      </c>
      <c r="G371" s="260">
        <v>0</v>
      </c>
      <c r="H371" s="260">
        <v>0</v>
      </c>
      <c r="I371" s="260">
        <v>0</v>
      </c>
      <c r="J371" s="269">
        <f t="shared" si="37"/>
        <v>1</v>
      </c>
      <c r="K371" s="270">
        <v>0.8</v>
      </c>
      <c r="L371" s="269">
        <f t="shared" si="38"/>
        <v>4541.41524</v>
      </c>
      <c r="M371" s="271">
        <f t="shared" si="39"/>
        <v>4541.41524</v>
      </c>
      <c r="N371" s="271"/>
      <c r="R371" s="243">
        <f t="shared" si="34"/>
        <v>8515.153575</v>
      </c>
    </row>
    <row r="372" customHeight="1" spans="1:18">
      <c r="A372" s="262"/>
      <c r="B372" s="282" t="str">
        <f>安装工程!B108</f>
        <v>空调器</v>
      </c>
      <c r="C372" s="283" t="str">
        <f>安装工程!C108</f>
        <v>1.名称:室内机标准型薄型风管机 KF系列
2.型号、规格:HVR-22KF/G2FZBp 制冷量:2.2KW,制热量:2.5KW 输入功率:0.05KW
3.外形尺寸：700x447x192
4.其它说明：满足规范和设计图纸要求</v>
      </c>
      <c r="D372" s="258">
        <f t="shared" si="32"/>
        <v>5676.76905</v>
      </c>
      <c r="E372" s="284">
        <f>安装工程!E108</f>
        <v>1</v>
      </c>
      <c r="F372" s="284">
        <v>5676.76905</v>
      </c>
      <c r="G372" s="260">
        <v>0</v>
      </c>
      <c r="H372" s="260">
        <v>0</v>
      </c>
      <c r="I372" s="260">
        <v>0</v>
      </c>
      <c r="J372" s="269">
        <f t="shared" si="37"/>
        <v>1</v>
      </c>
      <c r="K372" s="270">
        <v>0.8</v>
      </c>
      <c r="L372" s="269">
        <f t="shared" si="38"/>
        <v>4541.41524</v>
      </c>
      <c r="M372" s="271">
        <f t="shared" si="39"/>
        <v>4541.41524</v>
      </c>
      <c r="N372" s="271"/>
      <c r="R372" s="243">
        <f t="shared" si="34"/>
        <v>8515.153575</v>
      </c>
    </row>
    <row r="373" customHeight="1" spans="1:18">
      <c r="A373" s="262"/>
      <c r="B373" s="282" t="str">
        <f>安装工程!B109</f>
        <v>空调器</v>
      </c>
      <c r="C373" s="283" t="str">
        <f>安装工程!C109</f>
        <v>1.名称:室内机低静压风管机 F系列
2.型号、规格:HVR-36F/G2FZBp 制冷量:3.6KW,制热量:4KW 输入功率:0.11KW
3.外形尺寸：720x650x270
4.其它说明：满足规范和设计图纸要求</v>
      </c>
      <c r="D373" s="258">
        <f t="shared" si="32"/>
        <v>5676.76905</v>
      </c>
      <c r="E373" s="284">
        <f>安装工程!E109</f>
        <v>1</v>
      </c>
      <c r="F373" s="284">
        <v>5676.76905</v>
      </c>
      <c r="G373" s="260">
        <v>0</v>
      </c>
      <c r="H373" s="260">
        <v>0</v>
      </c>
      <c r="I373" s="260">
        <v>0</v>
      </c>
      <c r="J373" s="269">
        <f t="shared" si="37"/>
        <v>1</v>
      </c>
      <c r="K373" s="270">
        <v>0.8</v>
      </c>
      <c r="L373" s="269">
        <f t="shared" si="38"/>
        <v>4541.41524</v>
      </c>
      <c r="M373" s="271">
        <f t="shared" si="39"/>
        <v>4541.41524</v>
      </c>
      <c r="N373" s="271"/>
      <c r="R373" s="243">
        <f t="shared" si="34"/>
        <v>8515.153575</v>
      </c>
    </row>
    <row r="374" customHeight="1" spans="1:18">
      <c r="A374" s="262"/>
      <c r="B374" s="282" t="str">
        <f>安装工程!B110</f>
        <v>空调器</v>
      </c>
      <c r="C374" s="283" t="str">
        <f>安装工程!C110</f>
        <v>1.名称:室内机低静压风管机 F系列
2.型号、规格:HVR-160F/G2FZBp 制冷量:2.216KW,制热量:18KW 输入功率:0.36KW
3.外形尺寸：800x1400x300
4.其它说明：满足规范和设计图纸要求</v>
      </c>
      <c r="D374" s="258">
        <f t="shared" si="32"/>
        <v>109081.314</v>
      </c>
      <c r="E374" s="284">
        <f>安装工程!E110</f>
        <v>12</v>
      </c>
      <c r="F374" s="284">
        <v>9090.1095</v>
      </c>
      <c r="G374" s="260">
        <v>0</v>
      </c>
      <c r="H374" s="260">
        <v>0</v>
      </c>
      <c r="I374" s="260">
        <v>0</v>
      </c>
      <c r="J374" s="269">
        <f t="shared" si="37"/>
        <v>12</v>
      </c>
      <c r="K374" s="270">
        <v>0.8</v>
      </c>
      <c r="L374" s="269">
        <f t="shared" si="38"/>
        <v>87265.0512</v>
      </c>
      <c r="M374" s="271">
        <f t="shared" si="39"/>
        <v>87265.0512</v>
      </c>
      <c r="N374" s="271"/>
      <c r="R374" s="243">
        <f t="shared" si="34"/>
        <v>13635.16425</v>
      </c>
    </row>
    <row r="375" customHeight="1" spans="1:18">
      <c r="A375" s="262"/>
      <c r="B375" s="282" t="str">
        <f>安装工程!B111</f>
        <v>复合型风管</v>
      </c>
      <c r="C375" s="283" t="str">
        <f>安装工程!C111</f>
        <v>1.名称:空调管道
2.材质:GK-Ⅱ节能不燃型玻镁复合风管（含保温层）
3.形状:矩形
4.规格:长边长≤2000mm
5.板材厚度:δ=0.5mm
6.其它说明：满足规范和设计图纸要求</v>
      </c>
      <c r="D375" s="258">
        <f t="shared" si="32"/>
        <v>14585.51396775</v>
      </c>
      <c r="E375" s="284">
        <f>安装工程!E111</f>
        <v>71.17</v>
      </c>
      <c r="F375" s="284">
        <v>204.939075</v>
      </c>
      <c r="G375" s="260">
        <v>0</v>
      </c>
      <c r="H375" s="260">
        <v>0</v>
      </c>
      <c r="I375" s="260">
        <v>0</v>
      </c>
      <c r="J375" s="269">
        <f t="shared" si="37"/>
        <v>71.17</v>
      </c>
      <c r="K375" s="270">
        <v>0.8</v>
      </c>
      <c r="L375" s="269">
        <f t="shared" si="38"/>
        <v>11668.4111742</v>
      </c>
      <c r="M375" s="271">
        <f t="shared" si="39"/>
        <v>11668.4111742</v>
      </c>
      <c r="N375" s="271"/>
      <c r="R375" s="243">
        <f t="shared" si="34"/>
        <v>307.4086125</v>
      </c>
    </row>
    <row r="376" customHeight="1" spans="1:18">
      <c r="A376" s="262"/>
      <c r="B376" s="282" t="str">
        <f>安装工程!B113</f>
        <v>复合型风管</v>
      </c>
      <c r="C376" s="283" t="str">
        <f>安装工程!C113</f>
        <v>1.名称:空调管道
2.材质:GK-Ⅱ节能不燃型玻镁复合风管（含保温层）
3.形状:矩形
4.规格:长边长≤1000mm
5.板材厚度:δ=0.5mm
6.其它说明：满足规范和设计图纸要求</v>
      </c>
      <c r="D376" s="258">
        <f t="shared" si="32"/>
        <v>11117.94481875</v>
      </c>
      <c r="E376" s="284">
        <f>安装工程!E113</f>
        <v>54.25</v>
      </c>
      <c r="F376" s="284">
        <v>204.939075</v>
      </c>
      <c r="G376" s="260">
        <v>0</v>
      </c>
      <c r="H376" s="260">
        <v>0</v>
      </c>
      <c r="I376" s="260">
        <v>0</v>
      </c>
      <c r="J376" s="269">
        <f t="shared" si="37"/>
        <v>54.25</v>
      </c>
      <c r="K376" s="270">
        <v>0.8</v>
      </c>
      <c r="L376" s="269">
        <f t="shared" si="38"/>
        <v>8894.355855</v>
      </c>
      <c r="M376" s="271">
        <f t="shared" si="39"/>
        <v>8894.355855</v>
      </c>
      <c r="N376" s="271"/>
      <c r="R376" s="243">
        <f t="shared" si="34"/>
        <v>307.4086125</v>
      </c>
    </row>
    <row r="377" customHeight="1" spans="1:18">
      <c r="A377" s="262"/>
      <c r="B377" s="282" t="str">
        <f>安装工程!B115</f>
        <v>复合型风管</v>
      </c>
      <c r="C377" s="283" t="str">
        <f>安装工程!C115</f>
        <v>1.名称:空调管道
2.材质:GK-Ⅱ节能不燃型玻镁复合风管（含保温层）
3.形状:矩形
4.规格:长边长≤600mm
5.板材厚度:δ=0.5mm
6.其它说明：满足规范和设计图纸要求</v>
      </c>
      <c r="D377" s="258">
        <f t="shared" si="32"/>
        <v>2198.99627475</v>
      </c>
      <c r="E377" s="284">
        <f>安装工程!E115</f>
        <v>10.73</v>
      </c>
      <c r="F377" s="284">
        <v>204.939075</v>
      </c>
      <c r="G377" s="260">
        <v>0</v>
      </c>
      <c r="H377" s="260">
        <v>0</v>
      </c>
      <c r="I377" s="260">
        <v>0</v>
      </c>
      <c r="J377" s="269">
        <f t="shared" si="37"/>
        <v>10.73</v>
      </c>
      <c r="K377" s="270">
        <v>0.8</v>
      </c>
      <c r="L377" s="269">
        <f t="shared" si="38"/>
        <v>1759.1970198</v>
      </c>
      <c r="M377" s="271">
        <f t="shared" si="39"/>
        <v>1759.1970198</v>
      </c>
      <c r="N377" s="271"/>
      <c r="R377" s="243">
        <f t="shared" si="34"/>
        <v>307.4086125</v>
      </c>
    </row>
    <row r="378" customHeight="1" spans="1:18">
      <c r="A378" s="262"/>
      <c r="B378" s="282" t="str">
        <f>安装工程!B117</f>
        <v>弯头导流叶片</v>
      </c>
      <c r="C378" s="283" t="str">
        <f>安装工程!C117</f>
        <v>1.名称:风管软接头
2.其它说明：满足规范和设计图纸要求</v>
      </c>
      <c r="D378" s="258">
        <f t="shared" si="32"/>
        <v>14057.902002</v>
      </c>
      <c r="E378" s="284">
        <f>安装工程!E117</f>
        <v>18.82</v>
      </c>
      <c r="F378" s="284">
        <v>746.9661</v>
      </c>
      <c r="G378" s="260">
        <v>0</v>
      </c>
      <c r="H378" s="260">
        <v>0</v>
      </c>
      <c r="I378" s="260">
        <v>0</v>
      </c>
      <c r="J378" s="269">
        <f t="shared" ref="J378:J390" si="40">E378</f>
        <v>18.82</v>
      </c>
      <c r="K378" s="270">
        <v>0.8</v>
      </c>
      <c r="L378" s="269">
        <f t="shared" ref="L378:L390" si="41">J378*F378*K378</f>
        <v>11246.3216016</v>
      </c>
      <c r="M378" s="271">
        <f t="shared" ref="M378:M390" si="42">L378+I378</f>
        <v>11246.3216016</v>
      </c>
      <c r="N378" s="271"/>
      <c r="R378" s="243">
        <f t="shared" si="34"/>
        <v>1120.44915</v>
      </c>
    </row>
    <row r="379" customHeight="1" spans="1:18">
      <c r="A379" s="262"/>
      <c r="B379" s="282" t="str">
        <f>安装工程!B118</f>
        <v>铜管</v>
      </c>
      <c r="C379" s="283" t="str">
        <f>安装工程!C118</f>
        <v>1.安装部位:室内
2.介质:空调水
3.材质、规格:铜管φ41.3
4.连接形式:氧乙炔焊
5.含氮气置换
6.其它说明：满足规范和设计图纸要求</v>
      </c>
      <c r="D379" s="258">
        <f t="shared" si="32"/>
        <v>8476.5834345</v>
      </c>
      <c r="E379" s="284">
        <f>安装工程!E118</f>
        <v>51.62</v>
      </c>
      <c r="F379" s="284">
        <v>164.211225</v>
      </c>
      <c r="G379" s="260">
        <v>0</v>
      </c>
      <c r="H379" s="260">
        <v>0</v>
      </c>
      <c r="I379" s="260">
        <v>0</v>
      </c>
      <c r="J379" s="269">
        <f t="shared" si="40"/>
        <v>51.62</v>
      </c>
      <c r="K379" s="270">
        <v>0.7</v>
      </c>
      <c r="L379" s="269">
        <f t="shared" si="41"/>
        <v>5933.60840415</v>
      </c>
      <c r="M379" s="271">
        <f t="shared" si="42"/>
        <v>5933.60840415</v>
      </c>
      <c r="N379" s="271"/>
      <c r="R379" s="243">
        <f t="shared" si="34"/>
        <v>246.3168375</v>
      </c>
    </row>
    <row r="380" customHeight="1" spans="1:18">
      <c r="A380" s="262"/>
      <c r="B380" s="282" t="str">
        <f>安装工程!B119</f>
        <v>铜管</v>
      </c>
      <c r="C380" s="283" t="str">
        <f>安装工程!C119</f>
        <v>1.安装部位:室内
2.介质:空调水
3.材质、规格:铜管φ38.1
4.连接形式:氧乙炔焊
5.含氮气置换
6.其它说明：满足规范和设计图纸要求</v>
      </c>
      <c r="D380" s="258">
        <f t="shared" si="32"/>
        <v>1119.3850266</v>
      </c>
      <c r="E380" s="284">
        <f>安装工程!E119</f>
        <v>7.39</v>
      </c>
      <c r="F380" s="284">
        <v>151.47294</v>
      </c>
      <c r="G380" s="260">
        <v>0</v>
      </c>
      <c r="H380" s="260">
        <v>0</v>
      </c>
      <c r="I380" s="260">
        <v>0</v>
      </c>
      <c r="J380" s="269">
        <f t="shared" si="40"/>
        <v>7.39</v>
      </c>
      <c r="K380" s="270">
        <v>0.7</v>
      </c>
      <c r="L380" s="269">
        <f t="shared" si="41"/>
        <v>783.56951862</v>
      </c>
      <c r="M380" s="271">
        <f t="shared" si="42"/>
        <v>783.56951862</v>
      </c>
      <c r="N380" s="271"/>
      <c r="R380" s="243">
        <f t="shared" si="34"/>
        <v>227.20941</v>
      </c>
    </row>
    <row r="381" customHeight="1" spans="1:18">
      <c r="A381" s="262"/>
      <c r="B381" s="282" t="str">
        <f>安装工程!B120</f>
        <v>铜管</v>
      </c>
      <c r="C381" s="283" t="str">
        <f>安装工程!C120</f>
        <v>1.安装部位:室内
2.介质:空调水
3.材质、规格:铜管φ31.75
4.连接形式:氧乙炔焊
5.含氮气置换
6.其它说明：满足规范和设计图纸要求</v>
      </c>
      <c r="D381" s="258">
        <f t="shared" si="32"/>
        <v>5710.7256783</v>
      </c>
      <c r="E381" s="284">
        <f>安装工程!E120</f>
        <v>40.63</v>
      </c>
      <c r="F381" s="284">
        <v>140.55441</v>
      </c>
      <c r="G381" s="260">
        <v>0</v>
      </c>
      <c r="H381" s="260">
        <v>0</v>
      </c>
      <c r="I381" s="260">
        <v>0</v>
      </c>
      <c r="J381" s="269">
        <f t="shared" si="40"/>
        <v>40.63</v>
      </c>
      <c r="K381" s="270">
        <v>0.7</v>
      </c>
      <c r="L381" s="269">
        <f t="shared" si="41"/>
        <v>3997.50797481</v>
      </c>
      <c r="M381" s="271">
        <f t="shared" si="42"/>
        <v>3997.50797481</v>
      </c>
      <c r="N381" s="271"/>
      <c r="R381" s="243">
        <f t="shared" si="34"/>
        <v>210.831615</v>
      </c>
    </row>
    <row r="382" customHeight="1" spans="1:18">
      <c r="A382" s="262"/>
      <c r="B382" s="282" t="str">
        <f>安装工程!B121</f>
        <v>铜管</v>
      </c>
      <c r="C382" s="283" t="str">
        <f>安装工程!C121</f>
        <v>1.安装部位:室内
2.介质:空调水
3.材质、规格:铜管φ28.6
4.连接形式:氧乙炔焊
5.含氮气置换
6.其它说明：满足规范和设计图纸要求</v>
      </c>
      <c r="D382" s="258">
        <f t="shared" si="32"/>
        <v>5030.84268</v>
      </c>
      <c r="E382" s="284">
        <f>安装工程!E121</f>
        <v>39.36</v>
      </c>
      <c r="F382" s="284">
        <v>127.816125</v>
      </c>
      <c r="G382" s="260">
        <v>0</v>
      </c>
      <c r="H382" s="260">
        <v>0</v>
      </c>
      <c r="I382" s="260">
        <v>0</v>
      </c>
      <c r="J382" s="269">
        <f t="shared" si="40"/>
        <v>39.36</v>
      </c>
      <c r="K382" s="270">
        <v>0.7</v>
      </c>
      <c r="L382" s="269">
        <f t="shared" si="41"/>
        <v>3521.589876</v>
      </c>
      <c r="M382" s="271">
        <f t="shared" si="42"/>
        <v>3521.589876</v>
      </c>
      <c r="N382" s="271"/>
      <c r="R382" s="243">
        <f t="shared" si="34"/>
        <v>191.7241875</v>
      </c>
    </row>
    <row r="383" customHeight="1" spans="1:18">
      <c r="A383" s="262"/>
      <c r="B383" s="282" t="str">
        <f>安装工程!B122</f>
        <v>铜管</v>
      </c>
      <c r="C383" s="283" t="str">
        <f>安装工程!C122</f>
        <v>1.安装部位:室内
2.介质:空调水
3.材质、规格:铜管φ25.4
4.连接形式:氧乙炔焊
5.含氮气置换
6.其它说明：满足规范和设计图纸要求</v>
      </c>
      <c r="D383" s="258">
        <f t="shared" si="32"/>
        <v>1301.28513675</v>
      </c>
      <c r="E383" s="284">
        <f>安装工程!E122</f>
        <v>12.89</v>
      </c>
      <c r="F383" s="284">
        <v>100.953075</v>
      </c>
      <c r="G383" s="260">
        <v>0</v>
      </c>
      <c r="H383" s="260">
        <v>0</v>
      </c>
      <c r="I383" s="260">
        <v>0</v>
      </c>
      <c r="J383" s="269">
        <f t="shared" si="40"/>
        <v>12.89</v>
      </c>
      <c r="K383" s="270">
        <v>0.7</v>
      </c>
      <c r="L383" s="269">
        <f t="shared" si="41"/>
        <v>910.899595725</v>
      </c>
      <c r="M383" s="271">
        <f t="shared" si="42"/>
        <v>910.899595725</v>
      </c>
      <c r="N383" s="271"/>
      <c r="R383" s="243">
        <f t="shared" si="34"/>
        <v>151.4296125</v>
      </c>
    </row>
    <row r="384" customHeight="1" spans="1:18">
      <c r="A384" s="262"/>
      <c r="B384" s="282" t="str">
        <f>安装工程!B123</f>
        <v>铜管</v>
      </c>
      <c r="C384" s="283" t="str">
        <f>安装工程!C123</f>
        <v>1.安装部位:室内
2.介质:空调水
3.材质、规格:铜管φ22.2
4.连接形式:氧乙炔焊
5.含氮气置换
6.其它说明：满足规范和设计图纸要求</v>
      </c>
      <c r="D384" s="258">
        <f t="shared" si="32"/>
        <v>5635.0897281</v>
      </c>
      <c r="E384" s="284">
        <f>安装工程!E123</f>
        <v>59.01</v>
      </c>
      <c r="F384" s="284">
        <v>95.49381</v>
      </c>
      <c r="G384" s="260">
        <v>0</v>
      </c>
      <c r="H384" s="260">
        <v>0</v>
      </c>
      <c r="I384" s="260">
        <v>0</v>
      </c>
      <c r="J384" s="269">
        <f t="shared" si="40"/>
        <v>59.01</v>
      </c>
      <c r="K384" s="270">
        <v>0.7</v>
      </c>
      <c r="L384" s="269">
        <f t="shared" si="41"/>
        <v>3944.56280967</v>
      </c>
      <c r="M384" s="271">
        <f t="shared" si="42"/>
        <v>3944.56280967</v>
      </c>
      <c r="N384" s="271"/>
      <c r="R384" s="243">
        <f t="shared" si="34"/>
        <v>143.240715</v>
      </c>
    </row>
    <row r="385" customHeight="1" spans="1:18">
      <c r="A385" s="262"/>
      <c r="B385" s="282" t="str">
        <f>安装工程!B124</f>
        <v>铜管</v>
      </c>
      <c r="C385" s="283" t="str">
        <f>安装工程!C124</f>
        <v>1.安装部位:室内
2.介质:空调水
3.材质、规格:铜管φ19.05
4.连接形式:氧乙炔焊
5.含氮气置换
6.其它说明：满足规范和设计图纸要求</v>
      </c>
      <c r="D385" s="258">
        <f t="shared" si="32"/>
        <v>4400.9388195</v>
      </c>
      <c r="E385" s="284">
        <f>安装工程!E124</f>
        <v>53.18</v>
      </c>
      <c r="F385" s="284">
        <v>82.755525</v>
      </c>
      <c r="G385" s="260">
        <v>0</v>
      </c>
      <c r="H385" s="260">
        <v>0</v>
      </c>
      <c r="I385" s="260">
        <v>0</v>
      </c>
      <c r="J385" s="269">
        <f t="shared" si="40"/>
        <v>53.18</v>
      </c>
      <c r="K385" s="270">
        <v>0.7</v>
      </c>
      <c r="L385" s="269">
        <f t="shared" si="41"/>
        <v>3080.65717365</v>
      </c>
      <c r="M385" s="271">
        <f t="shared" si="42"/>
        <v>3080.65717365</v>
      </c>
      <c r="N385" s="271"/>
      <c r="R385" s="243">
        <f t="shared" si="34"/>
        <v>124.1332875</v>
      </c>
    </row>
    <row r="386" customHeight="1" spans="1:18">
      <c r="A386" s="262"/>
      <c r="B386" s="282" t="str">
        <f>安装工程!B125</f>
        <v>铜管</v>
      </c>
      <c r="C386" s="283" t="str">
        <f>安装工程!C125</f>
        <v>1.安装部位:室内
2.介质:空调水
3.材质、规格:铜管φ15.88
4.连接形式:氧乙炔焊
5.含氮气置换
6.其它说明：满足规范和设计图纸要求</v>
      </c>
      <c r="D386" s="258">
        <f t="shared" si="32"/>
        <v>11093.5592352</v>
      </c>
      <c r="E386" s="284">
        <f>安装工程!E125</f>
        <v>143.52</v>
      </c>
      <c r="F386" s="284">
        <v>77.29626</v>
      </c>
      <c r="G386" s="260">
        <v>0</v>
      </c>
      <c r="H386" s="260">
        <v>0</v>
      </c>
      <c r="I386" s="260">
        <v>0</v>
      </c>
      <c r="J386" s="269">
        <f t="shared" si="40"/>
        <v>143.52</v>
      </c>
      <c r="K386" s="270">
        <v>0.7</v>
      </c>
      <c r="L386" s="269">
        <f t="shared" si="41"/>
        <v>7765.49146464</v>
      </c>
      <c r="M386" s="271">
        <f t="shared" si="42"/>
        <v>7765.49146464</v>
      </c>
      <c r="N386" s="271"/>
      <c r="R386" s="243">
        <f t="shared" si="34"/>
        <v>115.94439</v>
      </c>
    </row>
    <row r="387" customHeight="1" spans="1:18">
      <c r="A387" s="262"/>
      <c r="B387" s="282" t="str">
        <f>安装工程!B126</f>
        <v>铜管</v>
      </c>
      <c r="C387" s="283" t="str">
        <f>安装工程!C126</f>
        <v>1.安装部位:室内
2.介质:空调水
3.材质、规格:铜管φ12.7
4.连接形式:氧乙炔焊
5.含氮气置换
6.其它说明：满足规范和设计图纸要求</v>
      </c>
      <c r="D387" s="258">
        <f t="shared" si="32"/>
        <v>1882.510551</v>
      </c>
      <c r="E387" s="284">
        <f>安装工程!E126</f>
        <v>29.16</v>
      </c>
      <c r="F387" s="284">
        <v>64.557975</v>
      </c>
      <c r="G387" s="260">
        <v>0</v>
      </c>
      <c r="H387" s="260">
        <v>0</v>
      </c>
      <c r="I387" s="260">
        <v>0</v>
      </c>
      <c r="J387" s="269">
        <f t="shared" si="40"/>
        <v>29.16</v>
      </c>
      <c r="K387" s="270">
        <v>0.7</v>
      </c>
      <c r="L387" s="269">
        <f t="shared" si="41"/>
        <v>1317.7573857</v>
      </c>
      <c r="M387" s="271">
        <f t="shared" si="42"/>
        <v>1317.7573857</v>
      </c>
      <c r="N387" s="271"/>
      <c r="R387" s="243">
        <f t="shared" si="34"/>
        <v>96.8369625</v>
      </c>
    </row>
    <row r="388" customHeight="1" spans="1:18">
      <c r="A388" s="262"/>
      <c r="B388" s="282" t="str">
        <f>安装工程!B127</f>
        <v>铜管</v>
      </c>
      <c r="C388" s="283" t="str">
        <f>安装工程!C127</f>
        <v>1.安装部位:室内
2.介质:空调水
3.材质、规格:铜管φ9.53
4.连接形式:氧乙炔焊
5.含氮气置换
6.其它说明：满足规范和设计图纸要求</v>
      </c>
      <c r="D388" s="258">
        <f t="shared" si="32"/>
        <v>5982.383904</v>
      </c>
      <c r="E388" s="284">
        <f>安装工程!E127</f>
        <v>107.87</v>
      </c>
      <c r="F388" s="284">
        <v>55.4592</v>
      </c>
      <c r="G388" s="260">
        <v>0</v>
      </c>
      <c r="H388" s="260">
        <v>0</v>
      </c>
      <c r="I388" s="260">
        <v>0</v>
      </c>
      <c r="J388" s="269">
        <f t="shared" si="40"/>
        <v>107.87</v>
      </c>
      <c r="K388" s="270">
        <v>0.7</v>
      </c>
      <c r="L388" s="269">
        <f t="shared" si="41"/>
        <v>4187.6687328</v>
      </c>
      <c r="M388" s="271">
        <f t="shared" si="42"/>
        <v>4187.6687328</v>
      </c>
      <c r="N388" s="271"/>
      <c r="R388" s="243">
        <f t="shared" si="34"/>
        <v>83.1888</v>
      </c>
    </row>
    <row r="389" customHeight="1" spans="1:18">
      <c r="A389" s="262"/>
      <c r="B389" s="282" t="str">
        <f>安装工程!B128</f>
        <v>塑料管</v>
      </c>
      <c r="C389" s="283" t="str">
        <f>安装工程!C128</f>
        <v>1.安装部位:室内
2.介质:空调冷凝水
3.材质、规格:硬聚氯乙稀管PVC-U De63
4.连接形式:粘接连接
5.含成品管卡
6.其它说明：满足规范和设计图纸要求</v>
      </c>
      <c r="D389" s="258">
        <f t="shared" si="32"/>
        <v>10766.2009086</v>
      </c>
      <c r="E389" s="284">
        <f>安装工程!E128</f>
        <v>102.51</v>
      </c>
      <c r="F389" s="284">
        <v>105.02586</v>
      </c>
      <c r="G389" s="260">
        <v>0</v>
      </c>
      <c r="H389" s="260">
        <v>0</v>
      </c>
      <c r="I389" s="260">
        <v>0</v>
      </c>
      <c r="J389" s="269">
        <f t="shared" si="40"/>
        <v>102.51</v>
      </c>
      <c r="K389" s="270">
        <v>0.7</v>
      </c>
      <c r="L389" s="269">
        <f t="shared" si="41"/>
        <v>7536.34063602</v>
      </c>
      <c r="M389" s="271">
        <f t="shared" si="42"/>
        <v>7536.34063602</v>
      </c>
      <c r="N389" s="271"/>
      <c r="R389" s="243">
        <f t="shared" si="34"/>
        <v>157.53879</v>
      </c>
    </row>
    <row r="390" customHeight="1" spans="1:18">
      <c r="A390" s="262"/>
      <c r="B390" s="282" t="str">
        <f>安装工程!B131</f>
        <v>塑料管</v>
      </c>
      <c r="C390" s="283" t="str">
        <f>安装工程!C131</f>
        <v>1.安装部位:室内
2.介质:空调冷凝水
3.材质、规格:硬聚氯乙稀管PVC-U De32
4.连接形式:粘接连接
5.含成品管卡
6.其它说明：满足规范和设计图纸要求</v>
      </c>
      <c r="D390" s="258">
        <f t="shared" si="32"/>
        <v>7337.9367345</v>
      </c>
      <c r="E390" s="284">
        <f>安装工程!E131</f>
        <v>101.05</v>
      </c>
      <c r="F390" s="284">
        <v>72.61689</v>
      </c>
      <c r="G390" s="260">
        <v>0</v>
      </c>
      <c r="H390" s="260">
        <v>0</v>
      </c>
      <c r="I390" s="260">
        <v>0</v>
      </c>
      <c r="J390" s="269">
        <f t="shared" si="40"/>
        <v>101.05</v>
      </c>
      <c r="K390" s="270">
        <v>0.7</v>
      </c>
      <c r="L390" s="269">
        <f t="shared" si="41"/>
        <v>5136.55571415</v>
      </c>
      <c r="M390" s="271">
        <f t="shared" si="42"/>
        <v>5136.55571415</v>
      </c>
      <c r="N390" s="271"/>
      <c r="R390" s="243">
        <f t="shared" si="34"/>
        <v>108.925335</v>
      </c>
    </row>
    <row r="391" customHeight="1" spans="1:18">
      <c r="A391" s="262"/>
      <c r="B391" s="282" t="str">
        <f>安装工程!B134</f>
        <v>铜管管件</v>
      </c>
      <c r="C391" s="283" t="str">
        <f>安装工程!C134</f>
        <v>1.名称：分歧管
2.规格：41.3*41.3*28.6
3.介质：冷剂管
4.其它说明：满足规范和设计图纸要求</v>
      </c>
      <c r="D391" s="258">
        <f t="shared" si="32"/>
        <v>978.68157</v>
      </c>
      <c r="E391" s="284">
        <f>安装工程!E134</f>
        <v>2</v>
      </c>
      <c r="F391" s="284">
        <v>489.340785</v>
      </c>
      <c r="G391" s="260">
        <v>0</v>
      </c>
      <c r="H391" s="260">
        <v>0</v>
      </c>
      <c r="I391" s="260">
        <v>0</v>
      </c>
      <c r="J391" s="269">
        <f t="shared" ref="J391:J422" si="43">E391</f>
        <v>2</v>
      </c>
      <c r="K391" s="270">
        <v>0.7</v>
      </c>
      <c r="L391" s="269">
        <f t="shared" ref="L391:L422" si="44">J391*F391*K391</f>
        <v>685.077099</v>
      </c>
      <c r="M391" s="271">
        <f t="shared" ref="M391:M422" si="45">L391+I391</f>
        <v>685.077099</v>
      </c>
      <c r="N391" s="271"/>
      <c r="R391" s="243">
        <f t="shared" si="34"/>
        <v>734.0111775</v>
      </c>
    </row>
    <row r="392" customHeight="1" spans="1:18">
      <c r="A392" s="262"/>
      <c r="B392" s="282" t="str">
        <f>安装工程!B135</f>
        <v>铜管管件</v>
      </c>
      <c r="C392" s="283" t="str">
        <f>安装工程!C135</f>
        <v>1.名称：分歧管
2.规格：41.3*38.1*31.75
3.介质：冷剂管
4.其它说明：满足规范和设计图纸要求</v>
      </c>
      <c r="D392" s="258">
        <f t="shared" ref="D392:D455" si="46">E392*F392</f>
        <v>489.340785</v>
      </c>
      <c r="E392" s="284">
        <f>安装工程!E135</f>
        <v>1</v>
      </c>
      <c r="F392" s="284">
        <v>489.340785</v>
      </c>
      <c r="G392" s="260">
        <v>0</v>
      </c>
      <c r="H392" s="260">
        <v>0</v>
      </c>
      <c r="I392" s="260">
        <v>0</v>
      </c>
      <c r="J392" s="269">
        <f t="shared" si="43"/>
        <v>1</v>
      </c>
      <c r="K392" s="270">
        <v>0.7</v>
      </c>
      <c r="L392" s="269">
        <f t="shared" si="44"/>
        <v>342.5385495</v>
      </c>
      <c r="M392" s="271">
        <f t="shared" si="45"/>
        <v>342.5385495</v>
      </c>
      <c r="N392" s="271"/>
      <c r="R392" s="243">
        <f t="shared" ref="R392:R455" si="47">F392*$R$4</f>
        <v>734.0111775</v>
      </c>
    </row>
    <row r="393" customHeight="1" spans="1:18">
      <c r="A393" s="262"/>
      <c r="B393" s="282" t="str">
        <f>安装工程!B136</f>
        <v>铜管管件</v>
      </c>
      <c r="C393" s="283" t="str">
        <f>安装工程!C136</f>
        <v>1.名称：分歧管
2.规格：41.3*28.6*15.88
3.介质：冷剂管
4.其它说明：满足规范和设计图纸要求</v>
      </c>
      <c r="D393" s="258">
        <f t="shared" si="46"/>
        <v>489.340785</v>
      </c>
      <c r="E393" s="284">
        <f>安装工程!E136</f>
        <v>1</v>
      </c>
      <c r="F393" s="284">
        <v>489.340785</v>
      </c>
      <c r="G393" s="260">
        <v>0</v>
      </c>
      <c r="H393" s="260">
        <v>0</v>
      </c>
      <c r="I393" s="260">
        <v>0</v>
      </c>
      <c r="J393" s="269">
        <f t="shared" si="43"/>
        <v>1</v>
      </c>
      <c r="K393" s="270">
        <v>0.7</v>
      </c>
      <c r="L393" s="269">
        <f t="shared" si="44"/>
        <v>342.5385495</v>
      </c>
      <c r="M393" s="271">
        <f t="shared" si="45"/>
        <v>342.5385495</v>
      </c>
      <c r="N393" s="271"/>
      <c r="R393" s="243">
        <f t="shared" si="47"/>
        <v>734.0111775</v>
      </c>
    </row>
    <row r="394" customHeight="1" spans="1:18">
      <c r="A394" s="262"/>
      <c r="B394" s="282" t="str">
        <f>安装工程!B137</f>
        <v>铜管管件</v>
      </c>
      <c r="C394" s="283" t="str">
        <f>安装工程!C137</f>
        <v>1.名称：分歧管
2.规格：38.1*31.75*15.88
3.介质：冷剂管
4.其它说明：满足规范和设计图纸要求</v>
      </c>
      <c r="D394" s="258">
        <f t="shared" si="46"/>
        <v>366.810615</v>
      </c>
      <c r="E394" s="284">
        <f>安装工程!E137</f>
        <v>1</v>
      </c>
      <c r="F394" s="284">
        <v>366.810615</v>
      </c>
      <c r="G394" s="260">
        <v>0</v>
      </c>
      <c r="H394" s="260">
        <v>0</v>
      </c>
      <c r="I394" s="260">
        <v>0</v>
      </c>
      <c r="J394" s="269">
        <f t="shared" si="43"/>
        <v>1</v>
      </c>
      <c r="K394" s="270">
        <v>0.7</v>
      </c>
      <c r="L394" s="269">
        <f t="shared" si="44"/>
        <v>256.7674305</v>
      </c>
      <c r="M394" s="271">
        <f t="shared" si="45"/>
        <v>256.7674305</v>
      </c>
      <c r="N394" s="271"/>
      <c r="R394" s="243">
        <f t="shared" si="47"/>
        <v>550.2159225</v>
      </c>
    </row>
    <row r="395" customHeight="1" spans="1:18">
      <c r="A395" s="262"/>
      <c r="B395" s="282" t="str">
        <f>安装工程!B138</f>
        <v>铜管管件</v>
      </c>
      <c r="C395" s="283" t="str">
        <f>安装工程!C138</f>
        <v>1.名称：分歧管
2.规格：31.75*31.75*15.88
3.介质：冷剂管
4.其它说明：满足规范和设计图纸要求</v>
      </c>
      <c r="D395" s="258">
        <f t="shared" si="46"/>
        <v>1467.24246</v>
      </c>
      <c r="E395" s="284">
        <f>安装工程!E138</f>
        <v>4</v>
      </c>
      <c r="F395" s="284">
        <v>366.810615</v>
      </c>
      <c r="G395" s="260">
        <v>0</v>
      </c>
      <c r="H395" s="260">
        <v>0</v>
      </c>
      <c r="I395" s="260">
        <v>0</v>
      </c>
      <c r="J395" s="269">
        <f t="shared" si="43"/>
        <v>4</v>
      </c>
      <c r="K395" s="270">
        <v>0.7</v>
      </c>
      <c r="L395" s="269">
        <f t="shared" si="44"/>
        <v>1027.069722</v>
      </c>
      <c r="M395" s="271">
        <f t="shared" si="45"/>
        <v>1027.069722</v>
      </c>
      <c r="N395" s="271"/>
      <c r="R395" s="243">
        <f t="shared" si="47"/>
        <v>550.2159225</v>
      </c>
    </row>
    <row r="396" customHeight="1" spans="1:18">
      <c r="A396" s="262"/>
      <c r="B396" s="282" t="str">
        <f>安装工程!B139</f>
        <v>铜管管件</v>
      </c>
      <c r="C396" s="283" t="str">
        <f>安装工程!C139</f>
        <v>1.名称：分歧管
2.规格：31.75*28.6*15.88
3.介质：冷剂管
4.其它说明：满足规范和设计图纸要求</v>
      </c>
      <c r="D396" s="258">
        <f t="shared" si="46"/>
        <v>733.62123</v>
      </c>
      <c r="E396" s="284">
        <f>安装工程!E139</f>
        <v>2</v>
      </c>
      <c r="F396" s="284">
        <v>366.810615</v>
      </c>
      <c r="G396" s="260">
        <v>0</v>
      </c>
      <c r="H396" s="260">
        <v>0</v>
      </c>
      <c r="I396" s="260">
        <v>0</v>
      </c>
      <c r="J396" s="269">
        <f t="shared" si="43"/>
        <v>2</v>
      </c>
      <c r="K396" s="270">
        <v>0.7</v>
      </c>
      <c r="L396" s="269">
        <f t="shared" si="44"/>
        <v>513.534861</v>
      </c>
      <c r="M396" s="271">
        <f t="shared" si="45"/>
        <v>513.534861</v>
      </c>
      <c r="N396" s="271"/>
      <c r="R396" s="243">
        <f t="shared" si="47"/>
        <v>550.2159225</v>
      </c>
    </row>
    <row r="397" customHeight="1" spans="1:18">
      <c r="A397" s="262"/>
      <c r="B397" s="282" t="str">
        <f>安装工程!B140</f>
        <v>铜管管件</v>
      </c>
      <c r="C397" s="283" t="str">
        <f>安装工程!C140</f>
        <v>1.名称：分歧管
2.规格：28.6*28.6*15.88
3.介质：冷剂管
4.其它说明：满足规范和设计图纸要求</v>
      </c>
      <c r="D397" s="258">
        <f t="shared" si="46"/>
        <v>1362.2166</v>
      </c>
      <c r="E397" s="284">
        <f>安装工程!E140</f>
        <v>4</v>
      </c>
      <c r="F397" s="284">
        <v>340.55415</v>
      </c>
      <c r="G397" s="260">
        <v>0</v>
      </c>
      <c r="H397" s="260">
        <v>0</v>
      </c>
      <c r="I397" s="260">
        <v>0</v>
      </c>
      <c r="J397" s="269">
        <f t="shared" si="43"/>
        <v>4</v>
      </c>
      <c r="K397" s="270">
        <v>0.7</v>
      </c>
      <c r="L397" s="269">
        <f t="shared" si="44"/>
        <v>953.55162</v>
      </c>
      <c r="M397" s="271">
        <f t="shared" si="45"/>
        <v>953.55162</v>
      </c>
      <c r="N397" s="271"/>
      <c r="R397" s="243">
        <f t="shared" si="47"/>
        <v>510.831225</v>
      </c>
    </row>
    <row r="398" customHeight="1" spans="1:18">
      <c r="A398" s="262"/>
      <c r="B398" s="282" t="str">
        <f>安装工程!B141</f>
        <v>铜管管件</v>
      </c>
      <c r="C398" s="283" t="str">
        <f>安装工程!C141</f>
        <v>1.名称：分歧管
2.规格：28.6*25.4*15.88
3.介质：冷剂管
4.其它说明：满足规范和设计图纸要求</v>
      </c>
      <c r="D398" s="258">
        <f t="shared" si="46"/>
        <v>1021.66245</v>
      </c>
      <c r="E398" s="284">
        <f>安装工程!E141</f>
        <v>3</v>
      </c>
      <c r="F398" s="284">
        <v>340.55415</v>
      </c>
      <c r="G398" s="260">
        <v>0</v>
      </c>
      <c r="H398" s="260">
        <v>0</v>
      </c>
      <c r="I398" s="260">
        <v>0</v>
      </c>
      <c r="J398" s="269">
        <f t="shared" si="43"/>
        <v>3</v>
      </c>
      <c r="K398" s="270">
        <v>0.7</v>
      </c>
      <c r="L398" s="269">
        <f t="shared" si="44"/>
        <v>715.163715</v>
      </c>
      <c r="M398" s="271">
        <f t="shared" si="45"/>
        <v>715.163715</v>
      </c>
      <c r="N398" s="271"/>
      <c r="R398" s="243">
        <f t="shared" si="47"/>
        <v>510.831225</v>
      </c>
    </row>
    <row r="399" customHeight="1" spans="1:18">
      <c r="A399" s="262"/>
      <c r="B399" s="282" t="str">
        <f>安装工程!B142</f>
        <v>铜管管件</v>
      </c>
      <c r="C399" s="283" t="str">
        <f>安装工程!C142</f>
        <v>1.名称：分歧管
2.规格：25.4*19.05*15.88
3.介质：冷剂管
4.其它说明：满足规范和设计图纸要求</v>
      </c>
      <c r="D399" s="258">
        <f t="shared" si="46"/>
        <v>340.55415</v>
      </c>
      <c r="E399" s="284">
        <f>安装工程!E142</f>
        <v>1</v>
      </c>
      <c r="F399" s="284">
        <v>340.55415</v>
      </c>
      <c r="G399" s="260">
        <v>0</v>
      </c>
      <c r="H399" s="260">
        <v>0</v>
      </c>
      <c r="I399" s="260">
        <v>0</v>
      </c>
      <c r="J399" s="269">
        <f t="shared" si="43"/>
        <v>1</v>
      </c>
      <c r="K399" s="270">
        <v>0.7</v>
      </c>
      <c r="L399" s="269">
        <f t="shared" si="44"/>
        <v>238.387905</v>
      </c>
      <c r="M399" s="271">
        <f t="shared" si="45"/>
        <v>238.387905</v>
      </c>
      <c r="N399" s="271"/>
      <c r="R399" s="243">
        <f t="shared" si="47"/>
        <v>510.831225</v>
      </c>
    </row>
    <row r="400" customHeight="1" spans="1:18">
      <c r="A400" s="262"/>
      <c r="B400" s="282" t="str">
        <f>安装工程!B143</f>
        <v>铜管管件</v>
      </c>
      <c r="C400" s="283" t="str">
        <f>安装工程!C143</f>
        <v>1.名称：分歧管
2.规格：25.4*15.88*15.88
3.介质：冷剂管
4.其它说明：满足规范和设计图纸要求</v>
      </c>
      <c r="D400" s="258">
        <f t="shared" si="46"/>
        <v>681.1083</v>
      </c>
      <c r="E400" s="284">
        <f>安装工程!E143</f>
        <v>2</v>
      </c>
      <c r="F400" s="284">
        <v>340.55415</v>
      </c>
      <c r="G400" s="260">
        <v>0</v>
      </c>
      <c r="H400" s="260">
        <v>0</v>
      </c>
      <c r="I400" s="260">
        <v>0</v>
      </c>
      <c r="J400" s="269">
        <f t="shared" si="43"/>
        <v>2</v>
      </c>
      <c r="K400" s="270">
        <v>0.7</v>
      </c>
      <c r="L400" s="269">
        <f t="shared" si="44"/>
        <v>476.77581</v>
      </c>
      <c r="M400" s="271">
        <f t="shared" si="45"/>
        <v>476.77581</v>
      </c>
      <c r="N400" s="271"/>
      <c r="R400" s="243">
        <f t="shared" si="47"/>
        <v>510.831225</v>
      </c>
    </row>
    <row r="401" customHeight="1" spans="1:18">
      <c r="A401" s="262"/>
      <c r="B401" s="282" t="str">
        <f>安装工程!B144</f>
        <v>铜管管件</v>
      </c>
      <c r="C401" s="283" t="str">
        <f>安装工程!C144</f>
        <v>1.名称：分歧管
2.规格：22.2*22.2*19.05
3.介质：冷剂管
4.其它说明：满足规范和设计图纸要求</v>
      </c>
      <c r="D401" s="258">
        <f t="shared" si="46"/>
        <v>226.776135</v>
      </c>
      <c r="E401" s="284">
        <f>安装工程!E144</f>
        <v>1</v>
      </c>
      <c r="F401" s="284">
        <v>226.776135</v>
      </c>
      <c r="G401" s="260">
        <v>0</v>
      </c>
      <c r="H401" s="260">
        <v>0</v>
      </c>
      <c r="I401" s="260">
        <v>0</v>
      </c>
      <c r="J401" s="269">
        <f t="shared" si="43"/>
        <v>1</v>
      </c>
      <c r="K401" s="270">
        <v>0.7</v>
      </c>
      <c r="L401" s="269">
        <f t="shared" si="44"/>
        <v>158.7432945</v>
      </c>
      <c r="M401" s="271">
        <f t="shared" si="45"/>
        <v>158.7432945</v>
      </c>
      <c r="N401" s="271"/>
      <c r="R401" s="243">
        <f t="shared" si="47"/>
        <v>340.1642025</v>
      </c>
    </row>
    <row r="402" customHeight="1" spans="1:18">
      <c r="A402" s="262"/>
      <c r="B402" s="282" t="str">
        <f>安装工程!B145</f>
        <v>铜管管件</v>
      </c>
      <c r="C402" s="283" t="str">
        <f>安装工程!C145</f>
        <v>1.名称：分歧管
2.规格：22.2*22.2*15.88
3.介质：冷剂管
4.其它说明：满足规范和设计图纸要求</v>
      </c>
      <c r="D402" s="258">
        <f t="shared" si="46"/>
        <v>453.55227</v>
      </c>
      <c r="E402" s="284">
        <f>安装工程!E145</f>
        <v>2</v>
      </c>
      <c r="F402" s="284">
        <v>226.776135</v>
      </c>
      <c r="G402" s="260">
        <v>0</v>
      </c>
      <c r="H402" s="260">
        <v>0</v>
      </c>
      <c r="I402" s="260">
        <v>0</v>
      </c>
      <c r="J402" s="269">
        <f t="shared" si="43"/>
        <v>2</v>
      </c>
      <c r="K402" s="270">
        <v>0.7</v>
      </c>
      <c r="L402" s="269">
        <f t="shared" si="44"/>
        <v>317.486589</v>
      </c>
      <c r="M402" s="271">
        <f t="shared" si="45"/>
        <v>317.486589</v>
      </c>
      <c r="N402" s="271"/>
      <c r="R402" s="243">
        <f t="shared" si="47"/>
        <v>340.1642025</v>
      </c>
    </row>
    <row r="403" customHeight="1" spans="1:18">
      <c r="A403" s="262"/>
      <c r="B403" s="282" t="str">
        <f>安装工程!B146</f>
        <v>铜管管件</v>
      </c>
      <c r="C403" s="283" t="str">
        <f>安装工程!C146</f>
        <v>1.名称：分歧管
2.规格：22.2*19.05*9.53
3.介质：冷剂管
4.其它说明：满足规范和设计图纸要求</v>
      </c>
      <c r="D403" s="258">
        <f t="shared" si="46"/>
        <v>226.776135</v>
      </c>
      <c r="E403" s="284">
        <f>安装工程!E146</f>
        <v>1</v>
      </c>
      <c r="F403" s="284">
        <v>226.776135</v>
      </c>
      <c r="G403" s="260">
        <v>0</v>
      </c>
      <c r="H403" s="260">
        <v>0</v>
      </c>
      <c r="I403" s="260">
        <v>0</v>
      </c>
      <c r="J403" s="269">
        <f t="shared" si="43"/>
        <v>1</v>
      </c>
      <c r="K403" s="270">
        <v>0.7</v>
      </c>
      <c r="L403" s="269">
        <f t="shared" si="44"/>
        <v>158.7432945</v>
      </c>
      <c r="M403" s="271">
        <f t="shared" si="45"/>
        <v>158.7432945</v>
      </c>
      <c r="N403" s="271"/>
      <c r="R403" s="243">
        <f t="shared" si="47"/>
        <v>340.1642025</v>
      </c>
    </row>
    <row r="404" customHeight="1" spans="1:18">
      <c r="A404" s="262"/>
      <c r="B404" s="282" t="str">
        <f>安装工程!B147</f>
        <v>铜管管件</v>
      </c>
      <c r="C404" s="283" t="str">
        <f>安装工程!C147</f>
        <v>1.名称：分歧管
2.规格：22.2*15.88*9.53
3.介质：冷剂管
4.其它说明：满足规范和设计图纸要求</v>
      </c>
      <c r="D404" s="258">
        <f t="shared" si="46"/>
        <v>226.776135</v>
      </c>
      <c r="E404" s="284">
        <f>安装工程!E147</f>
        <v>1</v>
      </c>
      <c r="F404" s="284">
        <v>226.776135</v>
      </c>
      <c r="G404" s="260">
        <v>0</v>
      </c>
      <c r="H404" s="260">
        <v>0</v>
      </c>
      <c r="I404" s="260">
        <v>0</v>
      </c>
      <c r="J404" s="269">
        <f t="shared" si="43"/>
        <v>1</v>
      </c>
      <c r="K404" s="270">
        <v>0.7</v>
      </c>
      <c r="L404" s="269">
        <f t="shared" si="44"/>
        <v>158.7432945</v>
      </c>
      <c r="M404" s="271">
        <f t="shared" si="45"/>
        <v>158.7432945</v>
      </c>
      <c r="N404" s="271"/>
      <c r="R404" s="243">
        <f t="shared" si="47"/>
        <v>340.1642025</v>
      </c>
    </row>
    <row r="405" customHeight="1" spans="1:18">
      <c r="A405" s="262"/>
      <c r="B405" s="282" t="str">
        <f>安装工程!B148</f>
        <v>铜管管件</v>
      </c>
      <c r="C405" s="283" t="str">
        <f>安装工程!C148</f>
        <v>1.名称：分歧管
2.规格：19.05*19.05*9.53
3.介质：冷剂管
4.其它说明：满足规范和设计图纸要求</v>
      </c>
      <c r="D405" s="258">
        <f t="shared" si="46"/>
        <v>907.10454</v>
      </c>
      <c r="E405" s="284">
        <f>安装工程!E148</f>
        <v>4</v>
      </c>
      <c r="F405" s="284">
        <v>226.776135</v>
      </c>
      <c r="G405" s="260">
        <v>0</v>
      </c>
      <c r="H405" s="260">
        <v>0</v>
      </c>
      <c r="I405" s="260">
        <v>0</v>
      </c>
      <c r="J405" s="269">
        <f t="shared" si="43"/>
        <v>4</v>
      </c>
      <c r="K405" s="270">
        <v>0.7</v>
      </c>
      <c r="L405" s="269">
        <f t="shared" si="44"/>
        <v>634.973178</v>
      </c>
      <c r="M405" s="271">
        <f t="shared" si="45"/>
        <v>634.973178</v>
      </c>
      <c r="N405" s="271"/>
      <c r="R405" s="243">
        <f t="shared" si="47"/>
        <v>340.1642025</v>
      </c>
    </row>
    <row r="406" customHeight="1" spans="1:18">
      <c r="A406" s="262"/>
      <c r="B406" s="282" t="str">
        <f>安装工程!B149</f>
        <v>铜管管件</v>
      </c>
      <c r="C406" s="283" t="str">
        <f>安装工程!C149</f>
        <v>1.名称：分歧管
2.规格：19.05*19.05*15.88
3.介质：冷剂管
4.其它说明：满足规范和设计图纸要求</v>
      </c>
      <c r="D406" s="258">
        <f t="shared" si="46"/>
        <v>453.55227</v>
      </c>
      <c r="E406" s="284">
        <f>安装工程!E149</f>
        <v>2</v>
      </c>
      <c r="F406" s="284">
        <v>226.776135</v>
      </c>
      <c r="G406" s="260">
        <v>0</v>
      </c>
      <c r="H406" s="260">
        <v>0</v>
      </c>
      <c r="I406" s="260">
        <v>0</v>
      </c>
      <c r="J406" s="269">
        <f t="shared" si="43"/>
        <v>2</v>
      </c>
      <c r="K406" s="270">
        <v>0.7</v>
      </c>
      <c r="L406" s="269">
        <f t="shared" si="44"/>
        <v>317.486589</v>
      </c>
      <c r="M406" s="271">
        <f t="shared" si="45"/>
        <v>317.486589</v>
      </c>
      <c r="N406" s="271"/>
      <c r="R406" s="243">
        <f t="shared" si="47"/>
        <v>340.1642025</v>
      </c>
    </row>
    <row r="407" customHeight="1" spans="1:18">
      <c r="A407" s="262"/>
      <c r="B407" s="282" t="str">
        <f>安装工程!B150</f>
        <v>铜管管件</v>
      </c>
      <c r="C407" s="283" t="str">
        <f>安装工程!C150</f>
        <v>1.名称：分歧管
2.规格：19.05*15.88*9.53
3.介质：冷剂管
4.其它说明：满足规范和设计图纸要求</v>
      </c>
      <c r="D407" s="258">
        <f t="shared" si="46"/>
        <v>453.55227</v>
      </c>
      <c r="E407" s="284">
        <f>安装工程!E150</f>
        <v>2</v>
      </c>
      <c r="F407" s="284">
        <v>226.776135</v>
      </c>
      <c r="G407" s="260">
        <v>0</v>
      </c>
      <c r="H407" s="260">
        <v>0</v>
      </c>
      <c r="I407" s="260">
        <v>0</v>
      </c>
      <c r="J407" s="269">
        <f t="shared" si="43"/>
        <v>2</v>
      </c>
      <c r="K407" s="270">
        <v>0.7</v>
      </c>
      <c r="L407" s="269">
        <f t="shared" si="44"/>
        <v>317.486589</v>
      </c>
      <c r="M407" s="271">
        <f t="shared" si="45"/>
        <v>317.486589</v>
      </c>
      <c r="N407" s="271"/>
      <c r="R407" s="243">
        <f t="shared" si="47"/>
        <v>340.1642025</v>
      </c>
    </row>
    <row r="408" customHeight="1" spans="1:18">
      <c r="A408" s="262"/>
      <c r="B408" s="282" t="str">
        <f>安装工程!B151</f>
        <v>铜管管件</v>
      </c>
      <c r="C408" s="283" t="str">
        <f>安装工程!C151</f>
        <v>1.名称：分歧管
2.规格：19.05*15.88*15.88
3.介质：冷剂管
4.其它说明：满足规范和设计图纸要求</v>
      </c>
      <c r="D408" s="258">
        <f t="shared" si="46"/>
        <v>226.776135</v>
      </c>
      <c r="E408" s="284">
        <f>安装工程!E151</f>
        <v>1</v>
      </c>
      <c r="F408" s="284">
        <v>226.776135</v>
      </c>
      <c r="G408" s="260">
        <v>0</v>
      </c>
      <c r="H408" s="260">
        <v>0</v>
      </c>
      <c r="I408" s="260">
        <v>0</v>
      </c>
      <c r="J408" s="269">
        <f t="shared" si="43"/>
        <v>1</v>
      </c>
      <c r="K408" s="270">
        <v>0.7</v>
      </c>
      <c r="L408" s="269">
        <f t="shared" si="44"/>
        <v>158.7432945</v>
      </c>
      <c r="M408" s="271">
        <f t="shared" si="45"/>
        <v>158.7432945</v>
      </c>
      <c r="N408" s="271"/>
      <c r="R408" s="243">
        <f t="shared" si="47"/>
        <v>340.1642025</v>
      </c>
    </row>
    <row r="409" customHeight="1" spans="1:18">
      <c r="A409" s="262"/>
      <c r="B409" s="282" t="str">
        <f>安装工程!B152</f>
        <v>铜管管件</v>
      </c>
      <c r="C409" s="283" t="str">
        <f>安装工程!C152</f>
        <v>1.名称：分歧管
2.规格：15.88*15.88*9.53
3.介质：冷剂管
4.其它说明：满足规范和设计图纸要求</v>
      </c>
      <c r="D409" s="258">
        <f t="shared" si="46"/>
        <v>453.55227</v>
      </c>
      <c r="E409" s="284">
        <f>安装工程!E152</f>
        <v>2</v>
      </c>
      <c r="F409" s="284">
        <v>226.776135</v>
      </c>
      <c r="G409" s="260">
        <v>0</v>
      </c>
      <c r="H409" s="260">
        <v>0</v>
      </c>
      <c r="I409" s="260">
        <v>0</v>
      </c>
      <c r="J409" s="269">
        <f t="shared" si="43"/>
        <v>2</v>
      </c>
      <c r="K409" s="270">
        <v>0.7</v>
      </c>
      <c r="L409" s="269">
        <f t="shared" si="44"/>
        <v>317.486589</v>
      </c>
      <c r="M409" s="271">
        <f t="shared" si="45"/>
        <v>317.486589</v>
      </c>
      <c r="N409" s="271"/>
      <c r="R409" s="243">
        <f t="shared" si="47"/>
        <v>340.1642025</v>
      </c>
    </row>
    <row r="410" customHeight="1" spans="1:18">
      <c r="A410" s="262"/>
      <c r="B410" s="282" t="str">
        <f>安装工程!B153</f>
        <v>铜管管件</v>
      </c>
      <c r="C410" s="283" t="str">
        <f>安装工程!C153</f>
        <v>1.名称：分歧管
2.规格：15.88*12.7*9.53
3.介质：冷剂管
4.其它说明：满足规范和设计图纸要求</v>
      </c>
      <c r="D410" s="258">
        <f t="shared" si="46"/>
        <v>680.328405</v>
      </c>
      <c r="E410" s="284">
        <f>安装工程!E153</f>
        <v>3</v>
      </c>
      <c r="F410" s="284">
        <v>226.776135</v>
      </c>
      <c r="G410" s="260">
        <v>0</v>
      </c>
      <c r="H410" s="260">
        <v>0</v>
      </c>
      <c r="I410" s="260">
        <v>0</v>
      </c>
      <c r="J410" s="269">
        <f t="shared" si="43"/>
        <v>3</v>
      </c>
      <c r="K410" s="270">
        <v>0.7</v>
      </c>
      <c r="L410" s="269">
        <f t="shared" si="44"/>
        <v>476.2298835</v>
      </c>
      <c r="M410" s="271">
        <f t="shared" si="45"/>
        <v>476.2298835</v>
      </c>
      <c r="N410" s="271"/>
      <c r="R410" s="243">
        <f t="shared" si="47"/>
        <v>340.1642025</v>
      </c>
    </row>
    <row r="411" customHeight="1" spans="1:18">
      <c r="A411" s="262"/>
      <c r="B411" s="282" t="str">
        <f>安装工程!B154</f>
        <v>铜管管件</v>
      </c>
      <c r="C411" s="283" t="str">
        <f>安装工程!C154</f>
        <v>1.名称：分歧管
2.规格：12.7*12.7*9.53
3.介质：冷剂管
4.其它说明：满足规范和设计图纸要求</v>
      </c>
      <c r="D411" s="258">
        <f t="shared" si="46"/>
        <v>1133.880675</v>
      </c>
      <c r="E411" s="284">
        <f>安装工程!E154</f>
        <v>5</v>
      </c>
      <c r="F411" s="284">
        <v>226.776135</v>
      </c>
      <c r="G411" s="260">
        <v>0</v>
      </c>
      <c r="H411" s="260">
        <v>0</v>
      </c>
      <c r="I411" s="260">
        <v>0</v>
      </c>
      <c r="J411" s="269">
        <f t="shared" si="43"/>
        <v>5</v>
      </c>
      <c r="K411" s="270">
        <v>0.7</v>
      </c>
      <c r="L411" s="269">
        <f t="shared" si="44"/>
        <v>793.7164725</v>
      </c>
      <c r="M411" s="271">
        <f t="shared" si="45"/>
        <v>793.7164725</v>
      </c>
      <c r="N411" s="271"/>
      <c r="R411" s="243">
        <f t="shared" si="47"/>
        <v>340.1642025</v>
      </c>
    </row>
    <row r="412" customHeight="1" spans="1:18">
      <c r="A412" s="262"/>
      <c r="B412" s="282" t="str">
        <f>安装工程!B155</f>
        <v>铜管管件</v>
      </c>
      <c r="C412" s="283" t="str">
        <f>安装工程!C155</f>
        <v>1.名称：分歧管
2.规格：12.7*9.53*9.53
3.介质：冷剂管
4.其它说明：满足规范和设计图纸要求</v>
      </c>
      <c r="D412" s="258">
        <f t="shared" si="46"/>
        <v>680.328405</v>
      </c>
      <c r="E412" s="284">
        <f>安装工程!E155</f>
        <v>3</v>
      </c>
      <c r="F412" s="284">
        <v>226.776135</v>
      </c>
      <c r="G412" s="260">
        <v>0</v>
      </c>
      <c r="H412" s="260">
        <v>0</v>
      </c>
      <c r="I412" s="260">
        <v>0</v>
      </c>
      <c r="J412" s="269">
        <f t="shared" si="43"/>
        <v>3</v>
      </c>
      <c r="K412" s="270">
        <v>0.7</v>
      </c>
      <c r="L412" s="269">
        <f t="shared" si="44"/>
        <v>476.2298835</v>
      </c>
      <c r="M412" s="271">
        <f t="shared" si="45"/>
        <v>476.2298835</v>
      </c>
      <c r="N412" s="271"/>
      <c r="R412" s="243">
        <f t="shared" si="47"/>
        <v>340.1642025</v>
      </c>
    </row>
    <row r="413" customHeight="1" spans="1:18">
      <c r="A413" s="262"/>
      <c r="B413" s="282" t="str">
        <f>安装工程!B156</f>
        <v>管道绝热</v>
      </c>
      <c r="C413" s="283" t="str">
        <f>安装工程!C156</f>
        <v>1.绝热材料品种：闭孔带铝箔难燃B1级橡塑管壳
2.绝热厚度：10mm
3.其它说明：满足规范和设计图纸要求</v>
      </c>
      <c r="D413" s="258">
        <f t="shared" si="46"/>
        <v>1750.60431</v>
      </c>
      <c r="E413" s="284">
        <f>安装工程!E156</f>
        <v>0.42</v>
      </c>
      <c r="F413" s="284">
        <v>4168.1055</v>
      </c>
      <c r="G413" s="260">
        <v>0</v>
      </c>
      <c r="H413" s="260">
        <v>0</v>
      </c>
      <c r="I413" s="260">
        <v>0</v>
      </c>
      <c r="J413" s="269">
        <f t="shared" si="43"/>
        <v>0.42</v>
      </c>
      <c r="K413" s="270">
        <v>0.7</v>
      </c>
      <c r="L413" s="269">
        <f t="shared" si="44"/>
        <v>1225.423017</v>
      </c>
      <c r="M413" s="271">
        <f t="shared" si="45"/>
        <v>1225.423017</v>
      </c>
      <c r="N413" s="271"/>
      <c r="R413" s="243">
        <f t="shared" si="47"/>
        <v>6252.15825</v>
      </c>
    </row>
    <row r="414" customHeight="1" spans="1:18">
      <c r="A414" s="262"/>
      <c r="B414" s="282" t="str">
        <f>安装工程!B157</f>
        <v>管道绝热</v>
      </c>
      <c r="C414" s="283" t="str">
        <f>安装工程!C157</f>
        <v>1.绝热材料品种：闭孔柔性泡沫难燃B1级橡塑管壳
2.绝热厚度：32mm
3.其它说明：满足规范和设计图纸要求</v>
      </c>
      <c r="D414" s="258">
        <f t="shared" si="46"/>
        <v>9711.685815</v>
      </c>
      <c r="E414" s="284">
        <f>安装工程!E157</f>
        <v>2.33</v>
      </c>
      <c r="F414" s="284">
        <v>4168.1055</v>
      </c>
      <c r="G414" s="260">
        <v>0</v>
      </c>
      <c r="H414" s="260">
        <v>0</v>
      </c>
      <c r="I414" s="260">
        <v>0</v>
      </c>
      <c r="J414" s="269">
        <f t="shared" si="43"/>
        <v>2.33</v>
      </c>
      <c r="K414" s="270">
        <v>0.7</v>
      </c>
      <c r="L414" s="269">
        <f t="shared" si="44"/>
        <v>6798.1800705</v>
      </c>
      <c r="M414" s="271">
        <f t="shared" si="45"/>
        <v>6798.1800705</v>
      </c>
      <c r="N414" s="271"/>
      <c r="R414" s="243">
        <f t="shared" si="47"/>
        <v>6252.15825</v>
      </c>
    </row>
    <row r="415" customHeight="1" spans="1:18">
      <c r="A415" s="262"/>
      <c r="B415" s="282" t="str">
        <f>安装工程!B158</f>
        <v>通风工程检测、调试</v>
      </c>
      <c r="C415" s="283" t="str">
        <f>安装工程!C158</f>
        <v>1.空调工程系统调试</v>
      </c>
      <c r="D415" s="258">
        <f t="shared" si="46"/>
        <v>5719.23</v>
      </c>
      <c r="E415" s="284">
        <f>安装工程!E158</f>
        <v>1</v>
      </c>
      <c r="F415" s="284">
        <v>5719.23</v>
      </c>
      <c r="G415" s="260">
        <v>0</v>
      </c>
      <c r="H415" s="260">
        <v>0</v>
      </c>
      <c r="I415" s="260">
        <v>0</v>
      </c>
      <c r="J415" s="269">
        <f t="shared" si="43"/>
        <v>1</v>
      </c>
      <c r="K415" s="270">
        <v>0</v>
      </c>
      <c r="L415" s="269">
        <f t="shared" si="44"/>
        <v>0</v>
      </c>
      <c r="M415" s="271">
        <f t="shared" si="45"/>
        <v>0</v>
      </c>
      <c r="N415" s="271"/>
      <c r="R415" s="243">
        <f t="shared" si="47"/>
        <v>8578.845</v>
      </c>
    </row>
    <row r="416" customHeight="1" spans="1:18">
      <c r="A416" s="262"/>
      <c r="B416" s="282" t="str">
        <f>安装工程!B159</f>
        <v>一层</v>
      </c>
      <c r="C416" s="283"/>
      <c r="D416" s="258">
        <f t="shared" si="46"/>
        <v>0</v>
      </c>
      <c r="E416" s="284">
        <f>安装工程!E159</f>
        <v>0</v>
      </c>
      <c r="F416" s="284">
        <v>497968.86893079</v>
      </c>
      <c r="G416" s="260">
        <v>0</v>
      </c>
      <c r="H416" s="260">
        <v>0</v>
      </c>
      <c r="I416" s="260">
        <v>0</v>
      </c>
      <c r="J416" s="269">
        <f t="shared" si="43"/>
        <v>0</v>
      </c>
      <c r="K416" s="278"/>
      <c r="L416" s="269"/>
      <c r="M416" s="271"/>
      <c r="N416" s="271"/>
      <c r="R416" s="243">
        <f t="shared" si="47"/>
        <v>746953.303396185</v>
      </c>
    </row>
    <row r="417" customHeight="1" spans="1:18">
      <c r="A417" s="262"/>
      <c r="B417" s="282" t="str">
        <f>安装工程!B160</f>
        <v>强电</v>
      </c>
      <c r="C417" s="283"/>
      <c r="D417" s="258">
        <f t="shared" si="46"/>
        <v>0</v>
      </c>
      <c r="E417" s="284">
        <f>安装工程!E160</f>
        <v>0</v>
      </c>
      <c r="F417" s="284">
        <v>0</v>
      </c>
      <c r="G417" s="260">
        <v>0</v>
      </c>
      <c r="H417" s="260">
        <v>0</v>
      </c>
      <c r="I417" s="260">
        <v>0</v>
      </c>
      <c r="J417" s="269">
        <f t="shared" si="43"/>
        <v>0</v>
      </c>
      <c r="K417" s="278"/>
      <c r="L417" s="269"/>
      <c r="M417" s="271"/>
      <c r="N417" s="271"/>
      <c r="R417" s="243">
        <f t="shared" si="47"/>
        <v>0</v>
      </c>
    </row>
    <row r="418" customHeight="1" spans="1:18">
      <c r="A418" s="262"/>
      <c r="B418" s="282" t="str">
        <f>安装工程!B161</f>
        <v>配电箱</v>
      </c>
      <c r="C418" s="283" t="str">
        <f>安装工程!C161</f>
        <v>1.名称:一层售楼部照明配电箱
2.型号、规格:1AL1
3.安装方式:暗装,H+1.8m
4.含无端子接线</v>
      </c>
      <c r="D418" s="258">
        <f t="shared" si="46"/>
        <v>4284.2232</v>
      </c>
      <c r="E418" s="284">
        <f>安装工程!E161</f>
        <v>1</v>
      </c>
      <c r="F418" s="284">
        <v>4284.2232</v>
      </c>
      <c r="G418" s="260">
        <v>0</v>
      </c>
      <c r="H418" s="260">
        <v>0</v>
      </c>
      <c r="I418" s="260">
        <v>0</v>
      </c>
      <c r="J418" s="269">
        <f t="shared" si="43"/>
        <v>1</v>
      </c>
      <c r="K418" s="270">
        <v>0.8</v>
      </c>
      <c r="L418" s="269">
        <f t="shared" si="44"/>
        <v>3427.37856</v>
      </c>
      <c r="M418" s="271">
        <f t="shared" si="45"/>
        <v>3427.37856</v>
      </c>
      <c r="N418" s="271"/>
      <c r="R418" s="243">
        <f t="shared" si="47"/>
        <v>6426.3348</v>
      </c>
    </row>
    <row r="419" customHeight="1" spans="1:18">
      <c r="A419" s="262"/>
      <c r="B419" s="282" t="str">
        <f>安装工程!B162</f>
        <v>配电箱</v>
      </c>
      <c r="C419" s="283" t="str">
        <f>安装工程!C162</f>
        <v>1.名称:售楼部空调外机配电箱
2.型号、规格:AP-KT
3.安装方式:明装,支架安装
4.其它说明：满足规范和设计图纸要求</v>
      </c>
      <c r="D419" s="258">
        <f t="shared" si="46"/>
        <v>2708.8353</v>
      </c>
      <c r="E419" s="284">
        <f>安装工程!E162</f>
        <v>1</v>
      </c>
      <c r="F419" s="284">
        <v>2708.8353</v>
      </c>
      <c r="G419" s="260">
        <v>0</v>
      </c>
      <c r="H419" s="260">
        <v>0</v>
      </c>
      <c r="I419" s="260">
        <v>0</v>
      </c>
      <c r="J419" s="269">
        <f t="shared" si="43"/>
        <v>1</v>
      </c>
      <c r="K419" s="270">
        <v>0.8</v>
      </c>
      <c r="L419" s="269">
        <f t="shared" si="44"/>
        <v>2167.06824</v>
      </c>
      <c r="M419" s="271">
        <f t="shared" si="45"/>
        <v>2167.06824</v>
      </c>
      <c r="N419" s="271"/>
      <c r="R419" s="243">
        <f t="shared" si="47"/>
        <v>4063.25295</v>
      </c>
    </row>
    <row r="420" customHeight="1" spans="1:18">
      <c r="A420" s="262"/>
      <c r="B420" s="282" t="str">
        <f>安装工程!B163</f>
        <v>配电箱</v>
      </c>
      <c r="C420" s="283" t="str">
        <f>安装工程!C163</f>
        <v>1.名称:售楼部电梯电源箱
2.型号、规格:DTAT
3.安装方式:暗装,顶距地2.0m
4.其它说明：满足规范和设计图纸要求</v>
      </c>
      <c r="D420" s="258">
        <f t="shared" si="46"/>
        <v>1659.44325</v>
      </c>
      <c r="E420" s="284">
        <f>安装工程!E163</f>
        <v>1</v>
      </c>
      <c r="F420" s="284">
        <v>1659.44325</v>
      </c>
      <c r="G420" s="260">
        <v>0</v>
      </c>
      <c r="H420" s="260">
        <v>0</v>
      </c>
      <c r="I420" s="260">
        <v>0</v>
      </c>
      <c r="J420" s="269">
        <f t="shared" si="43"/>
        <v>1</v>
      </c>
      <c r="K420" s="270">
        <v>0.8</v>
      </c>
      <c r="L420" s="269">
        <f t="shared" si="44"/>
        <v>1327.5546</v>
      </c>
      <c r="M420" s="271">
        <f t="shared" si="45"/>
        <v>1327.5546</v>
      </c>
      <c r="N420" s="271"/>
      <c r="R420" s="243">
        <f t="shared" si="47"/>
        <v>2489.164875</v>
      </c>
    </row>
    <row r="421" customHeight="1" spans="1:18">
      <c r="A421" s="262"/>
      <c r="B421" s="282" t="str">
        <f>安装工程!B164</f>
        <v>配管</v>
      </c>
      <c r="C421" s="283" t="str">
        <f>安装工程!C164</f>
        <v>1.名称:电气配管
2.规格:JDG20
3.配置形式:吊顶内明敷
4.其它说明：满足规范和设计图纸要求</v>
      </c>
      <c r="D421" s="258">
        <f t="shared" si="46"/>
        <v>8367.74960718</v>
      </c>
      <c r="E421" s="284">
        <f>安装工程!E164</f>
        <v>273.32</v>
      </c>
      <c r="F421" s="284">
        <v>30.6152115</v>
      </c>
      <c r="G421" s="260">
        <v>0</v>
      </c>
      <c r="H421" s="260">
        <v>0</v>
      </c>
      <c r="I421" s="260">
        <v>0</v>
      </c>
      <c r="J421" s="269">
        <f t="shared" si="43"/>
        <v>273.32</v>
      </c>
      <c r="K421" s="270">
        <v>0.8</v>
      </c>
      <c r="L421" s="269">
        <f t="shared" si="44"/>
        <v>6694.199685744</v>
      </c>
      <c r="M421" s="271">
        <f t="shared" si="45"/>
        <v>6694.199685744</v>
      </c>
      <c r="N421" s="271"/>
      <c r="R421" s="243">
        <f t="shared" si="47"/>
        <v>45.92281725</v>
      </c>
    </row>
    <row r="422" customHeight="1" spans="1:18">
      <c r="A422" s="262"/>
      <c r="B422" s="282" t="str">
        <f>安装工程!B165</f>
        <v>配管</v>
      </c>
      <c r="C422" s="283" t="str">
        <f>安装工程!C165</f>
        <v>1.名称:电气配管
2.规格:JDG20
3.配置形式:暗敷
4.其它说明：满足规范和设计图纸要求</v>
      </c>
      <c r="D422" s="258">
        <f t="shared" si="46"/>
        <v>5345.722080015</v>
      </c>
      <c r="E422" s="284">
        <f>安装工程!E165</f>
        <v>174.61</v>
      </c>
      <c r="F422" s="284">
        <v>30.6152115</v>
      </c>
      <c r="G422" s="260">
        <v>0</v>
      </c>
      <c r="H422" s="260">
        <v>0</v>
      </c>
      <c r="I422" s="260">
        <v>0</v>
      </c>
      <c r="J422" s="269">
        <f t="shared" si="43"/>
        <v>174.61</v>
      </c>
      <c r="K422" s="270">
        <v>0.8</v>
      </c>
      <c r="L422" s="269">
        <f t="shared" si="44"/>
        <v>4276.577664012</v>
      </c>
      <c r="M422" s="271">
        <f t="shared" si="45"/>
        <v>4276.577664012</v>
      </c>
      <c r="N422" s="271"/>
      <c r="R422" s="243">
        <f t="shared" si="47"/>
        <v>45.92281725</v>
      </c>
    </row>
    <row r="423" customHeight="1" spans="1:18">
      <c r="A423" s="262"/>
      <c r="B423" s="282" t="str">
        <f>安装工程!B166</f>
        <v>配管</v>
      </c>
      <c r="C423" s="283" t="str">
        <f>安装工程!C166</f>
        <v>1.名称:电气配管
2.规格:JDG25
3.配置形式:吊顶内明敷
4.其它说明：满足规范和设计图纸要求</v>
      </c>
      <c r="D423" s="258">
        <f t="shared" si="46"/>
        <v>694.783776156</v>
      </c>
      <c r="E423" s="284">
        <f>安装工程!E166</f>
        <v>19.22</v>
      </c>
      <c r="F423" s="284">
        <v>36.1489998</v>
      </c>
      <c r="G423" s="260">
        <v>0</v>
      </c>
      <c r="H423" s="260">
        <v>0</v>
      </c>
      <c r="I423" s="260">
        <v>0</v>
      </c>
      <c r="J423" s="269">
        <f t="shared" ref="J423:J470" si="48">E423</f>
        <v>19.22</v>
      </c>
      <c r="K423" s="270">
        <v>0.8</v>
      </c>
      <c r="L423" s="269">
        <f t="shared" ref="L423:L463" si="49">J423*F423*K423</f>
        <v>555.8270209248</v>
      </c>
      <c r="M423" s="271">
        <f t="shared" ref="M423:M470" si="50">L423+I423</f>
        <v>555.8270209248</v>
      </c>
      <c r="N423" s="271"/>
      <c r="R423" s="243">
        <f t="shared" si="47"/>
        <v>54.2234997</v>
      </c>
    </row>
    <row r="424" customHeight="1" spans="1:18">
      <c r="A424" s="262"/>
      <c r="B424" s="282" t="str">
        <f>安装工程!B167</f>
        <v>配管</v>
      </c>
      <c r="C424" s="283" t="str">
        <f>安装工程!C167</f>
        <v>1.名称:电气配管
2.规格:JDG25
3.配置形式:暗敷
4.其它说明：满足规范和设计图纸要求</v>
      </c>
      <c r="D424" s="258">
        <f t="shared" si="46"/>
        <v>383.17939788</v>
      </c>
      <c r="E424" s="284">
        <f>安装工程!E167</f>
        <v>10.6</v>
      </c>
      <c r="F424" s="284">
        <v>36.1489998</v>
      </c>
      <c r="G424" s="260">
        <v>0</v>
      </c>
      <c r="H424" s="260">
        <v>0</v>
      </c>
      <c r="I424" s="260">
        <v>0</v>
      </c>
      <c r="J424" s="269">
        <f t="shared" si="48"/>
        <v>10.6</v>
      </c>
      <c r="K424" s="270">
        <v>0.8</v>
      </c>
      <c r="L424" s="269">
        <f t="shared" si="49"/>
        <v>306.543518304</v>
      </c>
      <c r="M424" s="271">
        <f t="shared" si="50"/>
        <v>306.543518304</v>
      </c>
      <c r="N424" s="271"/>
      <c r="R424" s="243">
        <f t="shared" si="47"/>
        <v>54.2234997</v>
      </c>
    </row>
    <row r="425" customHeight="1" spans="1:18">
      <c r="A425" s="262"/>
      <c r="B425" s="282" t="str">
        <f>安装工程!B168</f>
        <v>配管</v>
      </c>
      <c r="C425" s="283" t="str">
        <f>安装工程!C168</f>
        <v>1.名称:电气配管
2.规格:焊接钢管 SC40
3.配置形式:明敷
4.其它说明：满足规范和设计图纸要求</v>
      </c>
      <c r="D425" s="258">
        <f t="shared" si="46"/>
        <v>3222.55837566</v>
      </c>
      <c r="E425" s="284">
        <f>安装工程!E168</f>
        <v>28.99</v>
      </c>
      <c r="F425" s="284">
        <v>111.161034</v>
      </c>
      <c r="G425" s="260">
        <v>0</v>
      </c>
      <c r="H425" s="260">
        <v>0</v>
      </c>
      <c r="I425" s="260">
        <v>0</v>
      </c>
      <c r="J425" s="269">
        <f t="shared" si="48"/>
        <v>28.99</v>
      </c>
      <c r="K425" s="270">
        <v>0.8</v>
      </c>
      <c r="L425" s="269">
        <f t="shared" si="49"/>
        <v>2578.046700528</v>
      </c>
      <c r="M425" s="271">
        <f t="shared" si="50"/>
        <v>2578.046700528</v>
      </c>
      <c r="N425" s="271"/>
      <c r="R425" s="243">
        <f t="shared" si="47"/>
        <v>166.741551</v>
      </c>
    </row>
    <row r="426" customHeight="1" spans="1:18">
      <c r="A426" s="262"/>
      <c r="B426" s="282" t="str">
        <f>安装工程!B169</f>
        <v>配管</v>
      </c>
      <c r="C426" s="283" t="str">
        <f>安装工程!C169</f>
        <v>1.名称:电气配管
2.规格:焊接钢管 SC50
3.配置形式:明敷
4.其它说明：满足规范和设计图纸要求</v>
      </c>
      <c r="D426" s="258">
        <f t="shared" si="46"/>
        <v>4259.97505128</v>
      </c>
      <c r="E426" s="284">
        <f>安装工程!E169</f>
        <v>33.02</v>
      </c>
      <c r="F426" s="284">
        <v>129.011964</v>
      </c>
      <c r="G426" s="260">
        <v>0</v>
      </c>
      <c r="H426" s="260">
        <v>0</v>
      </c>
      <c r="I426" s="260">
        <v>0</v>
      </c>
      <c r="J426" s="269">
        <f t="shared" si="48"/>
        <v>33.02</v>
      </c>
      <c r="K426" s="270">
        <v>0.8</v>
      </c>
      <c r="L426" s="269">
        <f t="shared" si="49"/>
        <v>3407.980041024</v>
      </c>
      <c r="M426" s="271">
        <f t="shared" si="50"/>
        <v>3407.980041024</v>
      </c>
      <c r="N426" s="271"/>
      <c r="R426" s="243">
        <f t="shared" si="47"/>
        <v>193.517946</v>
      </c>
    </row>
    <row r="427" customHeight="1" spans="1:18">
      <c r="A427" s="262"/>
      <c r="B427" s="282" t="str">
        <f>安装工程!B170</f>
        <v>配管</v>
      </c>
      <c r="C427" s="283" t="str">
        <f>安装工程!C170</f>
        <v>1.名称:电气配管
2.规格:焊接钢管 SC100
3.配置形式:明敷
4.其它说明：满足规范和设计图纸要求</v>
      </c>
      <c r="D427" s="258">
        <f t="shared" si="46"/>
        <v>2334.29072625</v>
      </c>
      <c r="E427" s="284">
        <f>安装工程!E170</f>
        <v>12.25</v>
      </c>
      <c r="F427" s="284">
        <v>190.554345</v>
      </c>
      <c r="G427" s="260">
        <v>0</v>
      </c>
      <c r="H427" s="260">
        <v>0</v>
      </c>
      <c r="I427" s="260">
        <v>0</v>
      </c>
      <c r="J427" s="269">
        <f t="shared" si="48"/>
        <v>12.25</v>
      </c>
      <c r="K427" s="270">
        <v>0.8</v>
      </c>
      <c r="L427" s="269">
        <f t="shared" si="49"/>
        <v>1867.432581</v>
      </c>
      <c r="M427" s="271">
        <f t="shared" si="50"/>
        <v>1867.432581</v>
      </c>
      <c r="N427" s="271"/>
      <c r="R427" s="243">
        <f t="shared" si="47"/>
        <v>285.8315175</v>
      </c>
    </row>
    <row r="428" customHeight="1" spans="1:18">
      <c r="A428" s="262"/>
      <c r="B428" s="282" t="str">
        <f>安装工程!B171</f>
        <v>电力电缆</v>
      </c>
      <c r="C428" s="283" t="str">
        <f>安装工程!C171</f>
        <v>1.名称:电力电缆
2.规格:WDZR-YJY-5X10
3.敷设方式、部位:综合考虑
4.其它说明：满足规范和设计图纸要求</v>
      </c>
      <c r="D428" s="258">
        <f t="shared" si="46"/>
        <v>5233.92161877</v>
      </c>
      <c r="E428" s="284">
        <f>安装工程!E171</f>
        <v>51.97</v>
      </c>
      <c r="F428" s="284">
        <v>100.710441</v>
      </c>
      <c r="G428" s="260">
        <v>0</v>
      </c>
      <c r="H428" s="260">
        <v>0</v>
      </c>
      <c r="I428" s="260">
        <v>0</v>
      </c>
      <c r="J428" s="269">
        <f t="shared" si="48"/>
        <v>51.97</v>
      </c>
      <c r="K428" s="270">
        <v>0.8</v>
      </c>
      <c r="L428" s="269">
        <f t="shared" si="49"/>
        <v>4187.137295016</v>
      </c>
      <c r="M428" s="271">
        <f t="shared" si="50"/>
        <v>4187.137295016</v>
      </c>
      <c r="N428" s="271"/>
      <c r="R428" s="243">
        <f t="shared" si="47"/>
        <v>151.0656615</v>
      </c>
    </row>
    <row r="429" customHeight="1" spans="1:18">
      <c r="A429" s="262"/>
      <c r="B429" s="282" t="str">
        <f>安装工程!B172</f>
        <v>电力电缆</v>
      </c>
      <c r="C429" s="283" t="str">
        <f>安装工程!C172</f>
        <v>1.名称:电力电缆
2.规格:WDZR-YJY-5X16
3.敷设方式、部位:综合考虑
4.其它说明：满足规范和设计图纸要求</v>
      </c>
      <c r="D429" s="258">
        <f t="shared" si="46"/>
        <v>8484.33853707</v>
      </c>
      <c r="E429" s="284">
        <f>安装工程!E172</f>
        <v>60.61</v>
      </c>
      <c r="F429" s="284">
        <v>139.982487</v>
      </c>
      <c r="G429" s="260">
        <v>0</v>
      </c>
      <c r="H429" s="260">
        <v>0</v>
      </c>
      <c r="I429" s="260">
        <v>0</v>
      </c>
      <c r="J429" s="269">
        <f t="shared" si="48"/>
        <v>60.61</v>
      </c>
      <c r="K429" s="270">
        <v>0.8</v>
      </c>
      <c r="L429" s="269">
        <f t="shared" si="49"/>
        <v>6787.470829656</v>
      </c>
      <c r="M429" s="271">
        <f t="shared" si="50"/>
        <v>6787.470829656</v>
      </c>
      <c r="N429" s="271"/>
      <c r="R429" s="243">
        <f t="shared" si="47"/>
        <v>209.9737305</v>
      </c>
    </row>
    <row r="430" customHeight="1" spans="1:18">
      <c r="A430" s="262"/>
      <c r="B430" s="282" t="str">
        <f>安装工程!B173</f>
        <v>电力电缆</v>
      </c>
      <c r="C430" s="283" t="str">
        <f>安装工程!C173</f>
        <v>1.名称:电力电缆
2.规格:WDZR-YJY-4X95+1X50
3.敷设方式、部位:综合考虑
4.其它说明：满足规范和设计图纸要求</v>
      </c>
      <c r="D430" s="258">
        <f t="shared" si="46"/>
        <v>22554.24121671</v>
      </c>
      <c r="E430" s="284">
        <f>安装工程!E173</f>
        <v>41.93</v>
      </c>
      <c r="F430" s="284">
        <v>537.902247</v>
      </c>
      <c r="G430" s="260">
        <v>0</v>
      </c>
      <c r="H430" s="260">
        <v>0</v>
      </c>
      <c r="I430" s="260">
        <v>0</v>
      </c>
      <c r="J430" s="269">
        <f t="shared" si="48"/>
        <v>41.93</v>
      </c>
      <c r="K430" s="270">
        <v>0.8</v>
      </c>
      <c r="L430" s="269">
        <f t="shared" si="49"/>
        <v>18043.392973368</v>
      </c>
      <c r="M430" s="271">
        <f t="shared" si="50"/>
        <v>18043.392973368</v>
      </c>
      <c r="N430" s="271"/>
      <c r="R430" s="243">
        <f t="shared" si="47"/>
        <v>806.8533705</v>
      </c>
    </row>
    <row r="431" customHeight="1" spans="1:18">
      <c r="A431" s="262"/>
      <c r="B431" s="282" t="str">
        <f>安装工程!B174</f>
        <v>电力电缆头</v>
      </c>
      <c r="C431" s="283" t="str">
        <f>安装工程!C174</f>
        <v>1.名称:电力电缆终端头
2.规格:五芯10mm2
3.材质、类型:铜芯
4.安装部位:室内
5.其它说明：满足规范和设计图纸要求</v>
      </c>
      <c r="D431" s="258">
        <f t="shared" si="46"/>
        <v>204.783096</v>
      </c>
      <c r="E431" s="284">
        <f>安装工程!E174</f>
        <v>2</v>
      </c>
      <c r="F431" s="284">
        <v>102.391548</v>
      </c>
      <c r="G431" s="260">
        <v>0</v>
      </c>
      <c r="H431" s="260">
        <v>0</v>
      </c>
      <c r="I431" s="260">
        <v>0</v>
      </c>
      <c r="J431" s="269">
        <f t="shared" si="48"/>
        <v>2</v>
      </c>
      <c r="K431" s="270">
        <v>0.8</v>
      </c>
      <c r="L431" s="269">
        <f t="shared" si="49"/>
        <v>163.8264768</v>
      </c>
      <c r="M431" s="271">
        <f t="shared" si="50"/>
        <v>163.8264768</v>
      </c>
      <c r="N431" s="271"/>
      <c r="R431" s="243">
        <f t="shared" si="47"/>
        <v>153.587322</v>
      </c>
    </row>
    <row r="432" customHeight="1" spans="1:18">
      <c r="A432" s="262"/>
      <c r="B432" s="282" t="str">
        <f>安装工程!B175</f>
        <v>电力电缆头</v>
      </c>
      <c r="C432" s="283" t="str">
        <f>安装工程!C175</f>
        <v>1.名称:电力电缆终端头
2.规格:五芯16mm2
3.材质、类型:铜芯
4.安装部位:室内
5.其它说明：满足规范和设计图纸要求</v>
      </c>
      <c r="D432" s="258">
        <f t="shared" si="46"/>
        <v>1093.93272</v>
      </c>
      <c r="E432" s="284">
        <f>安装工程!E175</f>
        <v>10</v>
      </c>
      <c r="F432" s="284">
        <v>109.393272</v>
      </c>
      <c r="G432" s="260">
        <v>0</v>
      </c>
      <c r="H432" s="260">
        <v>0</v>
      </c>
      <c r="I432" s="260">
        <v>0</v>
      </c>
      <c r="J432" s="269">
        <f t="shared" si="48"/>
        <v>10</v>
      </c>
      <c r="K432" s="270">
        <v>0.8</v>
      </c>
      <c r="L432" s="269">
        <f t="shared" si="49"/>
        <v>875.146176</v>
      </c>
      <c r="M432" s="271">
        <f t="shared" si="50"/>
        <v>875.146176</v>
      </c>
      <c r="N432" s="271"/>
      <c r="R432" s="243">
        <f t="shared" si="47"/>
        <v>164.089908</v>
      </c>
    </row>
    <row r="433" customHeight="1" spans="1:18">
      <c r="A433" s="262"/>
      <c r="B433" s="282" t="str">
        <f>安装工程!B176</f>
        <v>电力电缆头</v>
      </c>
      <c r="C433" s="283" t="str">
        <f>安装工程!C176</f>
        <v>1.名称:电力电缆终端头
2.规格:五芯95mm2
3.材质、类型:铜芯
4.安装部位:室内
5.其它说明：满足规范和设计图纸要求</v>
      </c>
      <c r="D433" s="258">
        <f t="shared" si="46"/>
        <v>288.803784</v>
      </c>
      <c r="E433" s="284">
        <f>安装工程!E176</f>
        <v>2</v>
      </c>
      <c r="F433" s="284">
        <v>144.401892</v>
      </c>
      <c r="G433" s="260">
        <v>0</v>
      </c>
      <c r="H433" s="260">
        <v>0</v>
      </c>
      <c r="I433" s="260">
        <v>0</v>
      </c>
      <c r="J433" s="269">
        <f t="shared" si="48"/>
        <v>2</v>
      </c>
      <c r="K433" s="270">
        <v>0.8</v>
      </c>
      <c r="L433" s="269">
        <f t="shared" si="49"/>
        <v>231.0430272</v>
      </c>
      <c r="M433" s="271">
        <f t="shared" si="50"/>
        <v>231.0430272</v>
      </c>
      <c r="N433" s="271"/>
      <c r="R433" s="243">
        <f t="shared" si="47"/>
        <v>216.602838</v>
      </c>
    </row>
    <row r="434" customHeight="1" spans="1:18">
      <c r="A434" s="262"/>
      <c r="B434" s="282" t="str">
        <f>安装工程!B177</f>
        <v>配线</v>
      </c>
      <c r="C434" s="283" t="str">
        <f>安装工程!C177</f>
        <v>1.名称:铜芯导线
2.规格、型号:WDZ-BYJ-1.0
3.敷设方式:穿管敷设
4.其它说明：满足规范和设计图纸要求</v>
      </c>
      <c r="D434" s="258">
        <f t="shared" si="46"/>
        <v>2734.96074264</v>
      </c>
      <c r="E434" s="284">
        <f>安装工程!E177</f>
        <v>208.74</v>
      </c>
      <c r="F434" s="284">
        <v>13.102236</v>
      </c>
      <c r="G434" s="260">
        <v>0</v>
      </c>
      <c r="H434" s="260">
        <v>0</v>
      </c>
      <c r="I434" s="260">
        <v>0</v>
      </c>
      <c r="J434" s="269">
        <f t="shared" si="48"/>
        <v>208.74</v>
      </c>
      <c r="K434" s="270">
        <v>0.8</v>
      </c>
      <c r="L434" s="269">
        <f t="shared" si="49"/>
        <v>2187.968594112</v>
      </c>
      <c r="M434" s="271">
        <f t="shared" si="50"/>
        <v>2187.968594112</v>
      </c>
      <c r="N434" s="271"/>
      <c r="R434" s="243">
        <f t="shared" si="47"/>
        <v>19.653354</v>
      </c>
    </row>
    <row r="435" customHeight="1" spans="1:18">
      <c r="A435" s="262"/>
      <c r="B435" s="282" t="str">
        <f>安装工程!B178</f>
        <v>配线</v>
      </c>
      <c r="C435" s="283" t="str">
        <f>安装工程!C178</f>
        <v>1.名称:铜芯导线
2.规格、型号:WDZ-BYJ-2.5
3.敷设方式:穿管敷设
4.其它说明：满足规范和设计图纸要求</v>
      </c>
      <c r="D435" s="258">
        <f t="shared" si="46"/>
        <v>11334.889112112</v>
      </c>
      <c r="E435" s="284">
        <f>安装工程!E178</f>
        <v>1003.72</v>
      </c>
      <c r="F435" s="284">
        <v>11.2928796</v>
      </c>
      <c r="G435" s="260">
        <v>0</v>
      </c>
      <c r="H435" s="260">
        <v>0</v>
      </c>
      <c r="I435" s="260">
        <v>0</v>
      </c>
      <c r="J435" s="269">
        <f t="shared" si="48"/>
        <v>1003.72</v>
      </c>
      <c r="K435" s="270">
        <v>0.8</v>
      </c>
      <c r="L435" s="269">
        <f t="shared" si="49"/>
        <v>9067.9112896896</v>
      </c>
      <c r="M435" s="271">
        <f t="shared" si="50"/>
        <v>9067.9112896896</v>
      </c>
      <c r="N435" s="271"/>
      <c r="R435" s="243">
        <f t="shared" si="47"/>
        <v>16.9393194</v>
      </c>
    </row>
    <row r="436" customHeight="1" spans="1:18">
      <c r="A436" s="262"/>
      <c r="B436" s="282" t="str">
        <f>安装工程!B179</f>
        <v>配线</v>
      </c>
      <c r="C436" s="283" t="str">
        <f>安装工程!C179</f>
        <v>1.名称:铜芯导线
2.规格、型号:WDZ-BYJ-4
3.敷设方式:穿管敷设
4.其它说明：满足规范和设计图纸要求</v>
      </c>
      <c r="D436" s="258">
        <f t="shared" si="46"/>
        <v>4813.049340948</v>
      </c>
      <c r="E436" s="284">
        <f>安装工程!E179</f>
        <v>373.07</v>
      </c>
      <c r="F436" s="284">
        <v>12.9011964</v>
      </c>
      <c r="G436" s="260">
        <v>0</v>
      </c>
      <c r="H436" s="260">
        <v>0</v>
      </c>
      <c r="I436" s="260">
        <v>0</v>
      </c>
      <c r="J436" s="269">
        <f t="shared" si="48"/>
        <v>373.07</v>
      </c>
      <c r="K436" s="270">
        <v>0.8</v>
      </c>
      <c r="L436" s="269">
        <f t="shared" si="49"/>
        <v>3850.4394727584</v>
      </c>
      <c r="M436" s="271">
        <f t="shared" si="50"/>
        <v>3850.4394727584</v>
      </c>
      <c r="N436" s="271"/>
      <c r="R436" s="243">
        <f t="shared" si="47"/>
        <v>19.3517946</v>
      </c>
    </row>
    <row r="437" customHeight="1" spans="1:18">
      <c r="A437" s="262"/>
      <c r="B437" s="282" t="str">
        <f>安装工程!B180</f>
        <v>装饰灯</v>
      </c>
      <c r="C437" s="283" t="str">
        <f>安装工程!C180</f>
        <v>1.名称:石英圆形射灯
2.规格:详见图纸
3.安装方式:吸顶
4.其它说明：满足规范和设计图纸要求</v>
      </c>
      <c r="D437" s="258">
        <f t="shared" si="46"/>
        <v>16342.699725</v>
      </c>
      <c r="E437" s="284">
        <f>安装工程!E180</f>
        <v>55</v>
      </c>
      <c r="F437" s="284">
        <v>297.139995</v>
      </c>
      <c r="G437" s="260">
        <v>0</v>
      </c>
      <c r="H437" s="260">
        <v>0</v>
      </c>
      <c r="I437" s="260">
        <v>0</v>
      </c>
      <c r="J437" s="269">
        <f t="shared" si="48"/>
        <v>55</v>
      </c>
      <c r="K437" s="270">
        <v>0</v>
      </c>
      <c r="L437" s="269">
        <f t="shared" si="49"/>
        <v>0</v>
      </c>
      <c r="M437" s="271">
        <f t="shared" si="50"/>
        <v>0</v>
      </c>
      <c r="N437" s="271"/>
      <c r="R437" s="243">
        <f t="shared" si="47"/>
        <v>445.7099925</v>
      </c>
    </row>
    <row r="438" customHeight="1" spans="1:18">
      <c r="A438" s="262"/>
      <c r="B438" s="282" t="str">
        <f>安装工程!B181</f>
        <v>装饰灯</v>
      </c>
      <c r="C438" s="283" t="str">
        <f>安装工程!C181</f>
        <v>1.名称:双头射灯
2.规格:详见图纸
3.安装方式:吸顶
4.其它说明：满足规范和设计图纸要求</v>
      </c>
      <c r="D438" s="258">
        <f t="shared" si="46"/>
        <v>8622.259155</v>
      </c>
      <c r="E438" s="284">
        <f>安装工程!E181</f>
        <v>17</v>
      </c>
      <c r="F438" s="284">
        <v>507.191715</v>
      </c>
      <c r="G438" s="260">
        <v>0</v>
      </c>
      <c r="H438" s="260">
        <v>0</v>
      </c>
      <c r="I438" s="260">
        <v>0</v>
      </c>
      <c r="J438" s="269">
        <f t="shared" si="48"/>
        <v>17</v>
      </c>
      <c r="K438" s="270">
        <v>0</v>
      </c>
      <c r="L438" s="269">
        <f t="shared" si="49"/>
        <v>0</v>
      </c>
      <c r="M438" s="271">
        <f t="shared" si="50"/>
        <v>0</v>
      </c>
      <c r="N438" s="271"/>
      <c r="R438" s="243">
        <f t="shared" si="47"/>
        <v>760.7875725</v>
      </c>
    </row>
    <row r="439" customHeight="1" spans="1:18">
      <c r="A439" s="262"/>
      <c r="B439" s="282" t="str">
        <f>安装工程!B182</f>
        <v>装饰灯</v>
      </c>
      <c r="C439" s="283" t="str">
        <f>安装工程!C182</f>
        <v>1.名称:艺术壁灯
2.规格:详见图纸
3.安装方式:壁装
4.其它说明：满足规范和设计图纸要求</v>
      </c>
      <c r="D439" s="258">
        <f t="shared" si="46"/>
        <v>0</v>
      </c>
      <c r="E439" s="284">
        <f>安装工程!E182</f>
        <v>6</v>
      </c>
      <c r="F439" s="284">
        <v>0</v>
      </c>
      <c r="G439" s="260">
        <v>0</v>
      </c>
      <c r="H439" s="260">
        <v>0</v>
      </c>
      <c r="I439" s="260">
        <v>0</v>
      </c>
      <c r="J439" s="269">
        <f t="shared" si="48"/>
        <v>6</v>
      </c>
      <c r="K439" s="278"/>
      <c r="L439" s="269"/>
      <c r="M439" s="271"/>
      <c r="N439" s="271"/>
      <c r="R439" s="243">
        <f t="shared" si="47"/>
        <v>0</v>
      </c>
    </row>
    <row r="440" customHeight="1" spans="1:18">
      <c r="A440" s="262"/>
      <c r="B440" s="282" t="str">
        <f>安装工程!B183</f>
        <v>装饰灯</v>
      </c>
      <c r="C440" s="283" t="str">
        <f>安装工程!C183</f>
        <v>1.名称:LED灯带
2.规格:详见图纸
3.安装方式:天棚内 
4.其它说明：满足规范和设计图纸要求</v>
      </c>
      <c r="D440" s="258">
        <f t="shared" si="46"/>
        <v>2410.603452</v>
      </c>
      <c r="E440" s="284">
        <f>安装工程!E183</f>
        <v>27.68</v>
      </c>
      <c r="F440" s="284">
        <v>87.088275</v>
      </c>
      <c r="G440" s="260">
        <v>0</v>
      </c>
      <c r="H440" s="260">
        <v>0</v>
      </c>
      <c r="I440" s="260">
        <v>0</v>
      </c>
      <c r="J440" s="269">
        <f t="shared" si="48"/>
        <v>27.68</v>
      </c>
      <c r="K440" s="270">
        <v>0</v>
      </c>
      <c r="L440" s="269">
        <f t="shared" si="49"/>
        <v>0</v>
      </c>
      <c r="M440" s="271">
        <f t="shared" si="50"/>
        <v>0</v>
      </c>
      <c r="N440" s="271"/>
      <c r="R440" s="243">
        <f t="shared" si="47"/>
        <v>130.6324125</v>
      </c>
    </row>
    <row r="441" customHeight="1" spans="1:18">
      <c r="A441" s="262"/>
      <c r="B441" s="282" t="str">
        <f>安装工程!B184</f>
        <v>照明开关</v>
      </c>
      <c r="C441" s="283" t="str">
        <f>安装工程!C184</f>
        <v>1.名称:一位面板开关
2.规格:250V/10A
3.安装方式:暗装</v>
      </c>
      <c r="D441" s="258">
        <f t="shared" si="46"/>
        <v>83.674068</v>
      </c>
      <c r="E441" s="284">
        <f>安装工程!E184</f>
        <v>1</v>
      </c>
      <c r="F441" s="284">
        <v>83.674068</v>
      </c>
      <c r="G441" s="260">
        <v>0</v>
      </c>
      <c r="H441" s="260">
        <v>0</v>
      </c>
      <c r="I441" s="260">
        <v>0</v>
      </c>
      <c r="J441" s="269">
        <f t="shared" si="48"/>
        <v>1</v>
      </c>
      <c r="K441" s="270">
        <v>0</v>
      </c>
      <c r="L441" s="269">
        <f t="shared" si="49"/>
        <v>0</v>
      </c>
      <c r="M441" s="271">
        <f t="shared" si="50"/>
        <v>0</v>
      </c>
      <c r="N441" s="271"/>
      <c r="R441" s="243">
        <f t="shared" si="47"/>
        <v>125.511102</v>
      </c>
    </row>
    <row r="442" customHeight="1" spans="1:18">
      <c r="A442" s="262"/>
      <c r="B442" s="282" t="str">
        <f>安装工程!B185</f>
        <v>照明开关</v>
      </c>
      <c r="C442" s="283" t="str">
        <f>安装工程!C185</f>
        <v>1.名称:三位面板开关
2.规格:250V/10A
3.安装方式:暗装</v>
      </c>
      <c r="D442" s="258">
        <f t="shared" si="46"/>
        <v>707.191455</v>
      </c>
      <c r="E442" s="284">
        <f>安装工程!E185</f>
        <v>5</v>
      </c>
      <c r="F442" s="284">
        <v>141.438291</v>
      </c>
      <c r="G442" s="260">
        <v>0</v>
      </c>
      <c r="H442" s="260">
        <v>0</v>
      </c>
      <c r="I442" s="260">
        <v>0</v>
      </c>
      <c r="J442" s="269">
        <f t="shared" si="48"/>
        <v>5</v>
      </c>
      <c r="K442" s="270">
        <v>0</v>
      </c>
      <c r="L442" s="269">
        <f t="shared" si="49"/>
        <v>0</v>
      </c>
      <c r="M442" s="271">
        <f t="shared" si="50"/>
        <v>0</v>
      </c>
      <c r="N442" s="271"/>
      <c r="R442" s="243">
        <f t="shared" si="47"/>
        <v>212.1574365</v>
      </c>
    </row>
    <row r="443" customHeight="1" spans="1:18">
      <c r="A443" s="262"/>
      <c r="B443" s="282" t="str">
        <f>安装工程!B186</f>
        <v>照明开关</v>
      </c>
      <c r="C443" s="283" t="str">
        <f>安装工程!C186</f>
        <v>1.名称:电动窗帘控制面板
2.规格:250V/10A
3.安装方式:暗装</v>
      </c>
      <c r="D443" s="258">
        <f t="shared" si="46"/>
        <v>130.935705</v>
      </c>
      <c r="E443" s="284">
        <f>安装工程!E186</f>
        <v>1</v>
      </c>
      <c r="F443" s="284">
        <v>130.935705</v>
      </c>
      <c r="G443" s="260">
        <v>0</v>
      </c>
      <c r="H443" s="260">
        <v>0</v>
      </c>
      <c r="I443" s="260">
        <v>0</v>
      </c>
      <c r="J443" s="269">
        <f t="shared" si="48"/>
        <v>1</v>
      </c>
      <c r="K443" s="270">
        <v>0</v>
      </c>
      <c r="L443" s="269">
        <f t="shared" si="49"/>
        <v>0</v>
      </c>
      <c r="M443" s="271">
        <f t="shared" si="50"/>
        <v>0</v>
      </c>
      <c r="N443" s="271"/>
      <c r="R443" s="243">
        <f t="shared" si="47"/>
        <v>196.4035575</v>
      </c>
    </row>
    <row r="444" customHeight="1" spans="1:18">
      <c r="A444" s="262"/>
      <c r="B444" s="282" t="str">
        <f>安装工程!B187</f>
        <v>照明开关</v>
      </c>
      <c r="C444" s="283" t="str">
        <f>安装工程!C187</f>
        <v>1.名称:空调控制开关
2.规格:250V/10A
3.安装方式:暗装</v>
      </c>
      <c r="D444" s="258">
        <f t="shared" si="46"/>
        <v>323.483115</v>
      </c>
      <c r="E444" s="284">
        <f>安装工程!E187</f>
        <v>1</v>
      </c>
      <c r="F444" s="284">
        <v>323.483115</v>
      </c>
      <c r="G444" s="260">
        <v>0</v>
      </c>
      <c r="H444" s="260">
        <v>0</v>
      </c>
      <c r="I444" s="260">
        <v>0</v>
      </c>
      <c r="J444" s="269">
        <f t="shared" si="48"/>
        <v>1</v>
      </c>
      <c r="K444" s="270">
        <v>0</v>
      </c>
      <c r="L444" s="269">
        <f t="shared" si="49"/>
        <v>0</v>
      </c>
      <c r="M444" s="271">
        <f t="shared" si="50"/>
        <v>0</v>
      </c>
      <c r="N444" s="271"/>
      <c r="R444" s="243">
        <f t="shared" si="47"/>
        <v>485.2246725</v>
      </c>
    </row>
    <row r="445" customHeight="1" spans="1:18">
      <c r="A445" s="262"/>
      <c r="B445" s="282" t="str">
        <f>安装工程!B188</f>
        <v>控制开关</v>
      </c>
      <c r="C445" s="283" t="str">
        <f>安装工程!C188</f>
        <v>1.名称:温控开关
2.规格:250V/10A
3.安装方式:暗装</v>
      </c>
      <c r="D445" s="258">
        <f t="shared" si="46"/>
        <v>1503.29094</v>
      </c>
      <c r="E445" s="284">
        <f>安装工程!E188</f>
        <v>4</v>
      </c>
      <c r="F445" s="284">
        <v>375.822735</v>
      </c>
      <c r="G445" s="260">
        <v>0</v>
      </c>
      <c r="H445" s="260">
        <v>0</v>
      </c>
      <c r="I445" s="260">
        <v>0</v>
      </c>
      <c r="J445" s="269">
        <f t="shared" si="48"/>
        <v>4</v>
      </c>
      <c r="K445" s="270">
        <v>0</v>
      </c>
      <c r="L445" s="269">
        <f t="shared" si="49"/>
        <v>0</v>
      </c>
      <c r="M445" s="271">
        <f t="shared" si="50"/>
        <v>0</v>
      </c>
      <c r="N445" s="271"/>
      <c r="R445" s="243">
        <f t="shared" si="47"/>
        <v>563.7341025</v>
      </c>
    </row>
    <row r="446" customHeight="1" spans="1:18">
      <c r="A446" s="262"/>
      <c r="B446" s="282" t="str">
        <f>安装工程!B189</f>
        <v>插座</v>
      </c>
      <c r="C446" s="283" t="str">
        <f>安装工程!C189</f>
        <v>1.名称：单相二、三极插座
2.规格：250V 10A
3.安装方式：暗装</v>
      </c>
      <c r="D446" s="258">
        <f t="shared" si="46"/>
        <v>1087.762884</v>
      </c>
      <c r="E446" s="284">
        <f>安装工程!E189</f>
        <v>13</v>
      </c>
      <c r="F446" s="284">
        <v>83.674068</v>
      </c>
      <c r="G446" s="260">
        <v>0</v>
      </c>
      <c r="H446" s="260">
        <v>0</v>
      </c>
      <c r="I446" s="260">
        <v>0</v>
      </c>
      <c r="J446" s="269">
        <f t="shared" si="48"/>
        <v>13</v>
      </c>
      <c r="K446" s="270">
        <v>0</v>
      </c>
      <c r="L446" s="269">
        <f t="shared" si="49"/>
        <v>0</v>
      </c>
      <c r="M446" s="271">
        <f t="shared" si="50"/>
        <v>0</v>
      </c>
      <c r="N446" s="271"/>
      <c r="R446" s="243">
        <f t="shared" si="47"/>
        <v>125.511102</v>
      </c>
    </row>
    <row r="447" customHeight="1" spans="1:18">
      <c r="A447" s="262"/>
      <c r="B447" s="282" t="str">
        <f>安装工程!B190</f>
        <v>插座</v>
      </c>
      <c r="C447" s="283" t="str">
        <f>安装工程!C190</f>
        <v>1.名称：单相二、三极地面插座
2.规格：250V 10A
3.安装方式：地面暗装</v>
      </c>
      <c r="D447" s="258">
        <f t="shared" si="46"/>
        <v>1495.578645</v>
      </c>
      <c r="E447" s="284">
        <f>安装工程!E190</f>
        <v>3</v>
      </c>
      <c r="F447" s="284">
        <v>498.526215</v>
      </c>
      <c r="G447" s="260">
        <v>0</v>
      </c>
      <c r="H447" s="260">
        <v>0</v>
      </c>
      <c r="I447" s="260">
        <v>0</v>
      </c>
      <c r="J447" s="269">
        <f t="shared" si="48"/>
        <v>3</v>
      </c>
      <c r="K447" s="270">
        <v>0</v>
      </c>
      <c r="L447" s="269">
        <f t="shared" si="49"/>
        <v>0</v>
      </c>
      <c r="M447" s="271">
        <f t="shared" si="50"/>
        <v>0</v>
      </c>
      <c r="N447" s="271"/>
      <c r="R447" s="243">
        <f t="shared" si="47"/>
        <v>747.7893225</v>
      </c>
    </row>
    <row r="448" customHeight="1" spans="1:18">
      <c r="A448" s="262"/>
      <c r="B448" s="282" t="str">
        <f>安装工程!B191</f>
        <v>接线盒</v>
      </c>
      <c r="C448" s="283" t="str">
        <f>安装工程!C191</f>
        <v>1.名称:开关（插座）盒
2.材质:详见图纸
3.安装形式:暗装</v>
      </c>
      <c r="D448" s="258">
        <f t="shared" si="46"/>
        <v>500.44718304</v>
      </c>
      <c r="E448" s="284">
        <f>安装工程!E191</f>
        <v>28</v>
      </c>
      <c r="F448" s="284">
        <v>17.87311368</v>
      </c>
      <c r="G448" s="260">
        <v>0</v>
      </c>
      <c r="H448" s="260">
        <v>0</v>
      </c>
      <c r="I448" s="260">
        <v>0</v>
      </c>
      <c r="J448" s="269">
        <f t="shared" si="48"/>
        <v>28</v>
      </c>
      <c r="K448" s="270">
        <v>0.8</v>
      </c>
      <c r="L448" s="269">
        <f t="shared" si="49"/>
        <v>400.357746432</v>
      </c>
      <c r="M448" s="271">
        <f t="shared" si="50"/>
        <v>400.357746432</v>
      </c>
      <c r="N448" s="271"/>
      <c r="R448" s="243">
        <f t="shared" si="47"/>
        <v>26.80967052</v>
      </c>
    </row>
    <row r="449" customHeight="1" spans="1:18">
      <c r="A449" s="262"/>
      <c r="B449" s="282" t="str">
        <f>安装工程!B192</f>
        <v>接线盒</v>
      </c>
      <c r="C449" s="283" t="str">
        <f>安装工程!C192</f>
        <v>1.名称:接线盒
2.材质:详见图纸
3.安装形式:暗装</v>
      </c>
      <c r="D449" s="258">
        <f t="shared" si="46"/>
        <v>1823.05759536</v>
      </c>
      <c r="E449" s="284">
        <f>安装工程!E192</f>
        <v>102</v>
      </c>
      <c r="F449" s="284">
        <v>17.87311368</v>
      </c>
      <c r="G449" s="260">
        <v>0</v>
      </c>
      <c r="H449" s="260">
        <v>0</v>
      </c>
      <c r="I449" s="260">
        <v>0</v>
      </c>
      <c r="J449" s="269">
        <f t="shared" si="48"/>
        <v>102</v>
      </c>
      <c r="K449" s="270">
        <v>0.8</v>
      </c>
      <c r="L449" s="269">
        <f t="shared" si="49"/>
        <v>1458.446076288</v>
      </c>
      <c r="M449" s="271">
        <f t="shared" si="50"/>
        <v>1458.446076288</v>
      </c>
      <c r="N449" s="271"/>
      <c r="R449" s="243">
        <f t="shared" si="47"/>
        <v>26.80967052</v>
      </c>
    </row>
    <row r="450" customHeight="1" spans="1:18">
      <c r="A450" s="262"/>
      <c r="B450" s="282" t="str">
        <f>安装工程!B193</f>
        <v>弱电</v>
      </c>
      <c r="C450" s="283"/>
      <c r="D450" s="258"/>
      <c r="E450" s="284">
        <f>安装工程!E193</f>
        <v>0</v>
      </c>
      <c r="F450" s="284">
        <v>0</v>
      </c>
      <c r="G450" s="260">
        <v>0</v>
      </c>
      <c r="H450" s="260">
        <v>0</v>
      </c>
      <c r="I450" s="260">
        <v>0</v>
      </c>
      <c r="J450" s="269">
        <f t="shared" si="48"/>
        <v>0</v>
      </c>
      <c r="K450" s="278"/>
      <c r="L450" s="269"/>
      <c r="M450" s="271">
        <f t="shared" si="50"/>
        <v>0</v>
      </c>
      <c r="N450" s="271"/>
      <c r="R450" s="243">
        <f t="shared" si="47"/>
        <v>0</v>
      </c>
    </row>
    <row r="451" customHeight="1" spans="1:18">
      <c r="A451" s="262"/>
      <c r="B451" s="282" t="str">
        <f>安装工程!B194</f>
        <v>配管</v>
      </c>
      <c r="C451" s="283" t="str">
        <f>安装工程!C194</f>
        <v>1.名称:电气配管
2.规格:JDG20
3.配置形式:吊顶内明敷
4.其它说明：满足规范和设计图纸要求</v>
      </c>
      <c r="D451" s="258">
        <f t="shared" si="46"/>
        <v>2172.149255925</v>
      </c>
      <c r="E451" s="284">
        <f>安装工程!E194</f>
        <v>70.95</v>
      </c>
      <c r="F451" s="284">
        <v>30.6152115</v>
      </c>
      <c r="G451" s="260">
        <v>0</v>
      </c>
      <c r="H451" s="260">
        <v>0</v>
      </c>
      <c r="I451" s="260">
        <v>0</v>
      </c>
      <c r="J451" s="269">
        <f t="shared" si="48"/>
        <v>70.95</v>
      </c>
      <c r="K451" s="270">
        <v>0.8</v>
      </c>
      <c r="L451" s="269">
        <f t="shared" si="49"/>
        <v>1737.71940474</v>
      </c>
      <c r="M451" s="271">
        <f t="shared" si="50"/>
        <v>1737.71940474</v>
      </c>
      <c r="N451" s="271"/>
      <c r="R451" s="243">
        <f t="shared" si="47"/>
        <v>45.92281725</v>
      </c>
    </row>
    <row r="452" customHeight="1" spans="1:18">
      <c r="A452" s="262"/>
      <c r="B452" s="282" t="str">
        <f>安装工程!B195</f>
        <v>配管</v>
      </c>
      <c r="C452" s="283" t="str">
        <f>安装工程!C195</f>
        <v>1.名称:电气配管
2.规格:JDG20
3.配置形式:暗敷
4.其它说明：满足规范和设计图纸要求</v>
      </c>
      <c r="D452" s="258">
        <f t="shared" si="46"/>
        <v>70.41498645</v>
      </c>
      <c r="E452" s="284">
        <f>安装工程!E195</f>
        <v>2.3</v>
      </c>
      <c r="F452" s="284">
        <v>30.6152115</v>
      </c>
      <c r="G452" s="260">
        <v>0</v>
      </c>
      <c r="H452" s="260">
        <v>0</v>
      </c>
      <c r="I452" s="260">
        <v>0</v>
      </c>
      <c r="J452" s="269">
        <f t="shared" si="48"/>
        <v>2.3</v>
      </c>
      <c r="K452" s="270">
        <v>0.8</v>
      </c>
      <c r="L452" s="269">
        <f t="shared" si="49"/>
        <v>56.33198916</v>
      </c>
      <c r="M452" s="271">
        <f t="shared" si="50"/>
        <v>56.33198916</v>
      </c>
      <c r="N452" s="271"/>
      <c r="R452" s="243">
        <f t="shared" si="47"/>
        <v>45.92281725</v>
      </c>
    </row>
    <row r="453" customHeight="1" spans="1:18">
      <c r="A453" s="262"/>
      <c r="B453" s="282" t="str">
        <f>安装工程!B196</f>
        <v>配管</v>
      </c>
      <c r="C453" s="283" t="str">
        <f>安装工程!C196</f>
        <v>1.名称:电气配管
2.规格:JDG25
3.配置形式:吊顶内明敷
4.其它说明：满足规范和设计图纸要求</v>
      </c>
      <c r="D453" s="258">
        <f t="shared" si="46"/>
        <v>255.211938588</v>
      </c>
      <c r="E453" s="284">
        <f>安装工程!E196</f>
        <v>7.06</v>
      </c>
      <c r="F453" s="284">
        <v>36.1489998</v>
      </c>
      <c r="G453" s="260">
        <v>0</v>
      </c>
      <c r="H453" s="260">
        <v>0</v>
      </c>
      <c r="I453" s="260">
        <v>0</v>
      </c>
      <c r="J453" s="269">
        <f t="shared" si="48"/>
        <v>7.06</v>
      </c>
      <c r="K453" s="270">
        <v>0.8</v>
      </c>
      <c r="L453" s="269">
        <f t="shared" si="49"/>
        <v>204.1695508704</v>
      </c>
      <c r="M453" s="271">
        <f t="shared" si="50"/>
        <v>204.1695508704</v>
      </c>
      <c r="N453" s="271"/>
      <c r="R453" s="243">
        <f t="shared" si="47"/>
        <v>54.2234997</v>
      </c>
    </row>
    <row r="454" customHeight="1" spans="1:18">
      <c r="A454" s="262"/>
      <c r="B454" s="282" t="str">
        <f>安装工程!B197</f>
        <v>配管</v>
      </c>
      <c r="C454" s="283" t="str">
        <f>安装工程!C197</f>
        <v>1.名称:电气配管
2.规格:JDG25
3.配置形式:暗敷
4.其它说明：满足规范和设计图纸要求</v>
      </c>
      <c r="D454" s="258">
        <f t="shared" si="46"/>
        <v>10.84469994</v>
      </c>
      <c r="E454" s="284">
        <f>安装工程!E197</f>
        <v>0.3</v>
      </c>
      <c r="F454" s="284">
        <v>36.1489998</v>
      </c>
      <c r="G454" s="260">
        <v>0</v>
      </c>
      <c r="H454" s="260">
        <v>0</v>
      </c>
      <c r="I454" s="260">
        <v>0</v>
      </c>
      <c r="J454" s="269">
        <f t="shared" si="48"/>
        <v>0.3</v>
      </c>
      <c r="K454" s="270">
        <v>0.8</v>
      </c>
      <c r="L454" s="269">
        <f t="shared" si="49"/>
        <v>8.675759952</v>
      </c>
      <c r="M454" s="271">
        <f t="shared" si="50"/>
        <v>8.675759952</v>
      </c>
      <c r="N454" s="271"/>
      <c r="R454" s="243">
        <f t="shared" si="47"/>
        <v>54.2234997</v>
      </c>
    </row>
    <row r="455" customHeight="1" spans="1:18">
      <c r="A455" s="262"/>
      <c r="B455" s="282" t="str">
        <f>安装工程!B198</f>
        <v>配线</v>
      </c>
      <c r="C455" s="283" t="str">
        <f>安装工程!C198</f>
        <v>1.名称:多芯软导线
2.规格、型号:HYV-4x0.5
3.敷设方式:穿管敷设
4.其它说明：满足规范和设计图纸要求</v>
      </c>
      <c r="D455" s="258">
        <f t="shared" si="46"/>
        <v>199.048198776</v>
      </c>
      <c r="E455" s="284">
        <f>安装工程!E198</f>
        <v>17.02</v>
      </c>
      <c r="F455" s="284">
        <v>11.6949588</v>
      </c>
      <c r="G455" s="260">
        <v>0</v>
      </c>
      <c r="H455" s="260">
        <v>0</v>
      </c>
      <c r="I455" s="260">
        <v>0</v>
      </c>
      <c r="J455" s="269">
        <f t="shared" si="48"/>
        <v>17.02</v>
      </c>
      <c r="K455" s="270">
        <v>0.8</v>
      </c>
      <c r="L455" s="269">
        <f t="shared" si="49"/>
        <v>159.2385590208</v>
      </c>
      <c r="M455" s="271">
        <f t="shared" si="50"/>
        <v>159.2385590208</v>
      </c>
      <c r="N455" s="271"/>
      <c r="R455" s="243">
        <f t="shared" si="47"/>
        <v>17.5424382</v>
      </c>
    </row>
    <row r="456" customHeight="1" spans="1:18">
      <c r="A456" s="262"/>
      <c r="B456" s="282" t="str">
        <f>安装工程!B199</f>
        <v>配线</v>
      </c>
      <c r="C456" s="283" t="str">
        <f>安装工程!C199</f>
        <v>1.名称:多芯软导线
2.规格、型号:HYV-4x0.5
3.敷设方式:桥架内敷设
4.其它说明：满足规范和设计图纸要求</v>
      </c>
      <c r="D456" s="258">
        <f t="shared" ref="D456:D499" si="51">E456*F456</f>
        <v>295.2977097</v>
      </c>
      <c r="E456" s="284">
        <f>安装工程!E199</f>
        <v>25.25</v>
      </c>
      <c r="F456" s="284">
        <v>11.6949588</v>
      </c>
      <c r="G456" s="260">
        <v>0</v>
      </c>
      <c r="H456" s="260">
        <v>0</v>
      </c>
      <c r="I456" s="260">
        <v>0</v>
      </c>
      <c r="J456" s="269">
        <f t="shared" si="48"/>
        <v>25.25</v>
      </c>
      <c r="K456" s="270">
        <v>0.8</v>
      </c>
      <c r="L456" s="269">
        <f t="shared" si="49"/>
        <v>236.23816776</v>
      </c>
      <c r="M456" s="271">
        <f t="shared" si="50"/>
        <v>236.23816776</v>
      </c>
      <c r="N456" s="271"/>
      <c r="R456" s="243">
        <f t="shared" ref="R456:R500" si="52">F456*$R$4</f>
        <v>17.5424382</v>
      </c>
    </row>
    <row r="457" customHeight="1" spans="1:18">
      <c r="A457" s="262"/>
      <c r="B457" s="282" t="str">
        <f>安装工程!B200</f>
        <v>配线</v>
      </c>
      <c r="C457" s="283" t="str">
        <f>安装工程!C200</f>
        <v>1.名称:多芯软导线
2.规格、型号:RVV-2x1.5
3.敷设方式:穿管敷设
4.其它说明：满足规范和设计图纸要求</v>
      </c>
      <c r="D457" s="258">
        <f t="shared" si="51"/>
        <v>324.41136336</v>
      </c>
      <c r="E457" s="284">
        <f>安装工程!E200</f>
        <v>24.76</v>
      </c>
      <c r="F457" s="284">
        <v>13.102236</v>
      </c>
      <c r="G457" s="260">
        <v>0</v>
      </c>
      <c r="H457" s="260">
        <v>0</v>
      </c>
      <c r="I457" s="260">
        <v>0</v>
      </c>
      <c r="J457" s="269">
        <f t="shared" si="48"/>
        <v>24.76</v>
      </c>
      <c r="K457" s="270">
        <v>0.8</v>
      </c>
      <c r="L457" s="269">
        <f t="shared" si="49"/>
        <v>259.529090688</v>
      </c>
      <c r="M457" s="271">
        <f t="shared" si="50"/>
        <v>259.529090688</v>
      </c>
      <c r="N457" s="271"/>
      <c r="R457" s="243">
        <f t="shared" si="52"/>
        <v>19.653354</v>
      </c>
    </row>
    <row r="458" customHeight="1" spans="1:18">
      <c r="A458" s="262"/>
      <c r="B458" s="282" t="str">
        <f>安装工程!B201</f>
        <v>双绞线缆</v>
      </c>
      <c r="C458" s="283" t="str">
        <f>安装工程!C201</f>
        <v>1.名称:双绞线缆
2.规格:UTP-CAT6
3.敷设方式:穿管敷设
4.其它说明：满足规范和设计图纸要求</v>
      </c>
      <c r="D458" s="258">
        <f t="shared" si="51"/>
        <v>1866.93760764</v>
      </c>
      <c r="E458" s="284">
        <f>安装工程!E201</f>
        <v>142.49</v>
      </c>
      <c r="F458" s="284">
        <v>13.102236</v>
      </c>
      <c r="G458" s="260">
        <v>0</v>
      </c>
      <c r="H458" s="260">
        <v>0</v>
      </c>
      <c r="I458" s="260">
        <v>0</v>
      </c>
      <c r="J458" s="269">
        <f t="shared" si="48"/>
        <v>142.49</v>
      </c>
      <c r="K458" s="270">
        <v>0.8</v>
      </c>
      <c r="L458" s="269">
        <f t="shared" si="49"/>
        <v>1493.550086112</v>
      </c>
      <c r="M458" s="271">
        <f t="shared" si="50"/>
        <v>1493.550086112</v>
      </c>
      <c r="N458" s="271"/>
      <c r="R458" s="243">
        <f t="shared" si="52"/>
        <v>19.653354</v>
      </c>
    </row>
    <row r="459" customHeight="1" spans="1:18">
      <c r="A459" s="262"/>
      <c r="B459" s="282" t="str">
        <f>安装工程!B202</f>
        <v>扩声系统设备</v>
      </c>
      <c r="C459" s="283" t="str">
        <f>安装工程!C202</f>
        <v>1.名称:背景音乐
2.规格:详见图纸
3.安装方式:天花安装
4.其它说明：满足规范和设计图纸要求</v>
      </c>
      <c r="D459" s="258">
        <f t="shared" si="51"/>
        <v>358.145115</v>
      </c>
      <c r="E459" s="284">
        <f>安装工程!E202</f>
        <v>1</v>
      </c>
      <c r="F459" s="284">
        <v>358.145115</v>
      </c>
      <c r="G459" s="260">
        <v>0</v>
      </c>
      <c r="H459" s="260">
        <v>0</v>
      </c>
      <c r="I459" s="260">
        <v>0</v>
      </c>
      <c r="J459" s="269">
        <f t="shared" si="48"/>
        <v>1</v>
      </c>
      <c r="K459" s="270">
        <v>0</v>
      </c>
      <c r="L459" s="269">
        <f t="shared" si="49"/>
        <v>0</v>
      </c>
      <c r="M459" s="271">
        <f t="shared" si="50"/>
        <v>0</v>
      </c>
      <c r="N459" s="271"/>
      <c r="R459" s="243">
        <f t="shared" si="52"/>
        <v>537.2176725</v>
      </c>
    </row>
    <row r="460" customHeight="1" spans="1:18">
      <c r="A460" s="262"/>
      <c r="B460" s="282" t="str">
        <f>安装工程!B203</f>
        <v>电视、电话插座</v>
      </c>
      <c r="C460" s="283" t="str">
        <f>安装工程!C203</f>
        <v>1.名称:一位网络+电话插座
2.安装方式:暗装
3.其它说明：满足规范和设计图纸要求</v>
      </c>
      <c r="D460" s="258">
        <f t="shared" si="51"/>
        <v>629.46192</v>
      </c>
      <c r="E460" s="284">
        <f>安装工程!E203</f>
        <v>2</v>
      </c>
      <c r="F460" s="284">
        <v>314.73096</v>
      </c>
      <c r="G460" s="260">
        <v>0</v>
      </c>
      <c r="H460" s="260">
        <v>0</v>
      </c>
      <c r="I460" s="260">
        <v>0</v>
      </c>
      <c r="J460" s="269">
        <f t="shared" si="48"/>
        <v>2</v>
      </c>
      <c r="K460" s="270">
        <v>0</v>
      </c>
      <c r="L460" s="269">
        <f t="shared" si="49"/>
        <v>0</v>
      </c>
      <c r="M460" s="271">
        <f t="shared" si="50"/>
        <v>0</v>
      </c>
      <c r="N460" s="271"/>
      <c r="R460" s="243">
        <f t="shared" si="52"/>
        <v>472.09644</v>
      </c>
    </row>
    <row r="461" customHeight="1" spans="1:18">
      <c r="A461" s="262"/>
      <c r="B461" s="282" t="str">
        <f>安装工程!B204</f>
        <v>监控摄像设备</v>
      </c>
      <c r="C461" s="283" t="str">
        <f>安装工程!C204</f>
        <v>1.名称:半球摄像机
2.安装方式:天花安装
3.其它说明：满足规范和设计图纸要求</v>
      </c>
      <c r="D461" s="258">
        <f t="shared" si="51"/>
        <v>3915.41952</v>
      </c>
      <c r="E461" s="284">
        <f>安装工程!E204</f>
        <v>4</v>
      </c>
      <c r="F461" s="284">
        <v>978.85488</v>
      </c>
      <c r="G461" s="260">
        <v>0</v>
      </c>
      <c r="H461" s="260">
        <v>0</v>
      </c>
      <c r="I461" s="260">
        <v>0</v>
      </c>
      <c r="J461" s="269">
        <f t="shared" si="48"/>
        <v>4</v>
      </c>
      <c r="K461" s="270">
        <v>0</v>
      </c>
      <c r="L461" s="269">
        <f t="shared" si="49"/>
        <v>0</v>
      </c>
      <c r="M461" s="271">
        <f t="shared" si="50"/>
        <v>0</v>
      </c>
      <c r="N461" s="271"/>
      <c r="R461" s="243">
        <f t="shared" si="52"/>
        <v>1468.28232</v>
      </c>
    </row>
    <row r="462" customHeight="1" spans="1:18">
      <c r="A462" s="262"/>
      <c r="B462" s="282" t="str">
        <f>安装工程!B205</f>
        <v>路由器</v>
      </c>
      <c r="C462" s="283" t="str">
        <f>安装工程!C205</f>
        <v>1.名称:无线AP
2.安装方式:天花安装
3.其它说明：满足规范和设计图纸要求</v>
      </c>
      <c r="D462" s="258">
        <f t="shared" si="51"/>
        <v>384.488235</v>
      </c>
      <c r="E462" s="284">
        <f>安装工程!E205</f>
        <v>1</v>
      </c>
      <c r="F462" s="284">
        <v>384.488235</v>
      </c>
      <c r="G462" s="260">
        <v>0</v>
      </c>
      <c r="H462" s="260">
        <v>0</v>
      </c>
      <c r="I462" s="260">
        <v>0</v>
      </c>
      <c r="J462" s="269">
        <f t="shared" si="48"/>
        <v>1</v>
      </c>
      <c r="K462" s="270">
        <v>0</v>
      </c>
      <c r="L462" s="269">
        <f t="shared" si="49"/>
        <v>0</v>
      </c>
      <c r="M462" s="271">
        <f t="shared" si="50"/>
        <v>0</v>
      </c>
      <c r="N462" s="271"/>
      <c r="R462" s="243">
        <f t="shared" si="52"/>
        <v>576.7323525</v>
      </c>
    </row>
    <row r="463" customHeight="1" spans="1:18">
      <c r="A463" s="262"/>
      <c r="B463" s="282" t="str">
        <f>安装工程!B206</f>
        <v>接线盒</v>
      </c>
      <c r="C463" s="283" t="str">
        <f>安装工程!C206</f>
        <v>1.名称:接线盒
2.材质:详见图纸
3.安装形式:暗装</v>
      </c>
      <c r="D463" s="258">
        <f t="shared" si="51"/>
        <v>142.98490944</v>
      </c>
      <c r="E463" s="284">
        <f>安装工程!E206</f>
        <v>8</v>
      </c>
      <c r="F463" s="284">
        <v>17.87311368</v>
      </c>
      <c r="G463" s="260">
        <v>0</v>
      </c>
      <c r="H463" s="260">
        <v>0</v>
      </c>
      <c r="I463" s="260">
        <v>0</v>
      </c>
      <c r="J463" s="269">
        <f t="shared" si="48"/>
        <v>8</v>
      </c>
      <c r="K463" s="270">
        <v>0.8</v>
      </c>
      <c r="L463" s="269">
        <f t="shared" si="49"/>
        <v>114.387927552</v>
      </c>
      <c r="M463" s="271">
        <f t="shared" si="50"/>
        <v>114.387927552</v>
      </c>
      <c r="N463" s="271"/>
      <c r="R463" s="243">
        <f t="shared" si="52"/>
        <v>26.80967052</v>
      </c>
    </row>
    <row r="464" customHeight="1" spans="1:18">
      <c r="A464" s="262"/>
      <c r="B464" s="282" t="str">
        <f>安装工程!B207</f>
        <v>通风空调</v>
      </c>
      <c r="C464" s="283"/>
      <c r="D464" s="258"/>
      <c r="E464" s="284">
        <f>安装工程!E207</f>
        <v>0</v>
      </c>
      <c r="F464" s="284">
        <v>0</v>
      </c>
      <c r="G464" s="260">
        <v>0</v>
      </c>
      <c r="H464" s="260">
        <v>0</v>
      </c>
      <c r="I464" s="260">
        <v>0</v>
      </c>
      <c r="J464" s="269">
        <f t="shared" si="48"/>
        <v>0</v>
      </c>
      <c r="K464" s="278"/>
      <c r="L464" s="269"/>
      <c r="M464" s="271">
        <f t="shared" si="50"/>
        <v>0</v>
      </c>
      <c r="N464" s="271"/>
      <c r="R464" s="243">
        <f t="shared" si="52"/>
        <v>0</v>
      </c>
    </row>
    <row r="465" customHeight="1" spans="1:18">
      <c r="A465" s="262"/>
      <c r="B465" s="282" t="str">
        <f>安装工程!B208</f>
        <v>空调器</v>
      </c>
      <c r="C465" s="283" t="str">
        <f>安装工程!C208</f>
        <v>1.名称:空调室外机HVR-1535W/SM2FZBph
2.外形尺寸:3200x750x1730
3.型号、规格:制冷量:153.5KW,制热量:172.5KW， 重量783kg
4.安装形式:落地安装
5.其它说明：满足规范和设计图纸要求</v>
      </c>
      <c r="D465" s="258">
        <f t="shared" si="51"/>
        <v>149687.847</v>
      </c>
      <c r="E465" s="284">
        <f>安装工程!E208</f>
        <v>1</v>
      </c>
      <c r="F465" s="284">
        <v>149687.847</v>
      </c>
      <c r="G465" s="260">
        <v>0</v>
      </c>
      <c r="H465" s="260">
        <v>0</v>
      </c>
      <c r="I465" s="260">
        <v>0</v>
      </c>
      <c r="J465" s="269">
        <f t="shared" si="48"/>
        <v>1</v>
      </c>
      <c r="K465" s="270">
        <v>0</v>
      </c>
      <c r="L465" s="269">
        <f t="shared" ref="L465:L470" si="53">J465*F465*K465</f>
        <v>0</v>
      </c>
      <c r="M465" s="271">
        <f t="shared" si="50"/>
        <v>0</v>
      </c>
      <c r="N465" s="271"/>
      <c r="R465" s="243">
        <f t="shared" si="52"/>
        <v>224531.7705</v>
      </c>
    </row>
    <row r="466" customHeight="1" spans="1:18">
      <c r="A466" s="262"/>
      <c r="B466" s="282" t="str">
        <f>安装工程!B209</f>
        <v>空调器</v>
      </c>
      <c r="C466" s="283" t="str">
        <f>安装工程!C209</f>
        <v>1.名称:空调室外机HVR-800W/SM2FZBph
2.外形尺寸:3200x750x1730
3.型号、规格:制冷量:80KW,制热量:90KW， 重量392kg
4.安装形式:落地安装
5.其它说明：满足规范和设计图纸要求</v>
      </c>
      <c r="D466" s="258">
        <f t="shared" si="51"/>
        <v>79670.607</v>
      </c>
      <c r="E466" s="284">
        <f>安装工程!E209</f>
        <v>1</v>
      </c>
      <c r="F466" s="284">
        <v>79670.607</v>
      </c>
      <c r="G466" s="260">
        <v>0</v>
      </c>
      <c r="H466" s="260">
        <v>0</v>
      </c>
      <c r="I466" s="260">
        <v>0</v>
      </c>
      <c r="J466" s="269">
        <f t="shared" si="48"/>
        <v>1</v>
      </c>
      <c r="K466" s="270">
        <v>0</v>
      </c>
      <c r="L466" s="269">
        <f t="shared" si="53"/>
        <v>0</v>
      </c>
      <c r="M466" s="271">
        <f t="shared" si="50"/>
        <v>0</v>
      </c>
      <c r="N466" s="271"/>
      <c r="R466" s="243">
        <f t="shared" si="52"/>
        <v>119505.9105</v>
      </c>
    </row>
    <row r="467" customHeight="1" spans="1:18">
      <c r="A467" s="262"/>
      <c r="B467" s="282" t="str">
        <f>安装工程!B210</f>
        <v>空调器</v>
      </c>
      <c r="C467" s="283" t="str">
        <f>安装工程!C210</f>
        <v>1.名称:空调室外机HVR-615W/SM2FZBph
2.外形尺寸:3200x750x1730
3.型号、规格:制冷量:61.5KW,制热量:69KW， 重量363kg
4.安装形式:落地安装
5.其它说明：满足规范和设计图纸要求</v>
      </c>
      <c r="D467" s="258">
        <f t="shared" si="51"/>
        <v>71793.6675</v>
      </c>
      <c r="E467" s="284">
        <f>安装工程!E210</f>
        <v>1</v>
      </c>
      <c r="F467" s="284">
        <v>71793.6675</v>
      </c>
      <c r="G467" s="260">
        <v>0</v>
      </c>
      <c r="H467" s="260">
        <v>0</v>
      </c>
      <c r="I467" s="260">
        <v>0</v>
      </c>
      <c r="J467" s="269">
        <f t="shared" si="48"/>
        <v>1</v>
      </c>
      <c r="K467" s="270">
        <v>0</v>
      </c>
      <c r="L467" s="269">
        <f t="shared" si="53"/>
        <v>0</v>
      </c>
      <c r="M467" s="271">
        <f t="shared" si="50"/>
        <v>0</v>
      </c>
      <c r="N467" s="271"/>
      <c r="R467" s="243">
        <f t="shared" si="52"/>
        <v>107690.50125</v>
      </c>
    </row>
    <row r="468" customHeight="1" spans="1:18">
      <c r="A468" s="262"/>
      <c r="B468" s="282" t="str">
        <f>安装工程!B211</f>
        <v>空调器</v>
      </c>
      <c r="C468" s="283" t="str">
        <f>安装工程!C211</f>
        <v>1.名称:室内机低静压风管机 F系列
2.型号、规格:HVR-160F/G2FZBp 制冷量:2.216KW,制热量:18KW 输入功率:0.36KW
3.外形尺寸：800x1400x300
4.其它说明：满足规范和设计图纸要求</v>
      </c>
      <c r="D468" s="258">
        <f t="shared" si="51"/>
        <v>36360.438</v>
      </c>
      <c r="E468" s="284">
        <f>安装工程!E211</f>
        <v>4</v>
      </c>
      <c r="F468" s="284">
        <v>9090.1095</v>
      </c>
      <c r="G468" s="260">
        <v>0</v>
      </c>
      <c r="H468" s="260">
        <v>0</v>
      </c>
      <c r="I468" s="260">
        <v>0</v>
      </c>
      <c r="J468" s="269">
        <f t="shared" si="48"/>
        <v>4</v>
      </c>
      <c r="K468" s="270">
        <v>0</v>
      </c>
      <c r="L468" s="269">
        <f t="shared" si="53"/>
        <v>0</v>
      </c>
      <c r="M468" s="271">
        <f t="shared" si="50"/>
        <v>0</v>
      </c>
      <c r="N468" s="271"/>
      <c r="R468" s="243">
        <f t="shared" si="52"/>
        <v>13635.16425</v>
      </c>
    </row>
    <row r="469" customHeight="1" spans="1:18">
      <c r="A469" s="262"/>
      <c r="B469" s="282" t="str">
        <f>安装工程!B212</f>
        <v>复合型风管</v>
      </c>
      <c r="C469" s="283" t="str">
        <f>安装工程!C212</f>
        <v>1.名称:空调管道
2.材质:GK-Ⅱ节能不燃型玻镁复合风管（含保温层）
3.形状:矩形
4.规格:长边长≤2000mm
5.板材厚度:δ=0.5mm
6.其它说明：满足规范和设计图纸要求</v>
      </c>
      <c r="D469" s="258">
        <f t="shared" si="51"/>
        <v>4840.6609515</v>
      </c>
      <c r="E469" s="284">
        <f>安装工程!E212</f>
        <v>23.62</v>
      </c>
      <c r="F469" s="284">
        <v>204.939075</v>
      </c>
      <c r="G469" s="260">
        <v>0</v>
      </c>
      <c r="H469" s="260">
        <v>0</v>
      </c>
      <c r="I469" s="260">
        <v>0</v>
      </c>
      <c r="J469" s="269">
        <f t="shared" si="48"/>
        <v>23.62</v>
      </c>
      <c r="K469" s="270">
        <v>0.8</v>
      </c>
      <c r="L469" s="269">
        <f t="shared" si="53"/>
        <v>3872.5287612</v>
      </c>
      <c r="M469" s="271">
        <f t="shared" si="50"/>
        <v>3872.5287612</v>
      </c>
      <c r="N469" s="271"/>
      <c r="R469" s="243">
        <f t="shared" si="52"/>
        <v>307.4086125</v>
      </c>
    </row>
    <row r="470" customHeight="1" spans="1:18">
      <c r="A470" s="262"/>
      <c r="B470" s="282" t="str">
        <f>安装工程!B214</f>
        <v>复合型风管</v>
      </c>
      <c r="C470" s="283" t="str">
        <f>安装工程!C214</f>
        <v>1.名称:空调管道
2.材质:GK-Ⅱ节能不燃型玻镁复合风管（含保温层）
3.形状:矩形
4.规格:长边长≤1000mm
5.板材厚度:δ=0.5mm
6.其它说明：满足规范和设计图纸要求</v>
      </c>
      <c r="D470" s="258">
        <f t="shared" si="51"/>
        <v>2740.03543275</v>
      </c>
      <c r="E470" s="284">
        <f>安装工程!E214</f>
        <v>13.37</v>
      </c>
      <c r="F470" s="284">
        <v>204.939075</v>
      </c>
      <c r="G470" s="260">
        <v>0</v>
      </c>
      <c r="H470" s="260">
        <v>0</v>
      </c>
      <c r="I470" s="260">
        <v>0</v>
      </c>
      <c r="J470" s="269">
        <f t="shared" si="48"/>
        <v>13.37</v>
      </c>
      <c r="K470" s="270">
        <v>0.8</v>
      </c>
      <c r="L470" s="269">
        <f t="shared" si="53"/>
        <v>2192.0283462</v>
      </c>
      <c r="M470" s="271">
        <f t="shared" si="50"/>
        <v>2192.0283462</v>
      </c>
      <c r="N470" s="271"/>
      <c r="R470" s="243">
        <f t="shared" si="52"/>
        <v>307.4086125</v>
      </c>
    </row>
    <row r="471" customHeight="1" spans="1:18">
      <c r="A471" s="262"/>
      <c r="B471" s="282" t="str">
        <f>安装工程!B216</f>
        <v>弯头导流叶片</v>
      </c>
      <c r="C471" s="283" t="str">
        <f>安装工程!C216</f>
        <v>1.名称:风管软接头
2.其它说明：满足规范和设计图纸要求</v>
      </c>
      <c r="D471" s="258">
        <f t="shared" si="51"/>
        <v>3764.709144</v>
      </c>
      <c r="E471" s="284">
        <f>安装工程!E216</f>
        <v>5.04</v>
      </c>
      <c r="F471" s="284">
        <v>746.9661</v>
      </c>
      <c r="G471" s="260">
        <v>0</v>
      </c>
      <c r="H471" s="260">
        <v>0</v>
      </c>
      <c r="I471" s="260">
        <v>0</v>
      </c>
      <c r="J471" s="269">
        <f t="shared" ref="J471:J481" si="54">E471</f>
        <v>5.04</v>
      </c>
      <c r="K471" s="270">
        <v>0.8</v>
      </c>
      <c r="L471" s="269">
        <f t="shared" ref="L471:L481" si="55">J471*F471*K471</f>
        <v>3011.7673152</v>
      </c>
      <c r="M471" s="271">
        <f t="shared" ref="M471:M481" si="56">L471+I471</f>
        <v>3011.7673152</v>
      </c>
      <c r="N471" s="271"/>
      <c r="R471" s="243">
        <f t="shared" si="52"/>
        <v>1120.44915</v>
      </c>
    </row>
    <row r="472" customHeight="1" spans="1:18">
      <c r="A472" s="262"/>
      <c r="B472" s="282" t="str">
        <f>安装工程!B217</f>
        <v>铜管</v>
      </c>
      <c r="C472" s="283" t="str">
        <f>安装工程!C217</f>
        <v>1.安装部位:室内
2.介质:空调水
3.材质、规格:铜管φ41.3
4.连接形式:氧乙炔焊
5.含氮气置换
6.其它说明：满足规范和设计图纸要求</v>
      </c>
      <c r="D472" s="258">
        <f t="shared" si="51"/>
        <v>425.30707275</v>
      </c>
      <c r="E472" s="284">
        <f>安装工程!E217</f>
        <v>2.59</v>
      </c>
      <c r="F472" s="284">
        <v>164.211225</v>
      </c>
      <c r="G472" s="260">
        <v>0</v>
      </c>
      <c r="H472" s="260">
        <v>0</v>
      </c>
      <c r="I472" s="260">
        <v>0</v>
      </c>
      <c r="J472" s="269">
        <f t="shared" si="54"/>
        <v>2.59</v>
      </c>
      <c r="K472" s="270">
        <v>0.7</v>
      </c>
      <c r="L472" s="269">
        <f t="shared" si="55"/>
        <v>297.714950925</v>
      </c>
      <c r="M472" s="271">
        <f t="shared" si="56"/>
        <v>297.714950925</v>
      </c>
      <c r="N472" s="271"/>
      <c r="R472" s="243">
        <f t="shared" si="52"/>
        <v>246.3168375</v>
      </c>
    </row>
    <row r="473" customHeight="1" spans="1:18">
      <c r="A473" s="262"/>
      <c r="B473" s="282" t="str">
        <f>安装工程!B218</f>
        <v>铜管</v>
      </c>
      <c r="C473" s="283" t="str">
        <f>安装工程!C218</f>
        <v>1.安装部位:室内
2.介质:空调水
3.材质、规格:铜管φ31.75
4.连接形式:氧乙炔焊
5.含氮气置换
6.其它说明：满足规范和设计图纸要求</v>
      </c>
      <c r="D473" s="258">
        <f t="shared" si="51"/>
        <v>621.2504922</v>
      </c>
      <c r="E473" s="284">
        <f>安装工程!E218</f>
        <v>4.42</v>
      </c>
      <c r="F473" s="284">
        <v>140.55441</v>
      </c>
      <c r="G473" s="260">
        <v>0</v>
      </c>
      <c r="H473" s="260">
        <v>0</v>
      </c>
      <c r="I473" s="260">
        <v>0</v>
      </c>
      <c r="J473" s="269">
        <f t="shared" si="54"/>
        <v>4.42</v>
      </c>
      <c r="K473" s="270">
        <v>0.7</v>
      </c>
      <c r="L473" s="269">
        <f t="shared" si="55"/>
        <v>434.87534454</v>
      </c>
      <c r="M473" s="271">
        <f t="shared" si="56"/>
        <v>434.87534454</v>
      </c>
      <c r="N473" s="271"/>
      <c r="R473" s="243">
        <f t="shared" si="52"/>
        <v>210.831615</v>
      </c>
    </row>
    <row r="474" customHeight="1" spans="1:18">
      <c r="A474" s="262"/>
      <c r="B474" s="282" t="str">
        <f>安装工程!B219</f>
        <v>铜管</v>
      </c>
      <c r="C474" s="283" t="str">
        <f>安装工程!C219</f>
        <v>1.安装部位:室内
2.介质:空调水
3.材质、规格:铜管φ28.6
4.连接形式:氧乙炔焊
5.含氮气置换
6.其它说明：满足规范和设计图纸要求</v>
      </c>
      <c r="D474" s="258">
        <f t="shared" si="51"/>
        <v>2616.39607875</v>
      </c>
      <c r="E474" s="284">
        <f>安装工程!E219</f>
        <v>20.47</v>
      </c>
      <c r="F474" s="284">
        <v>127.816125</v>
      </c>
      <c r="G474" s="260">
        <v>0</v>
      </c>
      <c r="H474" s="260">
        <v>0</v>
      </c>
      <c r="I474" s="260">
        <v>0</v>
      </c>
      <c r="J474" s="269">
        <f t="shared" si="54"/>
        <v>20.47</v>
      </c>
      <c r="K474" s="270">
        <v>0.7</v>
      </c>
      <c r="L474" s="269">
        <f t="shared" si="55"/>
        <v>1831.477255125</v>
      </c>
      <c r="M474" s="271">
        <f t="shared" si="56"/>
        <v>1831.477255125</v>
      </c>
      <c r="N474" s="271"/>
      <c r="R474" s="243">
        <f t="shared" si="52"/>
        <v>191.7241875</v>
      </c>
    </row>
    <row r="475" customHeight="1" spans="1:18">
      <c r="A475" s="262"/>
      <c r="B475" s="282" t="str">
        <f>安装工程!B220</f>
        <v>铜管</v>
      </c>
      <c r="C475" s="283" t="str">
        <f>安装工程!C220</f>
        <v>1.安装部位:室内
2.介质:空调水
3.材质、规格:铜管φ22.2
4.连接形式:氧乙炔焊
5.含氮气置换
6.其它说明：满足规范和设计图纸要求</v>
      </c>
      <c r="D475" s="258">
        <f t="shared" si="51"/>
        <v>478.4239881</v>
      </c>
      <c r="E475" s="284">
        <f>安装工程!E220</f>
        <v>5.01</v>
      </c>
      <c r="F475" s="284">
        <v>95.49381</v>
      </c>
      <c r="G475" s="260">
        <v>0</v>
      </c>
      <c r="H475" s="260">
        <v>0</v>
      </c>
      <c r="I475" s="260">
        <v>0</v>
      </c>
      <c r="J475" s="269">
        <f t="shared" si="54"/>
        <v>5.01</v>
      </c>
      <c r="K475" s="270">
        <v>0.7</v>
      </c>
      <c r="L475" s="269">
        <f t="shared" si="55"/>
        <v>334.89679167</v>
      </c>
      <c r="M475" s="271">
        <f t="shared" si="56"/>
        <v>334.89679167</v>
      </c>
      <c r="N475" s="271"/>
      <c r="R475" s="243">
        <f t="shared" si="52"/>
        <v>143.240715</v>
      </c>
    </row>
    <row r="476" customHeight="1" spans="1:18">
      <c r="A476" s="262"/>
      <c r="B476" s="282" t="str">
        <f>安装工程!B221</f>
        <v>铜管</v>
      </c>
      <c r="C476" s="283" t="str">
        <f>安装工程!C221</f>
        <v>1.安装部位:室内
2.介质:空调水
3.材质、规格:铜管φ19.05
4.连接形式:氧乙炔焊
5.含氮气置换
6.其它说明：满足规范和设计图纸要求</v>
      </c>
      <c r="D476" s="258">
        <f t="shared" si="51"/>
        <v>365.7794205</v>
      </c>
      <c r="E476" s="284">
        <f>安装工程!E221</f>
        <v>4.42</v>
      </c>
      <c r="F476" s="284">
        <v>82.755525</v>
      </c>
      <c r="G476" s="260">
        <v>0</v>
      </c>
      <c r="H476" s="260">
        <v>0</v>
      </c>
      <c r="I476" s="260">
        <v>0</v>
      </c>
      <c r="J476" s="269">
        <f t="shared" si="54"/>
        <v>4.42</v>
      </c>
      <c r="K476" s="270">
        <v>0.7</v>
      </c>
      <c r="L476" s="269">
        <f t="shared" si="55"/>
        <v>256.04559435</v>
      </c>
      <c r="M476" s="271">
        <f t="shared" si="56"/>
        <v>256.04559435</v>
      </c>
      <c r="N476" s="271"/>
      <c r="R476" s="243">
        <f t="shared" si="52"/>
        <v>124.1332875</v>
      </c>
    </row>
    <row r="477" customHeight="1" spans="1:18">
      <c r="A477" s="262"/>
      <c r="B477" s="282" t="str">
        <f>安装工程!B222</f>
        <v>铜管</v>
      </c>
      <c r="C477" s="283" t="str">
        <f>安装工程!C222</f>
        <v>1.安装部位:室内
2.介质:空调水
3.材质、规格:铜管φ15.88
4.连接形式:氧乙炔焊
5.含氮气置换
6.其它说明：满足规范和设计图纸要求</v>
      </c>
      <c r="D477" s="258">
        <f t="shared" si="51"/>
        <v>2503.6258614</v>
      </c>
      <c r="E477" s="284">
        <f>安装工程!E222</f>
        <v>32.39</v>
      </c>
      <c r="F477" s="284">
        <v>77.29626</v>
      </c>
      <c r="G477" s="260">
        <v>0</v>
      </c>
      <c r="H477" s="260">
        <v>0</v>
      </c>
      <c r="I477" s="260">
        <v>0</v>
      </c>
      <c r="J477" s="269">
        <f t="shared" si="54"/>
        <v>32.39</v>
      </c>
      <c r="K477" s="270">
        <v>0.7</v>
      </c>
      <c r="L477" s="269">
        <f t="shared" si="55"/>
        <v>1752.53810298</v>
      </c>
      <c r="M477" s="271">
        <f t="shared" si="56"/>
        <v>1752.53810298</v>
      </c>
      <c r="N477" s="271"/>
      <c r="R477" s="243">
        <f t="shared" si="52"/>
        <v>115.94439</v>
      </c>
    </row>
    <row r="478" customHeight="1" spans="1:18">
      <c r="A478" s="262"/>
      <c r="B478" s="282" t="str">
        <f>安装工程!B223</f>
        <v>铜管</v>
      </c>
      <c r="C478" s="283" t="str">
        <f>安装工程!C223</f>
        <v>1.安装部位:室内
2.介质:空调水
3.材质、规格:铜管φ12.7
4.连接形式:氧乙炔焊
5.含氮气置换
6.其它说明：满足规范和设计图纸要求</v>
      </c>
      <c r="D478" s="258">
        <f t="shared" si="51"/>
        <v>159.45819825</v>
      </c>
      <c r="E478" s="284">
        <f>安装工程!E223</f>
        <v>2.47</v>
      </c>
      <c r="F478" s="284">
        <v>64.557975</v>
      </c>
      <c r="G478" s="260">
        <v>0</v>
      </c>
      <c r="H478" s="260">
        <v>0</v>
      </c>
      <c r="I478" s="260">
        <v>0</v>
      </c>
      <c r="J478" s="269">
        <f t="shared" si="54"/>
        <v>2.47</v>
      </c>
      <c r="K478" s="270">
        <v>0.7</v>
      </c>
      <c r="L478" s="269">
        <f t="shared" si="55"/>
        <v>111.620738775</v>
      </c>
      <c r="M478" s="271">
        <f t="shared" si="56"/>
        <v>111.620738775</v>
      </c>
      <c r="N478" s="271"/>
      <c r="R478" s="243">
        <f t="shared" si="52"/>
        <v>96.8369625</v>
      </c>
    </row>
    <row r="479" customHeight="1" spans="1:18">
      <c r="A479" s="262"/>
      <c r="B479" s="282" t="str">
        <f>安装工程!B224</f>
        <v>铜管</v>
      </c>
      <c r="C479" s="283" t="str">
        <f>安装工程!C224</f>
        <v>1.安装部位:室内
2.介质:空调水
3.材质、规格:铜管φ9.53
4.连接形式:氧乙炔焊
5.含氮气置换
6.其它说明：满足规范和设计图纸要求</v>
      </c>
      <c r="D479" s="258">
        <f t="shared" si="51"/>
        <v>932.823744</v>
      </c>
      <c r="E479" s="284">
        <f>安装工程!E224</f>
        <v>16.82</v>
      </c>
      <c r="F479" s="284">
        <v>55.4592</v>
      </c>
      <c r="G479" s="260">
        <v>0</v>
      </c>
      <c r="H479" s="260">
        <v>0</v>
      </c>
      <c r="I479" s="260">
        <v>0</v>
      </c>
      <c r="J479" s="269">
        <f t="shared" si="54"/>
        <v>16.82</v>
      </c>
      <c r="K479" s="270">
        <v>0.7</v>
      </c>
      <c r="L479" s="269">
        <f t="shared" si="55"/>
        <v>652.9766208</v>
      </c>
      <c r="M479" s="271">
        <f t="shared" si="56"/>
        <v>652.9766208</v>
      </c>
      <c r="N479" s="271"/>
      <c r="R479" s="243">
        <f t="shared" si="52"/>
        <v>83.1888</v>
      </c>
    </row>
    <row r="480" customHeight="1" spans="1:18">
      <c r="A480" s="262"/>
      <c r="B480" s="282" t="str">
        <f>安装工程!B225</f>
        <v>塑料管</v>
      </c>
      <c r="C480" s="283" t="str">
        <f>安装工程!C225</f>
        <v>1.安装部位:室内
2.介质:空调冷凝水
3.材质、规格:硬聚氯乙稀管PVC-U De40
4.连接形式:粘接连接
5.含成品管卡
6.其它说明：满足规范和设计图纸要求</v>
      </c>
      <c r="D480" s="258">
        <f t="shared" si="51"/>
        <v>1371.7347852</v>
      </c>
      <c r="E480" s="284">
        <f>安装工程!E225</f>
        <v>16.12</v>
      </c>
      <c r="F480" s="284">
        <v>85.09521</v>
      </c>
      <c r="G480" s="260">
        <v>0</v>
      </c>
      <c r="H480" s="260">
        <v>0</v>
      </c>
      <c r="I480" s="260">
        <v>0</v>
      </c>
      <c r="J480" s="269">
        <f t="shared" si="54"/>
        <v>16.12</v>
      </c>
      <c r="K480" s="270">
        <v>0.7</v>
      </c>
      <c r="L480" s="269">
        <f t="shared" si="55"/>
        <v>960.21434964</v>
      </c>
      <c r="M480" s="271">
        <f t="shared" si="56"/>
        <v>960.21434964</v>
      </c>
      <c r="N480" s="271"/>
      <c r="R480" s="243">
        <f t="shared" si="52"/>
        <v>127.642815</v>
      </c>
    </row>
    <row r="481" customHeight="1" spans="1:18">
      <c r="A481" s="262"/>
      <c r="B481" s="282" t="str">
        <f>安装工程!B228</f>
        <v>塑料管</v>
      </c>
      <c r="C481" s="283" t="str">
        <f>安装工程!C228</f>
        <v>1.安装部位:室内
2.介质:空调冷凝水
3.材质、规格:硬聚氯乙稀管PVC-U De32
4.连接形式:粘接连接
5.含成品管卡
6.其它说明：满足规范和设计图纸要求</v>
      </c>
      <c r="D481" s="258">
        <f t="shared" si="51"/>
        <v>751.5848115</v>
      </c>
      <c r="E481" s="284">
        <f>安装工程!E228</f>
        <v>10.35</v>
      </c>
      <c r="F481" s="284">
        <v>72.61689</v>
      </c>
      <c r="G481" s="260">
        <v>0</v>
      </c>
      <c r="H481" s="260">
        <v>0</v>
      </c>
      <c r="I481" s="260">
        <v>0</v>
      </c>
      <c r="J481" s="269">
        <f t="shared" si="54"/>
        <v>10.35</v>
      </c>
      <c r="K481" s="270">
        <v>0.7</v>
      </c>
      <c r="L481" s="269">
        <f t="shared" si="55"/>
        <v>526.10936805</v>
      </c>
      <c r="M481" s="271">
        <f t="shared" si="56"/>
        <v>526.10936805</v>
      </c>
      <c r="N481" s="271"/>
      <c r="R481" s="243">
        <f t="shared" si="52"/>
        <v>108.925335</v>
      </c>
    </row>
    <row r="482" customHeight="1" spans="1:18">
      <c r="A482" s="262"/>
      <c r="B482" s="282" t="str">
        <f>安装工程!B231</f>
        <v>铜管管件</v>
      </c>
      <c r="C482" s="283" t="str">
        <f>安装工程!C231</f>
        <v>1.名称：分歧管
2.规格：28.6*28.6*15.88
3.介质：冷剂管
4.其它说明：满足规范和设计图纸要求</v>
      </c>
      <c r="D482" s="258">
        <f t="shared" si="51"/>
        <v>340.55415</v>
      </c>
      <c r="E482" s="284">
        <f>安装工程!E231</f>
        <v>1</v>
      </c>
      <c r="F482" s="284">
        <v>340.55415</v>
      </c>
      <c r="G482" s="260">
        <v>0</v>
      </c>
      <c r="H482" s="260">
        <v>0</v>
      </c>
      <c r="I482" s="260">
        <v>0</v>
      </c>
      <c r="J482" s="269">
        <f t="shared" ref="J482:J499" si="57">E482</f>
        <v>1</v>
      </c>
      <c r="K482" s="270">
        <v>0.7</v>
      </c>
      <c r="L482" s="269">
        <f t="shared" ref="L482:L500" si="58">J482*F482*K482</f>
        <v>238.387905</v>
      </c>
      <c r="M482" s="271">
        <f t="shared" ref="M482:M500" si="59">L482+I482</f>
        <v>238.387905</v>
      </c>
      <c r="N482" s="271"/>
      <c r="R482" s="243">
        <f t="shared" si="52"/>
        <v>510.831225</v>
      </c>
    </row>
    <row r="483" customHeight="1" spans="1:18">
      <c r="A483" s="262"/>
      <c r="B483" s="282" t="str">
        <f>安装工程!B232</f>
        <v>铜管管件</v>
      </c>
      <c r="C483" s="283" t="str">
        <f>安装工程!C232</f>
        <v>1.名称：分歧管
2.规格：22.2*22.2*15.88
3.介质：冷剂管
4.其它说明：满足规范和设计图纸要求</v>
      </c>
      <c r="D483" s="258">
        <f t="shared" si="51"/>
        <v>226.776135</v>
      </c>
      <c r="E483" s="284">
        <f>安装工程!E232</f>
        <v>1</v>
      </c>
      <c r="F483" s="284">
        <v>226.776135</v>
      </c>
      <c r="G483" s="260">
        <v>0</v>
      </c>
      <c r="H483" s="260">
        <v>0</v>
      </c>
      <c r="I483" s="260">
        <v>0</v>
      </c>
      <c r="J483" s="269">
        <f t="shared" si="57"/>
        <v>1</v>
      </c>
      <c r="K483" s="270">
        <v>0.7</v>
      </c>
      <c r="L483" s="269">
        <f t="shared" si="58"/>
        <v>158.7432945</v>
      </c>
      <c r="M483" s="271">
        <f t="shared" si="59"/>
        <v>158.7432945</v>
      </c>
      <c r="N483" s="271"/>
      <c r="R483" s="243">
        <f t="shared" si="52"/>
        <v>340.1642025</v>
      </c>
    </row>
    <row r="484" customHeight="1" spans="1:18">
      <c r="A484" s="262"/>
      <c r="B484" s="282" t="str">
        <f>安装工程!B233</f>
        <v>铜管管件</v>
      </c>
      <c r="C484" s="283" t="str">
        <f>安装工程!C233</f>
        <v>1.名称：分歧管
2.规格：15.88*15.88*15.88
3.介质：冷剂管
4.其它说明：满足规范和设计图纸要求</v>
      </c>
      <c r="D484" s="258">
        <f t="shared" si="51"/>
        <v>226.776135</v>
      </c>
      <c r="E484" s="284">
        <f>安装工程!E233</f>
        <v>1</v>
      </c>
      <c r="F484" s="284">
        <v>226.776135</v>
      </c>
      <c r="G484" s="260">
        <v>0</v>
      </c>
      <c r="H484" s="260">
        <v>0</v>
      </c>
      <c r="I484" s="260">
        <v>0</v>
      </c>
      <c r="J484" s="269">
        <f t="shared" si="57"/>
        <v>1</v>
      </c>
      <c r="K484" s="270">
        <v>0.7</v>
      </c>
      <c r="L484" s="269">
        <f t="shared" si="58"/>
        <v>158.7432945</v>
      </c>
      <c r="M484" s="271">
        <f t="shared" si="59"/>
        <v>158.7432945</v>
      </c>
      <c r="N484" s="271"/>
      <c r="R484" s="243">
        <f t="shared" si="52"/>
        <v>340.1642025</v>
      </c>
    </row>
    <row r="485" customHeight="1" spans="1:18">
      <c r="A485" s="262"/>
      <c r="B485" s="282" t="str">
        <f>安装工程!B234</f>
        <v>铜管管件</v>
      </c>
      <c r="C485" s="283" t="str">
        <f>安装工程!C234</f>
        <v>1.名称：分歧管
2.规格：12.7*12.7*9.53
3.介质：冷剂管
4.其它说明：满足规范和设计图纸要求</v>
      </c>
      <c r="D485" s="258">
        <f t="shared" si="51"/>
        <v>226.776135</v>
      </c>
      <c r="E485" s="284">
        <f>安装工程!E234</f>
        <v>1</v>
      </c>
      <c r="F485" s="284">
        <v>226.776135</v>
      </c>
      <c r="G485" s="260">
        <v>0</v>
      </c>
      <c r="H485" s="260">
        <v>0</v>
      </c>
      <c r="I485" s="260">
        <v>0</v>
      </c>
      <c r="J485" s="269">
        <f t="shared" si="57"/>
        <v>1</v>
      </c>
      <c r="K485" s="270">
        <v>0.7</v>
      </c>
      <c r="L485" s="269">
        <f t="shared" si="58"/>
        <v>158.7432945</v>
      </c>
      <c r="M485" s="271">
        <f t="shared" si="59"/>
        <v>158.7432945</v>
      </c>
      <c r="N485" s="271"/>
      <c r="R485" s="243">
        <f t="shared" si="52"/>
        <v>340.1642025</v>
      </c>
    </row>
    <row r="486" customHeight="1" spans="1:18">
      <c r="A486" s="262"/>
      <c r="B486" s="282" t="str">
        <f>安装工程!B235</f>
        <v>铜管管件</v>
      </c>
      <c r="C486" s="283" t="str">
        <f>安装工程!C235</f>
        <v>1.名称：分歧管
2.规格：9.53*9.53*9.53
3.介质：冷剂管
4.其它说明：满足规范和设计图纸要求</v>
      </c>
      <c r="D486" s="258">
        <f t="shared" si="51"/>
        <v>453.55227</v>
      </c>
      <c r="E486" s="284">
        <f>安装工程!E235</f>
        <v>2</v>
      </c>
      <c r="F486" s="284">
        <v>226.776135</v>
      </c>
      <c r="G486" s="260">
        <v>0</v>
      </c>
      <c r="H486" s="260">
        <v>0</v>
      </c>
      <c r="I486" s="260">
        <v>0</v>
      </c>
      <c r="J486" s="269">
        <f t="shared" si="57"/>
        <v>2</v>
      </c>
      <c r="K486" s="270">
        <v>0.7</v>
      </c>
      <c r="L486" s="269">
        <f t="shared" si="58"/>
        <v>317.486589</v>
      </c>
      <c r="M486" s="271">
        <f t="shared" si="59"/>
        <v>317.486589</v>
      </c>
      <c r="N486" s="271"/>
      <c r="R486" s="243">
        <f t="shared" si="52"/>
        <v>340.1642025</v>
      </c>
    </row>
    <row r="487" customHeight="1" spans="1:18">
      <c r="A487" s="262"/>
      <c r="B487" s="282" t="str">
        <f>安装工程!B236</f>
        <v>管道绝热</v>
      </c>
      <c r="C487" s="283" t="str">
        <f>安装工程!C236</f>
        <v>1.绝热材料品种：闭孔带铝箔难燃B1级橡塑管壳
2.绝热厚度：10mm
3.其它说明：满足规范和设计图纸要求</v>
      </c>
      <c r="D487" s="258">
        <f t="shared" si="51"/>
        <v>208.405275</v>
      </c>
      <c r="E487" s="284">
        <f>安装工程!E236</f>
        <v>0.05</v>
      </c>
      <c r="F487" s="284">
        <v>4168.1055</v>
      </c>
      <c r="G487" s="260">
        <v>0</v>
      </c>
      <c r="H487" s="260">
        <v>0</v>
      </c>
      <c r="I487" s="260">
        <v>0</v>
      </c>
      <c r="J487" s="269">
        <f t="shared" si="57"/>
        <v>0.05</v>
      </c>
      <c r="K487" s="270">
        <v>0.7</v>
      </c>
      <c r="L487" s="269">
        <f t="shared" si="58"/>
        <v>145.8836925</v>
      </c>
      <c r="M487" s="271">
        <f t="shared" si="59"/>
        <v>145.8836925</v>
      </c>
      <c r="N487" s="271"/>
      <c r="R487" s="243">
        <f t="shared" si="52"/>
        <v>6252.15825</v>
      </c>
    </row>
    <row r="488" customHeight="1" spans="1:18">
      <c r="A488" s="262"/>
      <c r="B488" s="282" t="str">
        <f>安装工程!B237</f>
        <v>管道绝热</v>
      </c>
      <c r="C488" s="283" t="str">
        <f>安装工程!C237</f>
        <v>1.绝热材料品种：闭孔柔性泡沫难燃B1级橡塑管壳
2.绝热厚度：32mm
3.其它说明：满足规范和设计图纸要求</v>
      </c>
      <c r="D488" s="258">
        <f t="shared" si="51"/>
        <v>1542.199035</v>
      </c>
      <c r="E488" s="284">
        <f>安装工程!E237</f>
        <v>0.37</v>
      </c>
      <c r="F488" s="284">
        <v>4168.1055</v>
      </c>
      <c r="G488" s="260">
        <v>0</v>
      </c>
      <c r="H488" s="260">
        <v>0</v>
      </c>
      <c r="I488" s="260">
        <v>0</v>
      </c>
      <c r="J488" s="269">
        <f t="shared" si="57"/>
        <v>0.37</v>
      </c>
      <c r="K488" s="270">
        <v>0.7</v>
      </c>
      <c r="L488" s="269">
        <f t="shared" si="58"/>
        <v>1079.5393245</v>
      </c>
      <c r="M488" s="271">
        <f t="shared" si="59"/>
        <v>1079.5393245</v>
      </c>
      <c r="N488" s="271"/>
      <c r="R488" s="243">
        <f t="shared" si="52"/>
        <v>6252.15825</v>
      </c>
    </row>
    <row r="489" ht="29" customHeight="1" spans="1:18">
      <c r="A489" s="262"/>
      <c r="B489" s="285" t="s">
        <v>38</v>
      </c>
      <c r="C489" s="285"/>
      <c r="D489" s="258"/>
      <c r="E489" s="285"/>
      <c r="F489" s="285">
        <v>0</v>
      </c>
      <c r="G489" s="260">
        <v>0</v>
      </c>
      <c r="H489" s="260">
        <v>0</v>
      </c>
      <c r="I489" s="260">
        <v>0</v>
      </c>
      <c r="J489" s="269">
        <f t="shared" si="57"/>
        <v>0</v>
      </c>
      <c r="K489" s="278"/>
      <c r="L489" s="269"/>
      <c r="M489" s="271">
        <f t="shared" si="59"/>
        <v>0</v>
      </c>
      <c r="N489" s="271"/>
      <c r="R489" s="243">
        <f t="shared" si="52"/>
        <v>0</v>
      </c>
    </row>
    <row r="490" customHeight="1" spans="1:18">
      <c r="A490" s="262"/>
      <c r="B490" s="282" t="str">
        <f>'04、增加示范区弱电工程'!B15</f>
        <v>配管</v>
      </c>
      <c r="C490" s="283" t="str">
        <f>'04、增加示范区弱电工程'!C15</f>
        <v>1.名称:电气配管
2.材质、规格:PVC20
3.配置形式:埋地
4.其它说明：满足规范和设计图纸要求</v>
      </c>
      <c r="D490" s="258">
        <f t="shared" si="51"/>
        <v>6398.374264425</v>
      </c>
      <c r="E490" s="284">
        <f>'04、增加示范区弱电工程'!E15</f>
        <v>344.23</v>
      </c>
      <c r="F490" s="284">
        <v>18.5874975</v>
      </c>
      <c r="G490" s="260">
        <v>0</v>
      </c>
      <c r="H490" s="260">
        <v>0</v>
      </c>
      <c r="I490" s="260">
        <v>0</v>
      </c>
      <c r="J490" s="269">
        <f t="shared" si="57"/>
        <v>344.23</v>
      </c>
      <c r="K490" s="270">
        <v>0.8</v>
      </c>
      <c r="L490" s="269">
        <f t="shared" si="58"/>
        <v>5118.69941154</v>
      </c>
      <c r="M490" s="271">
        <f t="shared" si="59"/>
        <v>5118.69941154</v>
      </c>
      <c r="N490" s="271"/>
      <c r="R490" s="243">
        <f t="shared" si="52"/>
        <v>27.88124625</v>
      </c>
    </row>
    <row r="491" customHeight="1" spans="1:18">
      <c r="A491" s="262"/>
      <c r="B491" s="282" t="str">
        <f>'04、增加示范区弱电工程'!B16</f>
        <v>配管</v>
      </c>
      <c r="C491" s="283" t="str">
        <f>'04、增加示范区弱电工程'!C16</f>
        <v>1.名称:电气配管
2.材质、规格:PCV20
3.配置形式:暗配
4.其它说明：满足规范和设计图纸要求</v>
      </c>
      <c r="D491" s="258">
        <f t="shared" si="51"/>
        <v>288.284287275</v>
      </c>
      <c r="E491" s="284">
        <f>'04、增加示范区弱电工程'!E16</f>
        <v>12.97</v>
      </c>
      <c r="F491" s="284">
        <v>22.2270075</v>
      </c>
      <c r="G491" s="260">
        <v>0</v>
      </c>
      <c r="H491" s="260">
        <v>0</v>
      </c>
      <c r="I491" s="260">
        <v>0</v>
      </c>
      <c r="J491" s="269">
        <f t="shared" si="57"/>
        <v>12.97</v>
      </c>
      <c r="K491" s="270">
        <v>0.8</v>
      </c>
      <c r="L491" s="269">
        <f t="shared" si="58"/>
        <v>230.62742982</v>
      </c>
      <c r="M491" s="271">
        <f t="shared" si="59"/>
        <v>230.62742982</v>
      </c>
      <c r="N491" s="271"/>
      <c r="R491" s="243">
        <f t="shared" si="52"/>
        <v>33.34051125</v>
      </c>
    </row>
    <row r="492" customHeight="1" spans="1:18">
      <c r="A492" s="262"/>
      <c r="B492" s="282" t="str">
        <f>'04、增加示范区弱电工程'!B17</f>
        <v>配管</v>
      </c>
      <c r="C492" s="283" t="str">
        <f>'04、增加示范区弱电工程'!C17</f>
        <v>1.名称:电气配管
2.材质、规格:焊接钢管 SC50
3.配置形式:埋地
4.其它说明：满足规范和设计图纸要求</v>
      </c>
      <c r="D492" s="258">
        <f t="shared" si="51"/>
        <v>26380.1823435</v>
      </c>
      <c r="E492" s="284">
        <f>'04、增加示范区弱电工程'!E17</f>
        <v>370.35</v>
      </c>
      <c r="F492" s="284">
        <v>71.23041</v>
      </c>
      <c r="G492" s="260">
        <v>0</v>
      </c>
      <c r="H492" s="260">
        <v>0</v>
      </c>
      <c r="I492" s="260">
        <v>0</v>
      </c>
      <c r="J492" s="269">
        <f t="shared" si="57"/>
        <v>370.35</v>
      </c>
      <c r="K492" s="270">
        <v>0.8</v>
      </c>
      <c r="L492" s="269">
        <f t="shared" si="58"/>
        <v>21104.1458748</v>
      </c>
      <c r="M492" s="271">
        <f t="shared" si="59"/>
        <v>21104.1458748</v>
      </c>
      <c r="N492" s="271"/>
      <c r="R492" s="243">
        <f t="shared" si="52"/>
        <v>106.845615</v>
      </c>
    </row>
    <row r="493" customHeight="1" spans="1:18">
      <c r="A493" s="262"/>
      <c r="B493" s="282" t="str">
        <f>'04、增加示范区弱电工程'!B18</f>
        <v>配线</v>
      </c>
      <c r="C493" s="283" t="str">
        <f>'04、增加示范区弱电工程'!C18</f>
        <v>1.名称:多芯软导线
2.规格、型号:RVV-2*1.0
3.敷设方式:穿管敷设
4.其它说明：满足规范和设计图纸要求</v>
      </c>
      <c r="D493" s="258">
        <f t="shared" si="51"/>
        <v>8417.12458632</v>
      </c>
      <c r="E493" s="284">
        <f>'04、增加示范区弱电工程'!E18</f>
        <v>567.37</v>
      </c>
      <c r="F493" s="284">
        <v>14.835336</v>
      </c>
      <c r="G493" s="260">
        <v>0</v>
      </c>
      <c r="H493" s="260">
        <v>0</v>
      </c>
      <c r="I493" s="260">
        <v>0</v>
      </c>
      <c r="J493" s="269">
        <f t="shared" si="57"/>
        <v>567.37</v>
      </c>
      <c r="K493" s="270">
        <v>0.8</v>
      </c>
      <c r="L493" s="269">
        <f t="shared" si="58"/>
        <v>6733.699669056</v>
      </c>
      <c r="M493" s="271">
        <f t="shared" si="59"/>
        <v>6733.699669056</v>
      </c>
      <c r="N493" s="271"/>
      <c r="R493" s="243">
        <f t="shared" si="52"/>
        <v>22.253004</v>
      </c>
    </row>
    <row r="494" customHeight="1" spans="1:18">
      <c r="A494" s="262"/>
      <c r="B494" s="282" t="str">
        <f>'04、增加示范区弱电工程'!B19</f>
        <v>配线</v>
      </c>
      <c r="C494" s="283" t="str">
        <f>'04、增加示范区弱电工程'!C19</f>
        <v>1.名称:多芯软导线
2.规格、型号:RVS-2*1.5
3.敷设方式:穿管敷设
4.其它说明：满足规范和设计图纸要求</v>
      </c>
      <c r="D494" s="258">
        <f t="shared" si="51"/>
        <v>2803.82235156</v>
      </c>
      <c r="E494" s="284">
        <f>'04、增加示范区弱电工程'!E19</f>
        <v>176.04</v>
      </c>
      <c r="F494" s="284">
        <v>15.927189</v>
      </c>
      <c r="G494" s="260">
        <v>0</v>
      </c>
      <c r="H494" s="260">
        <v>0</v>
      </c>
      <c r="I494" s="260">
        <v>0</v>
      </c>
      <c r="J494" s="269">
        <f t="shared" si="57"/>
        <v>176.04</v>
      </c>
      <c r="K494" s="270">
        <v>0.8</v>
      </c>
      <c r="L494" s="269">
        <f t="shared" si="58"/>
        <v>2243.057881248</v>
      </c>
      <c r="M494" s="271">
        <f t="shared" si="59"/>
        <v>2243.057881248</v>
      </c>
      <c r="N494" s="271"/>
      <c r="R494" s="243">
        <f t="shared" si="52"/>
        <v>23.8907835</v>
      </c>
    </row>
    <row r="495" customHeight="1" spans="1:18">
      <c r="A495" s="262"/>
      <c r="B495" s="282" t="str">
        <f>'04、增加示范区弱电工程'!B20</f>
        <v>配线</v>
      </c>
      <c r="C495" s="283" t="str">
        <f>'04、增加示范区弱电工程'!C20</f>
        <v>1.名称:多芯软导线
2.规格、型号:RVV-3x2.5
3.敷设方式:管内敷设
4.其它说明：满足规范和设计图纸要求</v>
      </c>
      <c r="D495" s="258">
        <f t="shared" si="51"/>
        <v>951.038625</v>
      </c>
      <c r="E495" s="284">
        <f>'04、增加示范区弱电工程'!E20</f>
        <v>50</v>
      </c>
      <c r="F495" s="284">
        <v>19.0207725</v>
      </c>
      <c r="G495" s="260">
        <v>0</v>
      </c>
      <c r="H495" s="260">
        <v>0</v>
      </c>
      <c r="I495" s="260">
        <v>0</v>
      </c>
      <c r="J495" s="269">
        <f t="shared" si="57"/>
        <v>50</v>
      </c>
      <c r="K495" s="270">
        <v>0.8</v>
      </c>
      <c r="L495" s="269">
        <f t="shared" si="58"/>
        <v>760.8309</v>
      </c>
      <c r="M495" s="271">
        <f t="shared" si="59"/>
        <v>760.8309</v>
      </c>
      <c r="N495" s="271"/>
      <c r="R495" s="243">
        <f t="shared" si="52"/>
        <v>28.53115875</v>
      </c>
    </row>
    <row r="496" customHeight="1" spans="1:18">
      <c r="A496" s="262"/>
      <c r="B496" s="282" t="str">
        <f>'04、增加示范区弱电工程'!B21</f>
        <v>双绞线缆</v>
      </c>
      <c r="C496" s="283" t="str">
        <f>'04、增加示范区弱电工程'!C21</f>
        <v>1.名称:双绞线缆
2.规格:UTP-CAT6
3.敷设方式:穿管敷设
4.其它说明：满足规范和设计图纸要求</v>
      </c>
      <c r="D496" s="258">
        <f t="shared" si="51"/>
        <v>10069.08361728</v>
      </c>
      <c r="E496" s="284">
        <f>'04、增加示范区弱电工程'!E21</f>
        <v>567.37</v>
      </c>
      <c r="F496" s="284">
        <v>17.746944</v>
      </c>
      <c r="G496" s="260">
        <v>0</v>
      </c>
      <c r="H496" s="260">
        <v>0</v>
      </c>
      <c r="I496" s="260">
        <v>0</v>
      </c>
      <c r="J496" s="269">
        <f t="shared" si="57"/>
        <v>567.37</v>
      </c>
      <c r="K496" s="270">
        <v>0.8</v>
      </c>
      <c r="L496" s="269">
        <f t="shared" si="58"/>
        <v>8055.266893824</v>
      </c>
      <c r="M496" s="271">
        <f t="shared" si="59"/>
        <v>8055.266893824</v>
      </c>
      <c r="N496" s="271"/>
      <c r="R496" s="243">
        <f t="shared" si="52"/>
        <v>26.620416</v>
      </c>
    </row>
    <row r="497" customHeight="1" spans="1:18">
      <c r="A497" s="262"/>
      <c r="B497" s="282" t="str">
        <f>'04、增加示范区弱电工程'!B22</f>
        <v>光缆</v>
      </c>
      <c r="C497" s="283" t="str">
        <f>'04、增加示范区弱电工程'!C22</f>
        <v>1.名称：监控光缆
2.规格：4芯单模光纤
3.敷设方式：穿管敷设
4.其它说明：满足规范和设计图纸要求</v>
      </c>
      <c r="D497" s="258">
        <f t="shared" si="51"/>
        <v>3050.53450917</v>
      </c>
      <c r="E497" s="284">
        <f>'04、增加示范区弱电工程'!E22</f>
        <v>191.53</v>
      </c>
      <c r="F497" s="284">
        <v>15.927189</v>
      </c>
      <c r="G497" s="260">
        <v>0</v>
      </c>
      <c r="H497" s="260">
        <v>0</v>
      </c>
      <c r="I497" s="260">
        <v>0</v>
      </c>
      <c r="J497" s="269">
        <f t="shared" si="57"/>
        <v>191.53</v>
      </c>
      <c r="K497" s="270">
        <v>0.8</v>
      </c>
      <c r="L497" s="269">
        <f t="shared" si="58"/>
        <v>2440.427607336</v>
      </c>
      <c r="M497" s="271">
        <f t="shared" si="59"/>
        <v>2440.427607336</v>
      </c>
      <c r="N497" s="271"/>
      <c r="R497" s="243">
        <f t="shared" si="52"/>
        <v>23.8907835</v>
      </c>
    </row>
    <row r="498" customHeight="1" spans="1:18">
      <c r="A498" s="262"/>
      <c r="B498" s="282" t="str">
        <f>'04、增加示范区弱电工程'!B23</f>
        <v>挖沟槽土方</v>
      </c>
      <c r="C498" s="283" t="str">
        <f>'04、增加示范区弱电工程'!C23</f>
        <v>1.名称:土方开挖
2.土壤类别:综合考虑
3.挖土深度:详见图纸设计
4.其它说明：满足规范和设计图纸要求</v>
      </c>
      <c r="D498" s="258">
        <f t="shared" si="51"/>
        <v>379.236942</v>
      </c>
      <c r="E498" s="284">
        <f>'04、增加示范区弱电工程'!E23</f>
        <v>218.82</v>
      </c>
      <c r="F498" s="284">
        <v>1.7331</v>
      </c>
      <c r="G498" s="260">
        <v>0</v>
      </c>
      <c r="H498" s="260">
        <v>0</v>
      </c>
      <c r="I498" s="260">
        <v>0</v>
      </c>
      <c r="J498" s="269">
        <f t="shared" si="57"/>
        <v>218.82</v>
      </c>
      <c r="K498" s="270">
        <v>0.8</v>
      </c>
      <c r="L498" s="269">
        <f t="shared" si="58"/>
        <v>303.3895536</v>
      </c>
      <c r="M498" s="271">
        <f t="shared" si="59"/>
        <v>303.3895536</v>
      </c>
      <c r="N498" s="271"/>
      <c r="R498" s="243">
        <f t="shared" si="52"/>
        <v>2.59965</v>
      </c>
    </row>
    <row r="499" customHeight="1" spans="1:18">
      <c r="A499" s="262"/>
      <c r="B499" s="282" t="str">
        <f>'04、增加示范区弱电工程'!B24</f>
        <v>回填方</v>
      </c>
      <c r="C499" s="283" t="str">
        <f>'04、增加示范区弱电工程'!C24</f>
        <v>1.名称:土方回填
2.密实度要求:夯填
3.填方材料品种:现场土
4填方粒径要求:满足图纸及规范要求</v>
      </c>
      <c r="D499" s="258">
        <f t="shared" si="51"/>
        <v>379.236942</v>
      </c>
      <c r="E499" s="284">
        <f>'04、增加示范区弱电工程'!E24</f>
        <v>218.82</v>
      </c>
      <c r="F499" s="284">
        <v>1.7331</v>
      </c>
      <c r="G499" s="260">
        <v>0</v>
      </c>
      <c r="H499" s="260">
        <v>0</v>
      </c>
      <c r="I499" s="260">
        <v>0</v>
      </c>
      <c r="J499" s="269">
        <f t="shared" si="57"/>
        <v>218.82</v>
      </c>
      <c r="K499" s="270">
        <v>0.8</v>
      </c>
      <c r="L499" s="269">
        <f t="shared" si="58"/>
        <v>303.3895536</v>
      </c>
      <c r="M499" s="271">
        <f t="shared" si="59"/>
        <v>303.3895536</v>
      </c>
      <c r="N499" s="271"/>
      <c r="R499" s="243">
        <f t="shared" si="52"/>
        <v>2.59965</v>
      </c>
    </row>
    <row r="500" ht="29" customHeight="1" spans="1:18">
      <c r="A500" s="262"/>
      <c r="B500" s="282" t="s">
        <v>39</v>
      </c>
      <c r="C500" s="286"/>
      <c r="D500" s="284">
        <v>128700</v>
      </c>
      <c r="E500" s="264"/>
      <c r="F500" s="264">
        <v>0</v>
      </c>
      <c r="G500" s="264"/>
      <c r="H500" s="264"/>
      <c r="I500" s="264"/>
      <c r="J500" s="289">
        <f>D500</f>
        <v>128700</v>
      </c>
      <c r="K500" s="269">
        <v>0</v>
      </c>
      <c r="L500" s="269">
        <f t="shared" si="58"/>
        <v>0</v>
      </c>
      <c r="M500" s="271">
        <f t="shared" si="59"/>
        <v>0</v>
      </c>
      <c r="N500" s="264"/>
      <c r="R500" s="243">
        <f t="shared" si="52"/>
        <v>0</v>
      </c>
    </row>
    <row r="501" customHeight="1" spans="1:14">
      <c r="A501" s="262"/>
      <c r="B501" s="287" t="s">
        <v>21</v>
      </c>
      <c r="C501" s="288"/>
      <c r="D501" s="269">
        <f>D500+D278+D4</f>
        <v>5869362.60587074</v>
      </c>
      <c r="E501" s="288"/>
      <c r="F501" s="277"/>
      <c r="G501" s="264"/>
      <c r="H501" s="264"/>
      <c r="I501" s="264"/>
      <c r="J501" s="264"/>
      <c r="K501" s="264"/>
      <c r="L501" s="269" t="s">
        <v>40</v>
      </c>
      <c r="M501" s="269">
        <f>M4+M278</f>
        <v>2731494.49133294</v>
      </c>
      <c r="N501" s="264"/>
    </row>
  </sheetData>
  <autoFilter ref="A3:Q501">
    <extLst/>
  </autoFilter>
  <mergeCells count="13">
    <mergeCell ref="A1:Q1"/>
    <mergeCell ref="G2:I2"/>
    <mergeCell ref="J2:L2"/>
    <mergeCell ref="M2:N2"/>
    <mergeCell ref="A2:A3"/>
    <mergeCell ref="B2:B3"/>
    <mergeCell ref="C2:C3"/>
    <mergeCell ref="D2:D3"/>
    <mergeCell ref="E2:E3"/>
    <mergeCell ref="F2:F3"/>
    <mergeCell ref="O2:O3"/>
    <mergeCell ref="P2:P3"/>
    <mergeCell ref="Q2:Q3"/>
  </mergeCells>
  <pageMargins left="0.590277777777778" right="0.393055555555556" top="1" bottom="1" header="0.5" footer="0.5"/>
  <pageSetup paperSize="9" scale="75"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6"/>
  <sheetViews>
    <sheetView workbookViewId="0">
      <selection activeCell="C3" sqref="C3"/>
    </sheetView>
  </sheetViews>
  <sheetFormatPr defaultColWidth="11.5714285714286" defaultRowHeight="63" customHeight="1" outlineLevelRow="5" outlineLevelCol="3"/>
  <cols>
    <col min="1" max="1" width="8" customWidth="1"/>
    <col min="2" max="2" width="36.2761904761905" customWidth="1"/>
    <col min="3" max="3" width="28.7238095238095" customWidth="1"/>
    <col min="4" max="4" width="10.4285714285714" customWidth="1"/>
    <col min="5" max="16381" width="11.5714285714286" customWidth="1"/>
  </cols>
  <sheetData>
    <row r="1" customHeight="1" spans="1:4">
      <c r="A1" s="230" t="s">
        <v>41</v>
      </c>
      <c r="B1" s="230"/>
      <c r="C1" s="230"/>
      <c r="D1" s="230"/>
    </row>
    <row r="2" customHeight="1" spans="1:4">
      <c r="A2" s="231" t="s">
        <v>42</v>
      </c>
      <c r="B2" s="232" t="s">
        <v>43</v>
      </c>
      <c r="C2" s="233" t="s">
        <v>44</v>
      </c>
      <c r="D2" s="234" t="s">
        <v>45</v>
      </c>
    </row>
    <row r="3" customHeight="1" spans="1:4">
      <c r="A3" s="235">
        <v>1</v>
      </c>
      <c r="B3" s="236" t="s">
        <v>46</v>
      </c>
      <c r="C3" s="237" t="e">
        <f>汇总表!E15</f>
        <v>#REF!</v>
      </c>
      <c r="D3" s="238"/>
    </row>
    <row r="4" customHeight="1" spans="1:4">
      <c r="A4" s="235">
        <v>2</v>
      </c>
      <c r="B4" s="236" t="s">
        <v>47</v>
      </c>
      <c r="C4" s="237">
        <f>[1]汇总表!$F$4</f>
        <v>2433364.70479046</v>
      </c>
      <c r="D4" s="238"/>
    </row>
    <row r="5" customHeight="1" spans="1:4">
      <c r="A5" s="235"/>
      <c r="B5" s="236" t="s">
        <v>48</v>
      </c>
      <c r="C5" s="237" t="e">
        <f>C4+C3</f>
        <v>#REF!</v>
      </c>
      <c r="D5" s="238"/>
    </row>
    <row r="6" customHeight="1" spans="1:4">
      <c r="A6" s="239"/>
      <c r="B6" s="240"/>
      <c r="C6" s="241"/>
      <c r="D6" s="242"/>
    </row>
  </sheetData>
  <mergeCells count="1">
    <mergeCell ref="A1:D1"/>
  </mergeCells>
  <pageMargins left="0.751388888888889" right="0.751388888888889" top="1" bottom="1" header="0.5" footer="0.5"/>
  <pageSetup paperSize="9" orientation="portrait" horizontalDpi="600"/>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I55" sqref="A1:I55"/>
    </sheetView>
  </sheetViews>
  <sheetFormatPr defaultColWidth="9.15238095238095" defaultRowHeight="12.75"/>
  <sheetData/>
  <pageMargins left="0.75" right="0.75" top="1" bottom="1" header="0.5" footer="0.5"/>
  <pageSetup paperSize="9"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D22"/>
  <sheetViews>
    <sheetView topLeftCell="A10" workbookViewId="0">
      <selection activeCell="B3" sqref="B3"/>
    </sheetView>
  </sheetViews>
  <sheetFormatPr defaultColWidth="10" defaultRowHeight="14.25" outlineLevelCol="3"/>
  <cols>
    <col min="1" max="1" width="6.42857142857143" style="200" customWidth="1"/>
    <col min="2" max="2" width="93.847619047619" style="200" customWidth="1"/>
    <col min="3" max="3" width="10.2761904761905" style="200"/>
    <col min="4" max="4" width="10.2761904761905" style="200" customWidth="1"/>
    <col min="5" max="31" width="10.2761904761905" style="200"/>
    <col min="32" max="16384" width="10" style="200"/>
  </cols>
  <sheetData>
    <row r="1" ht="25" customHeight="1" spans="1:2">
      <c r="A1" s="213" t="s">
        <v>49</v>
      </c>
      <c r="B1" s="213"/>
    </row>
    <row r="2" s="212" customFormat="1" ht="17" customHeight="1" spans="1:4">
      <c r="A2" s="214" t="s">
        <v>50</v>
      </c>
      <c r="B2" s="215"/>
      <c r="D2" s="216"/>
    </row>
    <row r="3" s="212" customFormat="1" ht="23" customHeight="1" spans="1:4">
      <c r="A3" s="217">
        <v>1</v>
      </c>
      <c r="B3" s="218" t="s">
        <v>51</v>
      </c>
      <c r="D3" s="219"/>
    </row>
    <row r="4" s="212" customFormat="1" ht="73" customHeight="1" spans="1:4">
      <c r="A4" s="217">
        <v>2</v>
      </c>
      <c r="B4" s="220" t="s">
        <v>52</v>
      </c>
      <c r="D4" s="219"/>
    </row>
    <row r="5" s="212" customFormat="1" ht="17" customHeight="1" spans="1:4">
      <c r="A5" s="214" t="s">
        <v>53</v>
      </c>
      <c r="B5" s="215"/>
      <c r="D5" s="219"/>
    </row>
    <row r="6" s="212" customFormat="1" ht="71" customHeight="1" spans="1:4">
      <c r="A6" s="221">
        <v>1</v>
      </c>
      <c r="B6" s="222" t="s">
        <v>54</v>
      </c>
      <c r="D6" s="219"/>
    </row>
    <row r="7" s="212" customFormat="1" ht="57" customHeight="1" spans="1:4">
      <c r="A7" s="221">
        <v>2</v>
      </c>
      <c r="B7" s="222" t="s">
        <v>55</v>
      </c>
      <c r="D7" s="219"/>
    </row>
    <row r="8" s="212" customFormat="1" ht="45" customHeight="1" spans="1:4">
      <c r="A8" s="221">
        <v>3</v>
      </c>
      <c r="B8" s="222" t="s">
        <v>56</v>
      </c>
      <c r="D8" s="219"/>
    </row>
    <row r="9" s="212" customFormat="1" ht="66" customHeight="1" spans="1:4">
      <c r="A9" s="221">
        <v>4</v>
      </c>
      <c r="B9" s="223" t="s">
        <v>57</v>
      </c>
      <c r="D9" s="224"/>
    </row>
    <row r="10" ht="39" customHeight="1" spans="1:4">
      <c r="A10" s="221">
        <v>5</v>
      </c>
      <c r="B10" s="225" t="s">
        <v>58</v>
      </c>
      <c r="D10" s="224"/>
    </row>
    <row r="11" ht="54" customHeight="1" spans="1:4">
      <c r="A11" s="221">
        <v>6</v>
      </c>
      <c r="B11" s="226" t="s">
        <v>59</v>
      </c>
      <c r="D11" s="224"/>
    </row>
    <row r="12" ht="54" customHeight="1" spans="1:2">
      <c r="A12" s="221">
        <v>7</v>
      </c>
      <c r="B12" s="227" t="s">
        <v>60</v>
      </c>
    </row>
    <row r="13" ht="44" customHeight="1" spans="1:2">
      <c r="A13" s="221">
        <v>8</v>
      </c>
      <c r="B13" s="226" t="s">
        <v>61</v>
      </c>
    </row>
    <row r="14" ht="24" customHeight="1" spans="1:2">
      <c r="A14" s="221">
        <v>9</v>
      </c>
      <c r="B14" s="226" t="s">
        <v>62</v>
      </c>
    </row>
    <row r="15" ht="16" customHeight="1" spans="1:2">
      <c r="A15" s="214" t="s">
        <v>63</v>
      </c>
      <c r="B15" s="215"/>
    </row>
    <row r="16" ht="31" customHeight="1" spans="1:2">
      <c r="A16" s="221">
        <v>1</v>
      </c>
      <c r="B16" s="218" t="s">
        <v>64</v>
      </c>
    </row>
    <row r="17" ht="22" customHeight="1" spans="1:2">
      <c r="A17" s="221">
        <v>2</v>
      </c>
      <c r="B17" s="218" t="s">
        <v>65</v>
      </c>
    </row>
    <row r="18" ht="12.75" spans="1:2">
      <c r="A18" s="221">
        <v>3</v>
      </c>
      <c r="B18" s="218" t="s">
        <v>66</v>
      </c>
    </row>
    <row r="19" ht="18" customHeight="1" spans="1:2">
      <c r="A19" s="214" t="s">
        <v>67</v>
      </c>
      <c r="B19" s="215"/>
    </row>
    <row r="20" ht="18" customHeight="1" spans="1:2">
      <c r="A20" s="221">
        <v>1</v>
      </c>
      <c r="B20" s="228" t="s">
        <v>68</v>
      </c>
    </row>
    <row r="21" ht="116" customHeight="1" spans="1:2">
      <c r="A21" s="221">
        <v>2</v>
      </c>
      <c r="B21" s="228" t="s">
        <v>69</v>
      </c>
    </row>
    <row r="22" ht="13.5" spans="1:2">
      <c r="A22" s="229" t="s">
        <v>70</v>
      </c>
      <c r="B22" s="229"/>
    </row>
  </sheetData>
  <mergeCells count="6">
    <mergeCell ref="A1:B1"/>
    <mergeCell ref="A2:B2"/>
    <mergeCell ref="A5:B5"/>
    <mergeCell ref="A15:B15"/>
    <mergeCell ref="A19:B19"/>
    <mergeCell ref="A22:B22"/>
  </mergeCells>
  <printOptions horizontalCentered="1"/>
  <pageMargins left="0.196527777777778" right="0.196527777777778" top="0.590277777777778" bottom="0.590277777777778" header="0.5" footer="0.5"/>
  <pageSetup paperSize="9" orientation="portrait" horizontalDpi="600"/>
  <headerFooter>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topLeftCell="A7" workbookViewId="0">
      <selection activeCell="E4" sqref="E4:E6"/>
    </sheetView>
  </sheetViews>
  <sheetFormatPr defaultColWidth="8.84761904761905" defaultRowHeight="12.75" outlineLevelCol="7"/>
  <cols>
    <col min="1" max="1" width="8.84761904761905" style="4"/>
    <col min="2" max="2" width="24.4285714285714" style="4" customWidth="1"/>
    <col min="3" max="3" width="8.15238095238095" style="201" customWidth="1"/>
    <col min="4" max="4" width="17.4285714285714" style="4" customWidth="1"/>
    <col min="5" max="5" width="17.152380952381" style="4" customWidth="1"/>
    <col min="6" max="6" width="10.2761904761905" style="4" customWidth="1"/>
    <col min="7" max="7" width="8.84761904761905" style="4"/>
    <col min="8" max="8" width="14.5714285714286" style="4"/>
    <col min="9" max="16384" width="8.84761904761905" style="4"/>
  </cols>
  <sheetData>
    <row r="1" s="200" customFormat="1" ht="48" customHeight="1" spans="1:6">
      <c r="A1" s="202" t="s">
        <v>71</v>
      </c>
      <c r="B1" s="202"/>
      <c r="C1" s="202"/>
      <c r="D1" s="202"/>
      <c r="E1" s="202"/>
      <c r="F1" s="202"/>
    </row>
    <row r="2" s="200" customFormat="1" ht="30" customHeight="1" spans="1:6">
      <c r="A2" s="203" t="s">
        <v>42</v>
      </c>
      <c r="B2" s="203" t="s">
        <v>43</v>
      </c>
      <c r="C2" s="203" t="s">
        <v>72</v>
      </c>
      <c r="D2" s="204" t="s">
        <v>44</v>
      </c>
      <c r="E2" s="204" t="s">
        <v>73</v>
      </c>
      <c r="F2" s="205" t="s">
        <v>45</v>
      </c>
    </row>
    <row r="3" s="200" customFormat="1" ht="30" customHeight="1" spans="1:6">
      <c r="A3" s="203" t="s">
        <v>74</v>
      </c>
      <c r="B3" s="203" t="s">
        <v>75</v>
      </c>
      <c r="C3" s="203"/>
      <c r="D3" s="204"/>
      <c r="E3" s="204">
        <f>SUM(E4:E6)</f>
        <v>720358.942295878</v>
      </c>
      <c r="F3" s="206"/>
    </row>
    <row r="4" s="200" customFormat="1" ht="30" customHeight="1" spans="1:6">
      <c r="A4" s="207">
        <v>1.1</v>
      </c>
      <c r="B4" s="208" t="s">
        <v>76</v>
      </c>
      <c r="C4" s="207" t="s">
        <v>77</v>
      </c>
      <c r="D4" s="207">
        <f>装饰工程!M6</f>
        <v>118116.7066445</v>
      </c>
      <c r="E4" s="209">
        <f>D4</f>
        <v>118116.7066445</v>
      </c>
      <c r="F4" s="9"/>
    </row>
    <row r="5" s="200" customFormat="1" ht="30" customHeight="1" spans="1:6">
      <c r="A5" s="207">
        <v>1.2</v>
      </c>
      <c r="B5" s="208" t="s">
        <v>78</v>
      </c>
      <c r="C5" s="207" t="s">
        <v>77</v>
      </c>
      <c r="D5" s="207">
        <f>装饰工程!M14</f>
        <v>189597.725793</v>
      </c>
      <c r="E5" s="209">
        <f>D5</f>
        <v>189597.725793</v>
      </c>
      <c r="F5" s="9"/>
    </row>
    <row r="6" s="200" customFormat="1" ht="30" customHeight="1" spans="1:6">
      <c r="A6" s="207">
        <v>1.3</v>
      </c>
      <c r="B6" s="208" t="s">
        <v>79</v>
      </c>
      <c r="C6" s="207" t="s">
        <v>77</v>
      </c>
      <c r="D6" s="207">
        <f>装饰工程!M18</f>
        <v>412644.509858378</v>
      </c>
      <c r="E6" s="209">
        <f>D6</f>
        <v>412644.509858378</v>
      </c>
      <c r="F6" s="9"/>
    </row>
    <row r="7" s="200" customFormat="1" ht="30" customHeight="1" spans="1:8">
      <c r="A7" s="207" t="s">
        <v>80</v>
      </c>
      <c r="B7" s="208" t="s">
        <v>81</v>
      </c>
      <c r="C7" s="207" t="s">
        <v>77</v>
      </c>
      <c r="D7" s="207"/>
      <c r="E7" s="204">
        <f>SUM(E8:E10)</f>
        <v>2369662.43023784</v>
      </c>
      <c r="F7" s="210"/>
      <c r="H7" s="200">
        <f>E3+E7</f>
        <v>3090021.37253372</v>
      </c>
    </row>
    <row r="8" s="200" customFormat="1" ht="30" customHeight="1" spans="1:6">
      <c r="A8" s="207">
        <v>2.1</v>
      </c>
      <c r="B8" s="208" t="s">
        <v>82</v>
      </c>
      <c r="C8" s="207" t="s">
        <v>77</v>
      </c>
      <c r="D8" s="207">
        <f>装饰工程!M66</f>
        <v>425991.1071005</v>
      </c>
      <c r="E8" s="209">
        <f>D8</f>
        <v>425991.1071005</v>
      </c>
      <c r="F8" s="210"/>
    </row>
    <row r="9" s="200" customFormat="1" ht="30" customHeight="1" spans="1:6">
      <c r="A9" s="207">
        <v>2.2</v>
      </c>
      <c r="B9" s="208" t="s">
        <v>83</v>
      </c>
      <c r="C9" s="207" t="s">
        <v>77</v>
      </c>
      <c r="D9" s="207">
        <f>装饰工程!M80</f>
        <v>434747.43783164</v>
      </c>
      <c r="E9" s="209">
        <f>D9</f>
        <v>434747.43783164</v>
      </c>
      <c r="F9" s="210"/>
    </row>
    <row r="10" s="200" customFormat="1" ht="30" customHeight="1" spans="1:6">
      <c r="A10" s="207">
        <v>2.3</v>
      </c>
      <c r="B10" s="208" t="s">
        <v>84</v>
      </c>
      <c r="C10" s="207" t="s">
        <v>77</v>
      </c>
      <c r="D10" s="207">
        <f>装饰工程!M98</f>
        <v>1508923.8853057</v>
      </c>
      <c r="E10" s="209">
        <f>D10</f>
        <v>1508923.8853057</v>
      </c>
      <c r="F10" s="210"/>
    </row>
    <row r="11" s="200" customFormat="1" ht="30" customHeight="1" spans="1:6">
      <c r="A11" s="207" t="s">
        <v>85</v>
      </c>
      <c r="B11" s="208" t="s">
        <v>20</v>
      </c>
      <c r="C11" s="207" t="s">
        <v>77</v>
      </c>
      <c r="D11" s="207"/>
      <c r="E11" s="204" t="e">
        <f>SUM(E12:E14)</f>
        <v>#REF!</v>
      </c>
      <c r="F11" s="210"/>
    </row>
    <row r="12" s="200" customFormat="1" ht="30" customHeight="1" spans="1:6">
      <c r="A12" s="207">
        <v>3.1</v>
      </c>
      <c r="B12" s="208" t="s">
        <v>75</v>
      </c>
      <c r="C12" s="207" t="s">
        <v>77</v>
      </c>
      <c r="D12" s="207">
        <f>安装工程!M6</f>
        <v>538439.661356242</v>
      </c>
      <c r="E12" s="209">
        <f>D12</f>
        <v>538439.661356242</v>
      </c>
      <c r="F12" s="210"/>
    </row>
    <row r="13" s="200" customFormat="1" ht="30" customHeight="1" spans="1:6">
      <c r="A13" s="207">
        <v>3.2</v>
      </c>
      <c r="B13" s="208" t="s">
        <v>81</v>
      </c>
      <c r="C13" s="207" t="s">
        <v>77</v>
      </c>
      <c r="D13" s="207">
        <f>安装工程!M159</f>
        <v>331979.24595386</v>
      </c>
      <c r="E13" s="209">
        <f>D13</f>
        <v>331979.24595386</v>
      </c>
      <c r="F13" s="210"/>
    </row>
    <row r="14" s="200" customFormat="1" ht="30" customHeight="1" spans="1:6">
      <c r="A14" s="207" t="s">
        <v>86</v>
      </c>
      <c r="B14" s="208" t="s">
        <v>87</v>
      </c>
      <c r="C14" s="207" t="s">
        <v>77</v>
      </c>
      <c r="D14" s="209" t="e">
        <f>#REF!</f>
        <v>#REF!</v>
      </c>
      <c r="E14" s="209" t="e">
        <f>D14</f>
        <v>#REF!</v>
      </c>
      <c r="F14" s="210"/>
    </row>
    <row r="15" s="200" customFormat="1" ht="30" customHeight="1" spans="1:6">
      <c r="A15" s="207" t="s">
        <v>73</v>
      </c>
      <c r="B15" s="207"/>
      <c r="C15" s="207"/>
      <c r="D15" s="207"/>
      <c r="E15" s="211" t="e">
        <f>E11+E7+E3</f>
        <v>#REF!</v>
      </c>
      <c r="F15" s="9"/>
    </row>
  </sheetData>
  <mergeCells count="2">
    <mergeCell ref="A1:F1"/>
    <mergeCell ref="A15:B15"/>
  </mergeCells>
  <pageMargins left="0.751388888888889" right="0.751388888888889" top="1" bottom="1" header="0.5" footer="0.5"/>
  <pageSetup paperSize="9" orientation="portrait" horizontalDpi="600"/>
  <headerFooter>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U50" sqref="U50"/>
    </sheetView>
  </sheetViews>
  <sheetFormatPr defaultColWidth="9.15238095238095" defaultRowHeight="12.75"/>
  <sheetData/>
  <pageMargins left="0.75" right="0.75" top="1" bottom="1" header="0.5" footer="0.5"/>
  <pageSetup paperSize="9" orientation="portrait"/>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U350"/>
  <sheetViews>
    <sheetView workbookViewId="0">
      <pane ySplit="5" topLeftCell="A30" activePane="bottomLeft" state="frozen"/>
      <selection/>
      <selection pane="bottomLeft" activeCell="M104" sqref="M104:N105"/>
    </sheetView>
  </sheetViews>
  <sheetFormatPr defaultColWidth="9" defaultRowHeight="11.25"/>
  <cols>
    <col min="1" max="1" width="5.27619047619048" style="21" customWidth="1"/>
    <col min="2" max="2" width="9.43809523809524" style="21" customWidth="1"/>
    <col min="3" max="3" width="28.4190476190476" style="21" customWidth="1"/>
    <col min="4" max="4" width="6.42857142857143" style="21" customWidth="1"/>
    <col min="5" max="5" width="6" style="21" customWidth="1"/>
    <col min="6" max="6" width="7.27619047619048" style="21" customWidth="1"/>
    <col min="7" max="7" width="11.0857142857143" style="21" customWidth="1"/>
    <col min="8" max="8" width="7.37142857142857" style="21" customWidth="1"/>
    <col min="9" max="9" width="5.84761904761905" style="21" customWidth="1"/>
    <col min="10" max="10" width="8.69523809523809" style="21" customWidth="1"/>
    <col min="11" max="11" width="8.57142857142857" style="21" customWidth="1"/>
    <col min="12" max="12" width="8.15238095238095" style="21" customWidth="1"/>
    <col min="13" max="13" width="0.333333333333333" style="21" customWidth="1"/>
    <col min="14" max="14" width="11.6857142857143" style="21" customWidth="1"/>
    <col min="15" max="15" width="11.1714285714286" style="21" customWidth="1"/>
    <col min="16" max="16" width="8.57142857142857" style="21" customWidth="1"/>
    <col min="17" max="17" width="12.2761904761905" style="104" customWidth="1"/>
    <col min="18" max="19" width="11" style="21"/>
    <col min="20" max="16384" width="9" style="21"/>
  </cols>
  <sheetData>
    <row r="1" s="102" customFormat="1" ht="25.5" spans="1:17">
      <c r="A1" s="51" t="s">
        <v>88</v>
      </c>
      <c r="B1" s="51"/>
      <c r="C1" s="51"/>
      <c r="D1" s="51"/>
      <c r="E1" s="51"/>
      <c r="F1" s="51"/>
      <c r="G1" s="51"/>
      <c r="H1" s="51"/>
      <c r="I1" s="51"/>
      <c r="J1" s="51"/>
      <c r="K1" s="51"/>
      <c r="L1" s="51"/>
      <c r="M1" s="51"/>
      <c r="N1" s="51"/>
      <c r="O1" s="51"/>
      <c r="P1" s="51"/>
      <c r="Q1" s="131"/>
    </row>
    <row r="2" s="102" customFormat="1" spans="1:17">
      <c r="A2" s="52" t="s">
        <v>89</v>
      </c>
      <c r="B2" s="52"/>
      <c r="C2" s="52"/>
      <c r="D2" s="52"/>
      <c r="E2" s="52"/>
      <c r="F2" s="52"/>
      <c r="G2" s="52"/>
      <c r="H2" s="52"/>
      <c r="I2" s="52"/>
      <c r="J2" s="52"/>
      <c r="K2" s="52"/>
      <c r="L2" s="52"/>
      <c r="M2" s="52"/>
      <c r="N2" s="52"/>
      <c r="O2" s="52"/>
      <c r="P2" s="52"/>
      <c r="Q2" s="131"/>
    </row>
    <row r="3" s="102" customFormat="1" spans="1:17">
      <c r="A3" s="53" t="s">
        <v>1</v>
      </c>
      <c r="B3" s="53" t="s">
        <v>90</v>
      </c>
      <c r="C3" s="53" t="s">
        <v>91</v>
      </c>
      <c r="D3" s="53" t="s">
        <v>72</v>
      </c>
      <c r="E3" s="53" t="s">
        <v>92</v>
      </c>
      <c r="F3" s="53" t="s">
        <v>93</v>
      </c>
      <c r="G3" s="53"/>
      <c r="H3" s="53"/>
      <c r="I3" s="53"/>
      <c r="J3" s="53"/>
      <c r="K3" s="53"/>
      <c r="L3" s="53"/>
      <c r="M3" s="53" t="s">
        <v>94</v>
      </c>
      <c r="N3" s="53"/>
      <c r="O3" s="53" t="s">
        <v>95</v>
      </c>
      <c r="P3" s="53" t="s">
        <v>96</v>
      </c>
      <c r="Q3" s="131"/>
    </row>
    <row r="4" s="102" customFormat="1" ht="45" spans="1:17">
      <c r="A4" s="53"/>
      <c r="B4" s="53"/>
      <c r="C4" s="53"/>
      <c r="D4" s="53"/>
      <c r="E4" s="53"/>
      <c r="F4" s="53" t="s">
        <v>97</v>
      </c>
      <c r="G4" s="53" t="s">
        <v>98</v>
      </c>
      <c r="H4" s="53" t="s">
        <v>99</v>
      </c>
      <c r="I4" s="53" t="s">
        <v>100</v>
      </c>
      <c r="J4" s="53" t="s">
        <v>101</v>
      </c>
      <c r="K4" s="53" t="s">
        <v>102</v>
      </c>
      <c r="L4" s="53" t="s">
        <v>103</v>
      </c>
      <c r="M4" s="53"/>
      <c r="N4" s="53"/>
      <c r="O4" s="53"/>
      <c r="P4" s="53"/>
      <c r="Q4" s="131"/>
    </row>
    <row r="5" s="102" customFormat="1" spans="1:17">
      <c r="A5" s="53"/>
      <c r="B5" s="53"/>
      <c r="C5" s="53"/>
      <c r="D5" s="53"/>
      <c r="E5" s="53"/>
      <c r="F5" s="53"/>
      <c r="G5" s="53" t="s">
        <v>104</v>
      </c>
      <c r="H5" s="53" t="s">
        <v>105</v>
      </c>
      <c r="I5" s="53" t="s">
        <v>106</v>
      </c>
      <c r="J5" s="53"/>
      <c r="K5" s="118">
        <v>0.06</v>
      </c>
      <c r="L5" s="77">
        <v>0.09</v>
      </c>
      <c r="M5" s="53"/>
      <c r="N5" s="53"/>
      <c r="O5" s="53"/>
      <c r="P5" s="53"/>
      <c r="Q5" s="131"/>
    </row>
    <row r="6" s="102" customFormat="1" spans="1:17">
      <c r="A6" s="53"/>
      <c r="B6" s="53" t="s">
        <v>107</v>
      </c>
      <c r="C6" s="53"/>
      <c r="D6" s="53"/>
      <c r="E6" s="53"/>
      <c r="F6" s="105"/>
      <c r="G6" s="55"/>
      <c r="H6" s="105"/>
      <c r="I6" s="65"/>
      <c r="J6" s="55"/>
      <c r="K6" s="55"/>
      <c r="L6" s="55"/>
      <c r="M6" s="55">
        <f>SUM(O7:O13)</f>
        <v>118116.7066445</v>
      </c>
      <c r="N6" s="55"/>
      <c r="O6" s="55"/>
      <c r="P6" s="119"/>
      <c r="Q6" s="131"/>
    </row>
    <row r="7" s="102" customFormat="1" ht="56.25" outlineLevel="1" spans="1:17">
      <c r="A7" s="53">
        <v>1</v>
      </c>
      <c r="B7" s="53" t="s">
        <v>108</v>
      </c>
      <c r="C7" s="106" t="s">
        <v>109</v>
      </c>
      <c r="D7" s="53" t="s">
        <v>110</v>
      </c>
      <c r="E7" s="53">
        <v>10.11</v>
      </c>
      <c r="F7" s="107">
        <v>25</v>
      </c>
      <c r="G7" s="55">
        <f t="shared" ref="G7:G11" si="0">H7*(1+I7)</f>
        <v>15.75</v>
      </c>
      <c r="H7" s="107">
        <v>15</v>
      </c>
      <c r="I7" s="77">
        <v>0.05</v>
      </c>
      <c r="J7" s="62">
        <v>5</v>
      </c>
      <c r="K7" s="55">
        <f>(F7+G7+J7)*$K$5</f>
        <v>2.745</v>
      </c>
      <c r="L7" s="55">
        <f>(F7+G7+J7+K7)*$L$5</f>
        <v>4.36455</v>
      </c>
      <c r="M7" s="55">
        <f>F7+G7+J7+K7+L7</f>
        <v>52.85955</v>
      </c>
      <c r="N7" s="55"/>
      <c r="O7" s="55">
        <f t="shared" ref="O7:O11" si="1">M7*E7</f>
        <v>534.4100505</v>
      </c>
      <c r="P7" s="119"/>
      <c r="Q7" s="132" t="s">
        <v>111</v>
      </c>
    </row>
    <row r="8" s="102" customFormat="1" ht="148" customHeight="1" outlineLevel="1" spans="1:17">
      <c r="A8" s="53">
        <v>2</v>
      </c>
      <c r="B8" s="53" t="s">
        <v>112</v>
      </c>
      <c r="C8" s="53" t="s">
        <v>113</v>
      </c>
      <c r="D8" s="53" t="s">
        <v>110</v>
      </c>
      <c r="E8" s="53">
        <v>228.14</v>
      </c>
      <c r="F8" s="107">
        <v>85</v>
      </c>
      <c r="G8" s="55">
        <f t="shared" si="0"/>
        <v>267.75</v>
      </c>
      <c r="H8" s="107">
        <v>255</v>
      </c>
      <c r="I8" s="77">
        <f t="shared" ref="I8:I11" si="2">I7</f>
        <v>0.05</v>
      </c>
      <c r="J8" s="62">
        <v>35</v>
      </c>
      <c r="K8" s="55">
        <f>(F8+G8+J8)*$K$5</f>
        <v>23.265</v>
      </c>
      <c r="L8" s="55">
        <f>(F8+G8+J8+K8)*$L$5</f>
        <v>36.99135</v>
      </c>
      <c r="M8" s="55">
        <f t="shared" ref="M7:M11" si="3">F8+G8+J8+K8+L8</f>
        <v>448.00635</v>
      </c>
      <c r="N8" s="55"/>
      <c r="O8" s="55">
        <f t="shared" si="1"/>
        <v>102208.168689</v>
      </c>
      <c r="P8" s="119"/>
      <c r="Q8" s="131"/>
    </row>
    <row r="9" s="102" customFormat="1" ht="148" customHeight="1" outlineLevel="1" spans="1:17">
      <c r="A9" s="53">
        <v>3</v>
      </c>
      <c r="B9" s="53" t="s">
        <v>112</v>
      </c>
      <c r="C9" s="53" t="s">
        <v>114</v>
      </c>
      <c r="D9" s="53" t="s">
        <v>110</v>
      </c>
      <c r="E9" s="53">
        <v>10.86</v>
      </c>
      <c r="F9" s="105">
        <f t="shared" ref="F9:J9" si="4">F8</f>
        <v>85</v>
      </c>
      <c r="G9" s="55">
        <f t="shared" si="0"/>
        <v>267.75</v>
      </c>
      <c r="H9" s="108">
        <f t="shared" si="4"/>
        <v>255</v>
      </c>
      <c r="I9" s="65">
        <f t="shared" si="4"/>
        <v>0.05</v>
      </c>
      <c r="J9" s="55">
        <f t="shared" si="4"/>
        <v>35</v>
      </c>
      <c r="K9" s="55">
        <f>(F9+G9+J9)*$K$5</f>
        <v>23.265</v>
      </c>
      <c r="L9" s="55">
        <f>(F9+G9+J9+K9)*$L$5</f>
        <v>36.99135</v>
      </c>
      <c r="M9" s="55">
        <f t="shared" si="3"/>
        <v>448.00635</v>
      </c>
      <c r="N9" s="55"/>
      <c r="O9" s="55">
        <f t="shared" si="1"/>
        <v>4865.348961</v>
      </c>
      <c r="P9" s="119"/>
      <c r="Q9" s="131"/>
    </row>
    <row r="10" s="102" customFormat="1" ht="148" customHeight="1" outlineLevel="1" spans="1:17">
      <c r="A10" s="53">
        <v>4</v>
      </c>
      <c r="B10" s="53" t="s">
        <v>115</v>
      </c>
      <c r="C10" s="53" t="s">
        <v>116</v>
      </c>
      <c r="D10" s="53" t="s">
        <v>110</v>
      </c>
      <c r="E10" s="53">
        <v>29.18</v>
      </c>
      <c r="F10" s="107">
        <v>65</v>
      </c>
      <c r="G10" s="55">
        <f t="shared" si="0"/>
        <v>68.25</v>
      </c>
      <c r="H10" s="107">
        <v>65</v>
      </c>
      <c r="I10" s="77">
        <f t="shared" si="2"/>
        <v>0.05</v>
      </c>
      <c r="J10" s="62">
        <f>J8</f>
        <v>35</v>
      </c>
      <c r="K10" s="55">
        <f>(F10+G10+J10)*$K$5</f>
        <v>10.095</v>
      </c>
      <c r="L10" s="55">
        <f>(F10+G10+J10+K10)*$L$5</f>
        <v>16.05105</v>
      </c>
      <c r="M10" s="55">
        <f t="shared" si="3"/>
        <v>194.39605</v>
      </c>
      <c r="N10" s="55"/>
      <c r="O10" s="55">
        <f t="shared" si="1"/>
        <v>5672.476739</v>
      </c>
      <c r="P10" s="119" t="s">
        <v>117</v>
      </c>
      <c r="Q10" s="131"/>
    </row>
    <row r="11" s="102" customFormat="1" ht="28" customHeight="1" outlineLevel="1" spans="1:17">
      <c r="A11" s="53">
        <v>5</v>
      </c>
      <c r="B11" s="53" t="s">
        <v>112</v>
      </c>
      <c r="C11" s="53" t="s">
        <v>118</v>
      </c>
      <c r="D11" s="53" t="s">
        <v>110</v>
      </c>
      <c r="E11" s="53">
        <v>4.69</v>
      </c>
      <c r="F11" s="107">
        <v>150</v>
      </c>
      <c r="G11" s="109">
        <f t="shared" si="0"/>
        <v>577.5</v>
      </c>
      <c r="H11" s="107">
        <v>550</v>
      </c>
      <c r="I11" s="77">
        <f t="shared" si="2"/>
        <v>0.05</v>
      </c>
      <c r="J11" s="62">
        <v>165</v>
      </c>
      <c r="K11" s="109">
        <f>(F11+G11+J11)*$K$5</f>
        <v>53.55</v>
      </c>
      <c r="L11" s="109">
        <f>(F11+G11+J11+K11)*$L$5</f>
        <v>85.1445</v>
      </c>
      <c r="M11" s="120">
        <f t="shared" si="3"/>
        <v>1031.1945</v>
      </c>
      <c r="N11" s="121"/>
      <c r="O11" s="109">
        <f t="shared" si="1"/>
        <v>4836.302205</v>
      </c>
      <c r="P11" s="119"/>
      <c r="Q11" s="131"/>
    </row>
    <row r="12" s="102" customFormat="1" ht="23" customHeight="1" outlineLevel="1" spans="1:17">
      <c r="A12" s="53"/>
      <c r="B12" s="53"/>
      <c r="C12" s="53"/>
      <c r="D12" s="53"/>
      <c r="E12" s="53"/>
      <c r="F12" s="107"/>
      <c r="G12" s="110"/>
      <c r="H12" s="107"/>
      <c r="I12" s="77"/>
      <c r="J12" s="62"/>
      <c r="K12" s="110"/>
      <c r="L12" s="110"/>
      <c r="M12" s="122"/>
      <c r="N12" s="123"/>
      <c r="O12" s="110"/>
      <c r="P12" s="119"/>
      <c r="Q12" s="131"/>
    </row>
    <row r="13" s="102" customFormat="1" ht="32" customHeight="1" outlineLevel="1" spans="1:17">
      <c r="A13" s="53"/>
      <c r="B13" s="53"/>
      <c r="C13" s="53"/>
      <c r="D13" s="53"/>
      <c r="E13" s="53"/>
      <c r="F13" s="107"/>
      <c r="G13" s="111"/>
      <c r="H13" s="107"/>
      <c r="I13" s="77"/>
      <c r="J13" s="62"/>
      <c r="K13" s="111"/>
      <c r="L13" s="111"/>
      <c r="M13" s="124"/>
      <c r="N13" s="125"/>
      <c r="O13" s="111"/>
      <c r="P13" s="119"/>
      <c r="Q13" s="131"/>
    </row>
    <row r="14" s="102" customFormat="1" spans="1:17">
      <c r="A14" s="53"/>
      <c r="B14" s="53" t="s">
        <v>119</v>
      </c>
      <c r="C14" s="53"/>
      <c r="D14" s="53"/>
      <c r="E14" s="53"/>
      <c r="F14" s="105"/>
      <c r="G14" s="55"/>
      <c r="H14" s="105"/>
      <c r="I14" s="65"/>
      <c r="J14" s="55"/>
      <c r="K14" s="55"/>
      <c r="L14" s="55"/>
      <c r="M14" s="55">
        <f>SUM(O15:O17)</f>
        <v>189597.725793</v>
      </c>
      <c r="N14" s="55"/>
      <c r="O14" s="55"/>
      <c r="P14" s="119"/>
      <c r="Q14" s="131"/>
    </row>
    <row r="15" s="102" customFormat="1" ht="168.75" outlineLevel="1" spans="1:17">
      <c r="A15" s="53">
        <v>6</v>
      </c>
      <c r="B15" s="53" t="s">
        <v>35</v>
      </c>
      <c r="C15" s="32" t="s">
        <v>120</v>
      </c>
      <c r="D15" s="53" t="s">
        <v>110</v>
      </c>
      <c r="E15" s="53">
        <v>80.39</v>
      </c>
      <c r="F15" s="107">
        <v>125</v>
      </c>
      <c r="G15" s="55">
        <f t="shared" ref="G15:G17" si="5">H15*(1+I15)</f>
        <v>315</v>
      </c>
      <c r="H15" s="107">
        <v>300</v>
      </c>
      <c r="I15" s="77">
        <v>0.05</v>
      </c>
      <c r="J15" s="62">
        <v>105</v>
      </c>
      <c r="K15" s="55">
        <f>(F15+G15+J15)*$K$5</f>
        <v>32.7</v>
      </c>
      <c r="L15" s="55">
        <f>(F15+G15+J15+K15)*$L$5</f>
        <v>51.993</v>
      </c>
      <c r="M15" s="55">
        <f t="shared" ref="M15:M17" si="6">F15+G15+J15+K15+L15</f>
        <v>629.693</v>
      </c>
      <c r="N15" s="55"/>
      <c r="O15" s="55">
        <f t="shared" ref="O15:O17" si="7">M15*E15</f>
        <v>50621.02027</v>
      </c>
      <c r="P15" s="119" t="s">
        <v>121</v>
      </c>
      <c r="Q15" s="131"/>
    </row>
    <row r="16" s="102" customFormat="1" ht="168.75" outlineLevel="1" spans="1:17">
      <c r="A16" s="53">
        <v>7</v>
      </c>
      <c r="B16" s="53" t="s">
        <v>122</v>
      </c>
      <c r="C16" s="53" t="s">
        <v>123</v>
      </c>
      <c r="D16" s="53" t="s">
        <v>110</v>
      </c>
      <c r="E16" s="53">
        <v>170.33</v>
      </c>
      <c r="F16" s="107">
        <v>155</v>
      </c>
      <c r="G16" s="55">
        <f t="shared" si="5"/>
        <v>324</v>
      </c>
      <c r="H16" s="107">
        <f>H15</f>
        <v>300</v>
      </c>
      <c r="I16" s="77">
        <v>0.08</v>
      </c>
      <c r="J16" s="62">
        <v>125</v>
      </c>
      <c r="K16" s="55">
        <f>(F16+G16+J16)*$K$5</f>
        <v>36.24</v>
      </c>
      <c r="L16" s="55">
        <f>(F16+G16+J16+K16)*$L$5</f>
        <v>57.6216</v>
      </c>
      <c r="M16" s="55">
        <f t="shared" si="6"/>
        <v>697.8616</v>
      </c>
      <c r="N16" s="55"/>
      <c r="O16" s="55">
        <f t="shared" si="7"/>
        <v>118866.766328</v>
      </c>
      <c r="P16" s="119" t="str">
        <f>P15</f>
        <v>龙骨驰龙、石膏板泰山</v>
      </c>
      <c r="Q16" s="131"/>
    </row>
    <row r="17" s="102" customFormat="1" ht="56.25" outlineLevel="1" spans="1:17">
      <c r="A17" s="53">
        <v>8</v>
      </c>
      <c r="B17" s="53" t="s">
        <v>124</v>
      </c>
      <c r="C17" s="53" t="s">
        <v>125</v>
      </c>
      <c r="D17" s="53" t="s">
        <v>110</v>
      </c>
      <c r="E17" s="53">
        <v>48.55</v>
      </c>
      <c r="F17" s="107">
        <v>35</v>
      </c>
      <c r="G17" s="55">
        <f t="shared" si="5"/>
        <v>283.5</v>
      </c>
      <c r="H17" s="107">
        <v>270</v>
      </c>
      <c r="I17" s="77">
        <v>0.05</v>
      </c>
      <c r="J17" s="62">
        <v>40</v>
      </c>
      <c r="K17" s="55">
        <f>(F17+G17+J17)*$K$5</f>
        <v>21.51</v>
      </c>
      <c r="L17" s="55">
        <f>(F17+G17+J17+K17)*$L$5</f>
        <v>34.2009</v>
      </c>
      <c r="M17" s="55">
        <f t="shared" si="6"/>
        <v>414.2109</v>
      </c>
      <c r="N17" s="55"/>
      <c r="O17" s="55">
        <f t="shared" si="7"/>
        <v>20109.939195</v>
      </c>
      <c r="P17" s="119"/>
      <c r="Q17" s="131"/>
    </row>
    <row r="18" s="102" customFormat="1" spans="1:17">
      <c r="A18" s="53"/>
      <c r="B18" s="53" t="s">
        <v>126</v>
      </c>
      <c r="C18" s="53"/>
      <c r="D18" s="53"/>
      <c r="E18" s="53"/>
      <c r="F18" s="105"/>
      <c r="G18" s="55"/>
      <c r="H18" s="105"/>
      <c r="I18" s="65"/>
      <c r="J18" s="55"/>
      <c r="K18" s="55"/>
      <c r="L18" s="55"/>
      <c r="M18" s="55">
        <f>SUM(O19:O65)</f>
        <v>412644.509858378</v>
      </c>
      <c r="N18" s="55"/>
      <c r="O18" s="55"/>
      <c r="P18" s="119"/>
      <c r="Q18" s="131"/>
    </row>
    <row r="19" s="102" customFormat="1" spans="1:17">
      <c r="A19" s="53"/>
      <c r="B19" s="53" t="s">
        <v>127</v>
      </c>
      <c r="C19" s="53"/>
      <c r="D19" s="53"/>
      <c r="E19" s="53"/>
      <c r="F19" s="105"/>
      <c r="G19" s="55"/>
      <c r="H19" s="105"/>
      <c r="I19" s="65"/>
      <c r="J19" s="55"/>
      <c r="K19" s="55"/>
      <c r="L19" s="55"/>
      <c r="M19" s="55"/>
      <c r="N19" s="55"/>
      <c r="O19" s="55"/>
      <c r="P19" s="119"/>
      <c r="Q19" s="131"/>
    </row>
    <row r="20" s="102" customFormat="1" ht="78.75" outlineLevel="1" spans="1:17">
      <c r="A20" s="53">
        <v>9</v>
      </c>
      <c r="B20" s="53" t="s">
        <v>128</v>
      </c>
      <c r="C20" s="53" t="s">
        <v>129</v>
      </c>
      <c r="D20" s="53" t="s">
        <v>110</v>
      </c>
      <c r="E20" s="53">
        <v>13.36</v>
      </c>
      <c r="F20" s="107">
        <v>190</v>
      </c>
      <c r="G20" s="55">
        <f t="shared" ref="G20:G27" si="8">H20*(1+I20)</f>
        <v>315</v>
      </c>
      <c r="H20" s="107">
        <v>300</v>
      </c>
      <c r="I20" s="77">
        <v>0.05</v>
      </c>
      <c r="J20" s="62">
        <v>150</v>
      </c>
      <c r="K20" s="55">
        <f>(F20+G20+J20)*$K$5</f>
        <v>39.3</v>
      </c>
      <c r="L20" s="55">
        <f>(F20+G20+J20+K20)*$L$5</f>
        <v>62.487</v>
      </c>
      <c r="M20" s="55">
        <f t="shared" ref="M20:M27" si="9">F20+G20+J20+K20+L20</f>
        <v>756.787</v>
      </c>
      <c r="N20" s="55"/>
      <c r="O20" s="55">
        <f t="shared" ref="O20:O27" si="10">M20*E20</f>
        <v>10110.67432</v>
      </c>
      <c r="P20" s="119" t="s">
        <v>130</v>
      </c>
      <c r="Q20" s="131"/>
    </row>
    <row r="21" s="102" customFormat="1" ht="78.75" outlineLevel="1" spans="1:17">
      <c r="A21" s="53">
        <v>10</v>
      </c>
      <c r="B21" s="53" t="s">
        <v>128</v>
      </c>
      <c r="C21" s="53" t="s">
        <v>131</v>
      </c>
      <c r="D21" s="53" t="s">
        <v>110</v>
      </c>
      <c r="E21" s="53">
        <v>14.5</v>
      </c>
      <c r="F21" s="108">
        <f>F20</f>
        <v>190</v>
      </c>
      <c r="G21" s="61">
        <f t="shared" si="8"/>
        <v>315</v>
      </c>
      <c r="H21" s="108">
        <f>H20</f>
        <v>300</v>
      </c>
      <c r="I21" s="126">
        <f>I20</f>
        <v>0.05</v>
      </c>
      <c r="J21" s="61">
        <f>J20</f>
        <v>150</v>
      </c>
      <c r="K21" s="55">
        <f>(F21+G21+J21)*$K$5</f>
        <v>39.3</v>
      </c>
      <c r="L21" s="55">
        <f>(F21+G21+J21+K21)*$L$5</f>
        <v>62.487</v>
      </c>
      <c r="M21" s="55">
        <f t="shared" si="9"/>
        <v>756.787</v>
      </c>
      <c r="N21" s="55"/>
      <c r="O21" s="55">
        <f t="shared" si="10"/>
        <v>10973.4115</v>
      </c>
      <c r="P21" s="119" t="str">
        <f>P20</f>
        <v>厂家定制</v>
      </c>
      <c r="Q21" s="131"/>
    </row>
    <row r="22" s="102" customFormat="1" ht="56.25" outlineLevel="1" spans="1:17">
      <c r="A22" s="53">
        <v>11</v>
      </c>
      <c r="B22" s="53" t="s">
        <v>128</v>
      </c>
      <c r="C22" s="53" t="s">
        <v>132</v>
      </c>
      <c r="D22" s="53" t="s">
        <v>110</v>
      </c>
      <c r="E22" s="53">
        <v>10.72</v>
      </c>
      <c r="F22" s="107">
        <f>F21</f>
        <v>190</v>
      </c>
      <c r="G22" s="55">
        <f t="shared" si="8"/>
        <v>336</v>
      </c>
      <c r="H22" s="107">
        <v>320</v>
      </c>
      <c r="I22" s="77">
        <v>0.05</v>
      </c>
      <c r="J22" s="62">
        <v>135</v>
      </c>
      <c r="K22" s="55">
        <f>(F22+G22+J22)*$K$5</f>
        <v>39.66</v>
      </c>
      <c r="L22" s="55">
        <f>(F22+G22+J22+K22)*$L$5</f>
        <v>63.0594</v>
      </c>
      <c r="M22" s="55">
        <f t="shared" si="9"/>
        <v>763.7194</v>
      </c>
      <c r="N22" s="55"/>
      <c r="O22" s="55">
        <f t="shared" si="10"/>
        <v>8187.071968</v>
      </c>
      <c r="P22" s="119"/>
      <c r="Q22" s="131"/>
    </row>
    <row r="23" s="102" customFormat="1" ht="67.5" outlineLevel="1" spans="1:17">
      <c r="A23" s="53">
        <v>12</v>
      </c>
      <c r="B23" s="53" t="s">
        <v>128</v>
      </c>
      <c r="C23" s="53" t="s">
        <v>133</v>
      </c>
      <c r="D23" s="53" t="s">
        <v>110</v>
      </c>
      <c r="E23" s="53">
        <v>13.07</v>
      </c>
      <c r="F23" s="112">
        <v>165</v>
      </c>
      <c r="G23" s="58">
        <f t="shared" si="8"/>
        <v>315</v>
      </c>
      <c r="H23" s="113">
        <f t="shared" ref="F23:J23" si="11">H21</f>
        <v>300</v>
      </c>
      <c r="I23" s="68">
        <f t="shared" si="11"/>
        <v>0.05</v>
      </c>
      <c r="J23" s="56">
        <v>120</v>
      </c>
      <c r="K23" s="55">
        <f>(F23+G23+J23)*$K$5</f>
        <v>36</v>
      </c>
      <c r="L23" s="55">
        <f>(F23+G23+J23+K23)*$L$5</f>
        <v>57.24</v>
      </c>
      <c r="M23" s="55">
        <f t="shared" si="9"/>
        <v>693.24</v>
      </c>
      <c r="N23" s="55"/>
      <c r="O23" s="55">
        <f t="shared" si="10"/>
        <v>9060.6468</v>
      </c>
      <c r="P23" s="119" t="str">
        <f>P20</f>
        <v>厂家定制</v>
      </c>
      <c r="Q23" s="131"/>
    </row>
    <row r="24" s="102" customFormat="1" ht="56.25" outlineLevel="1" spans="1:17">
      <c r="A24" s="53">
        <v>13</v>
      </c>
      <c r="B24" s="53" t="s">
        <v>134</v>
      </c>
      <c r="C24" s="53" t="s">
        <v>135</v>
      </c>
      <c r="D24" s="53" t="s">
        <v>110</v>
      </c>
      <c r="E24" s="53">
        <v>0.8</v>
      </c>
      <c r="F24" s="107">
        <v>150</v>
      </c>
      <c r="G24" s="55">
        <f t="shared" si="8"/>
        <v>462</v>
      </c>
      <c r="H24" s="107">
        <v>420</v>
      </c>
      <c r="I24" s="77">
        <v>0.1</v>
      </c>
      <c r="J24" s="62">
        <v>155</v>
      </c>
      <c r="K24" s="55">
        <f>(F24+G24+J24)*$K$5</f>
        <v>46.02</v>
      </c>
      <c r="L24" s="55">
        <f>(F24+G24+J24+K24)*$L$5</f>
        <v>73.1718</v>
      </c>
      <c r="M24" s="55">
        <f t="shared" si="9"/>
        <v>886.1918</v>
      </c>
      <c r="N24" s="55"/>
      <c r="O24" s="55">
        <f t="shared" si="10"/>
        <v>708.95344</v>
      </c>
      <c r="P24" s="119"/>
      <c r="Q24" s="131"/>
    </row>
    <row r="25" s="102" customFormat="1" ht="33.75" outlineLevel="1" spans="1:17">
      <c r="A25" s="53">
        <v>14</v>
      </c>
      <c r="B25" s="53" t="s">
        <v>136</v>
      </c>
      <c r="C25" s="53" t="s">
        <v>137</v>
      </c>
      <c r="D25" s="53" t="s">
        <v>138</v>
      </c>
      <c r="E25" s="53">
        <v>12</v>
      </c>
      <c r="F25" s="107">
        <v>10</v>
      </c>
      <c r="G25" s="55">
        <f t="shared" si="8"/>
        <v>30.3</v>
      </c>
      <c r="H25" s="107">
        <v>30</v>
      </c>
      <c r="I25" s="77">
        <v>0.01</v>
      </c>
      <c r="J25" s="62">
        <v>1</v>
      </c>
      <c r="K25" s="55">
        <f>(F25+G25+J25)*$K$5</f>
        <v>2.478</v>
      </c>
      <c r="L25" s="55">
        <f>(F25+G25+J25+K25)*$L$5</f>
        <v>3.94002</v>
      </c>
      <c r="M25" s="55">
        <f t="shared" si="9"/>
        <v>47.71802</v>
      </c>
      <c r="N25" s="55"/>
      <c r="O25" s="55">
        <f t="shared" si="10"/>
        <v>572.61624</v>
      </c>
      <c r="P25" s="119"/>
      <c r="Q25" s="131"/>
    </row>
    <row r="26" s="102" customFormat="1" ht="56.25" outlineLevel="1" spans="1:17">
      <c r="A26" s="53">
        <v>15</v>
      </c>
      <c r="B26" s="53" t="s">
        <v>139</v>
      </c>
      <c r="C26" s="53" t="s">
        <v>140</v>
      </c>
      <c r="D26" s="53" t="s">
        <v>141</v>
      </c>
      <c r="E26" s="53">
        <v>2</v>
      </c>
      <c r="F26" s="107">
        <f>+(0.95+1.35)*2.5*150/2</f>
        <v>431.25</v>
      </c>
      <c r="G26" s="55">
        <f t="shared" si="8"/>
        <v>1597.0625</v>
      </c>
      <c r="H26" s="107">
        <f>+(0.95+1.35)*2.5*550/2</f>
        <v>1581.25</v>
      </c>
      <c r="I26" s="77">
        <v>0.01</v>
      </c>
      <c r="J26" s="62">
        <v>550</v>
      </c>
      <c r="K26" s="55">
        <f>(F26+G26+J26)*$K$5</f>
        <v>154.69875</v>
      </c>
      <c r="L26" s="55">
        <f>(F26+G26+J26+K26)*$L$5</f>
        <v>245.9710125</v>
      </c>
      <c r="M26" s="55">
        <f t="shared" si="9"/>
        <v>2978.9822625</v>
      </c>
      <c r="N26" s="55"/>
      <c r="O26" s="55">
        <f t="shared" si="10"/>
        <v>5957.964525</v>
      </c>
      <c r="P26" s="119"/>
      <c r="Q26" s="131"/>
    </row>
    <row r="27" s="102" customFormat="1" ht="45" outlineLevel="1" spans="1:17">
      <c r="A27" s="53">
        <v>16</v>
      </c>
      <c r="B27" s="53" t="s">
        <v>142</v>
      </c>
      <c r="C27" s="53" t="s">
        <v>143</v>
      </c>
      <c r="D27" s="53" t="s">
        <v>144</v>
      </c>
      <c r="E27" s="53">
        <v>23.15</v>
      </c>
      <c r="F27" s="107">
        <v>115</v>
      </c>
      <c r="G27" s="55">
        <f t="shared" si="8"/>
        <v>237.35</v>
      </c>
      <c r="H27" s="107">
        <v>235</v>
      </c>
      <c r="I27" s="77">
        <v>0.01</v>
      </c>
      <c r="J27" s="62">
        <v>150</v>
      </c>
      <c r="K27" s="55">
        <f>(F27+G27+J27)*$K$5</f>
        <v>30.141</v>
      </c>
      <c r="L27" s="55">
        <f>(F27+G27+J27+K27)*$L$5</f>
        <v>47.92419</v>
      </c>
      <c r="M27" s="55">
        <f t="shared" si="9"/>
        <v>580.41519</v>
      </c>
      <c r="N27" s="55"/>
      <c r="O27" s="55">
        <f t="shared" si="10"/>
        <v>13436.6116485</v>
      </c>
      <c r="P27" s="119"/>
      <c r="Q27" s="131"/>
    </row>
    <row r="28" s="102" customFormat="1" spans="1:17">
      <c r="A28" s="53"/>
      <c r="B28" s="53" t="s">
        <v>145</v>
      </c>
      <c r="C28" s="53"/>
      <c r="D28" s="53"/>
      <c r="E28" s="53"/>
      <c r="F28" s="105"/>
      <c r="G28" s="55"/>
      <c r="H28" s="105"/>
      <c r="I28" s="65"/>
      <c r="J28" s="55"/>
      <c r="K28" s="55"/>
      <c r="L28" s="55"/>
      <c r="M28" s="55"/>
      <c r="N28" s="55"/>
      <c r="O28" s="55"/>
      <c r="P28" s="119"/>
      <c r="Q28" s="131"/>
    </row>
    <row r="29" s="102" customFormat="1" ht="56.25" outlineLevel="1" spans="1:17">
      <c r="A29" s="53">
        <v>17</v>
      </c>
      <c r="B29" s="53" t="s">
        <v>139</v>
      </c>
      <c r="C29" s="53" t="s">
        <v>140</v>
      </c>
      <c r="D29" s="53" t="s">
        <v>141</v>
      </c>
      <c r="E29" s="53">
        <v>2</v>
      </c>
      <c r="F29" s="107">
        <f>+(0.97+1.8)*2.5*150/2</f>
        <v>519.375</v>
      </c>
      <c r="G29" s="55">
        <f t="shared" ref="G29:G35" si="12">H29*(1+I29)</f>
        <v>1853.47625</v>
      </c>
      <c r="H29" s="107">
        <f>+(0.97+1.8)*2.5*530/2</f>
        <v>1835.125</v>
      </c>
      <c r="I29" s="77">
        <v>0.01</v>
      </c>
      <c r="J29" s="61">
        <f>J26</f>
        <v>550</v>
      </c>
      <c r="K29" s="55">
        <f>(F29+G29+J29)*$K$5</f>
        <v>175.371075</v>
      </c>
      <c r="L29" s="55">
        <f>(F29+G29+J29+K29)*$L$5</f>
        <v>278.84000925</v>
      </c>
      <c r="M29" s="55">
        <f t="shared" ref="M29:M35" si="13">F29+G29+J29+K29+L29</f>
        <v>3377.06233425</v>
      </c>
      <c r="N29" s="55"/>
      <c r="O29" s="55">
        <f t="shared" ref="O29:O35" si="14">M29*E29</f>
        <v>6754.1246685</v>
      </c>
      <c r="P29" s="119"/>
      <c r="Q29" s="131"/>
    </row>
    <row r="30" s="102" customFormat="1" ht="56.25" outlineLevel="1" spans="1:17">
      <c r="A30" s="53">
        <v>18</v>
      </c>
      <c r="B30" s="53" t="s">
        <v>146</v>
      </c>
      <c r="C30" s="53" t="s">
        <v>147</v>
      </c>
      <c r="D30" s="53" t="s">
        <v>110</v>
      </c>
      <c r="E30" s="53">
        <v>9.21</v>
      </c>
      <c r="F30" s="107">
        <v>150</v>
      </c>
      <c r="G30" s="55">
        <f t="shared" si="12"/>
        <v>441</v>
      </c>
      <c r="H30" s="107">
        <v>420</v>
      </c>
      <c r="I30" s="77">
        <v>0.05</v>
      </c>
      <c r="J30" s="62">
        <v>75</v>
      </c>
      <c r="K30" s="55">
        <f>(F30+G30+J30)*$K$5</f>
        <v>39.96</v>
      </c>
      <c r="L30" s="55">
        <f>(F30+G30+J30+K30)*$L$5</f>
        <v>63.5364</v>
      </c>
      <c r="M30" s="55">
        <f t="shared" si="13"/>
        <v>769.4964</v>
      </c>
      <c r="N30" s="55"/>
      <c r="O30" s="55">
        <f t="shared" si="14"/>
        <v>7087.061844</v>
      </c>
      <c r="P30" s="119"/>
      <c r="Q30" s="131"/>
    </row>
    <row r="31" s="102" customFormat="1" ht="67.5" outlineLevel="1" spans="1:17">
      <c r="A31" s="53">
        <v>19</v>
      </c>
      <c r="B31" s="53" t="s">
        <v>128</v>
      </c>
      <c r="C31" s="53" t="s">
        <v>148</v>
      </c>
      <c r="D31" s="53" t="s">
        <v>110</v>
      </c>
      <c r="E31" s="53">
        <v>23.25</v>
      </c>
      <c r="F31" s="105">
        <f>F20</f>
        <v>190</v>
      </c>
      <c r="G31" s="55">
        <f t="shared" si="12"/>
        <v>315</v>
      </c>
      <c r="H31" s="105">
        <f t="shared" ref="F31:J31" si="15">H20</f>
        <v>300</v>
      </c>
      <c r="I31" s="65">
        <f t="shared" si="15"/>
        <v>0.05</v>
      </c>
      <c r="J31" s="55">
        <f t="shared" si="15"/>
        <v>150</v>
      </c>
      <c r="K31" s="55">
        <f>(F31+G31+J31)*$K$5</f>
        <v>39.3</v>
      </c>
      <c r="L31" s="55">
        <f>(F31+G31+J31+K31)*$L$5</f>
        <v>62.487</v>
      </c>
      <c r="M31" s="55">
        <f t="shared" si="13"/>
        <v>756.787</v>
      </c>
      <c r="N31" s="55"/>
      <c r="O31" s="55">
        <f t="shared" si="14"/>
        <v>17595.29775</v>
      </c>
      <c r="P31" s="119" t="str">
        <f>P23</f>
        <v>厂家定制</v>
      </c>
      <c r="Q31" s="131"/>
    </row>
    <row r="32" s="102" customFormat="1" ht="78.75" outlineLevel="1" spans="1:17">
      <c r="A32" s="53">
        <v>20</v>
      </c>
      <c r="B32" s="53" t="s">
        <v>128</v>
      </c>
      <c r="C32" s="53" t="s">
        <v>149</v>
      </c>
      <c r="D32" s="53" t="s">
        <v>110</v>
      </c>
      <c r="E32" s="53">
        <v>14.5</v>
      </c>
      <c r="F32" s="105">
        <f t="shared" ref="F32:J32" si="16">F21</f>
        <v>190</v>
      </c>
      <c r="G32" s="55">
        <f t="shared" si="12"/>
        <v>315</v>
      </c>
      <c r="H32" s="105">
        <f t="shared" si="16"/>
        <v>300</v>
      </c>
      <c r="I32" s="65">
        <f t="shared" si="16"/>
        <v>0.05</v>
      </c>
      <c r="J32" s="55">
        <f t="shared" si="16"/>
        <v>150</v>
      </c>
      <c r="K32" s="55">
        <f>(F32+G32+J32)*$K$5</f>
        <v>39.3</v>
      </c>
      <c r="L32" s="55">
        <f>(F32+G32+J32+K32)*$L$5</f>
        <v>62.487</v>
      </c>
      <c r="M32" s="55">
        <f t="shared" si="13"/>
        <v>756.787</v>
      </c>
      <c r="N32" s="55"/>
      <c r="O32" s="55">
        <f t="shared" si="14"/>
        <v>10973.4115</v>
      </c>
      <c r="P32" s="119" t="str">
        <f>P31</f>
        <v>厂家定制</v>
      </c>
      <c r="Q32" s="131"/>
    </row>
    <row r="33" s="102" customFormat="1" ht="78.75" outlineLevel="1" spans="1:17">
      <c r="A33" s="53">
        <v>21</v>
      </c>
      <c r="B33" s="53" t="s">
        <v>128</v>
      </c>
      <c r="C33" s="53" t="s">
        <v>150</v>
      </c>
      <c r="D33" s="53" t="s">
        <v>110</v>
      </c>
      <c r="E33" s="53">
        <v>11.63</v>
      </c>
      <c r="F33" s="105">
        <f t="shared" ref="F33:J33" si="17">F31</f>
        <v>190</v>
      </c>
      <c r="G33" s="55">
        <f t="shared" si="12"/>
        <v>315</v>
      </c>
      <c r="H33" s="105">
        <f t="shared" si="17"/>
        <v>300</v>
      </c>
      <c r="I33" s="65">
        <f t="shared" si="17"/>
        <v>0.05</v>
      </c>
      <c r="J33" s="55">
        <f t="shared" si="17"/>
        <v>150</v>
      </c>
      <c r="K33" s="55">
        <f>(F33+G33+J33)*$K$5</f>
        <v>39.3</v>
      </c>
      <c r="L33" s="55">
        <f>(F33+G33+J33+K33)*$L$5</f>
        <v>62.487</v>
      </c>
      <c r="M33" s="55">
        <f t="shared" si="13"/>
        <v>756.787</v>
      </c>
      <c r="N33" s="55"/>
      <c r="O33" s="55">
        <f t="shared" si="14"/>
        <v>8801.43281</v>
      </c>
      <c r="P33" s="119" t="str">
        <f>P31</f>
        <v>厂家定制</v>
      </c>
      <c r="Q33" s="131"/>
    </row>
    <row r="34" s="102" customFormat="1" ht="56.25" outlineLevel="1" spans="1:17">
      <c r="A34" s="53">
        <v>22</v>
      </c>
      <c r="B34" s="53" t="s">
        <v>134</v>
      </c>
      <c r="C34" s="53" t="s">
        <v>135</v>
      </c>
      <c r="D34" s="53" t="s">
        <v>110</v>
      </c>
      <c r="E34" s="53">
        <v>2.26</v>
      </c>
      <c r="F34" s="105">
        <f t="shared" ref="F34:J34" si="18">F24</f>
        <v>150</v>
      </c>
      <c r="G34" s="55">
        <f t="shared" si="12"/>
        <v>462</v>
      </c>
      <c r="H34" s="105">
        <f t="shared" si="18"/>
        <v>420</v>
      </c>
      <c r="I34" s="65">
        <f t="shared" si="18"/>
        <v>0.1</v>
      </c>
      <c r="J34" s="55">
        <f t="shared" si="18"/>
        <v>155</v>
      </c>
      <c r="K34" s="55">
        <f>(F34+G34+J34)*$K$5</f>
        <v>46.02</v>
      </c>
      <c r="L34" s="55">
        <f>(F34+G34+J34+K34)*$L$5</f>
        <v>73.1718</v>
      </c>
      <c r="M34" s="55">
        <f t="shared" si="13"/>
        <v>886.1918</v>
      </c>
      <c r="N34" s="55"/>
      <c r="O34" s="55">
        <f t="shared" si="14"/>
        <v>2002.793468</v>
      </c>
      <c r="P34" s="119"/>
      <c r="Q34" s="131"/>
    </row>
    <row r="35" s="102" customFormat="1" ht="67.5" outlineLevel="1" spans="1:17">
      <c r="A35" s="53">
        <v>23</v>
      </c>
      <c r="B35" s="53" t="s">
        <v>128</v>
      </c>
      <c r="C35" s="53" t="s">
        <v>133</v>
      </c>
      <c r="D35" s="53" t="s">
        <v>110</v>
      </c>
      <c r="E35" s="53">
        <v>10.61</v>
      </c>
      <c r="F35" s="105">
        <f>F23</f>
        <v>165</v>
      </c>
      <c r="G35" s="55">
        <f t="shared" si="12"/>
        <v>315</v>
      </c>
      <c r="H35" s="105">
        <f t="shared" ref="F35:J35" si="19">H23</f>
        <v>300</v>
      </c>
      <c r="I35" s="65">
        <f t="shared" si="19"/>
        <v>0.05</v>
      </c>
      <c r="J35" s="55">
        <f t="shared" si="19"/>
        <v>120</v>
      </c>
      <c r="K35" s="55">
        <f>(F35+G35+J35)*$K$5</f>
        <v>36</v>
      </c>
      <c r="L35" s="55">
        <f>(F35+G35+J35+K35)*$L$5</f>
        <v>57.24</v>
      </c>
      <c r="M35" s="55">
        <f t="shared" si="13"/>
        <v>693.24</v>
      </c>
      <c r="N35" s="55"/>
      <c r="O35" s="55">
        <f t="shared" si="14"/>
        <v>7355.2764</v>
      </c>
      <c r="P35" s="119" t="str">
        <f>P31</f>
        <v>厂家定制</v>
      </c>
      <c r="Q35" s="131"/>
    </row>
    <row r="36" s="102" customFormat="1" spans="1:17">
      <c r="A36" s="53"/>
      <c r="B36" s="53" t="s">
        <v>151</v>
      </c>
      <c r="C36" s="53"/>
      <c r="D36" s="53"/>
      <c r="E36" s="53"/>
      <c r="F36" s="105"/>
      <c r="G36" s="55"/>
      <c r="H36" s="105"/>
      <c r="I36" s="65"/>
      <c r="J36" s="55"/>
      <c r="K36" s="55"/>
      <c r="L36" s="55"/>
      <c r="M36" s="55"/>
      <c r="N36" s="55"/>
      <c r="O36" s="55"/>
      <c r="P36" s="119"/>
      <c r="Q36" s="131"/>
    </row>
    <row r="37" s="102" customFormat="1" ht="56.25" outlineLevel="1" spans="1:17">
      <c r="A37" s="53">
        <v>24</v>
      </c>
      <c r="B37" s="53" t="s">
        <v>146</v>
      </c>
      <c r="C37" s="53" t="s">
        <v>152</v>
      </c>
      <c r="D37" s="53" t="s">
        <v>110</v>
      </c>
      <c r="E37" s="53">
        <v>25.86</v>
      </c>
      <c r="F37" s="105">
        <f t="shared" ref="F37:J37" si="20">F30</f>
        <v>150</v>
      </c>
      <c r="G37" s="55">
        <f t="shared" ref="G37:G39" si="21">H37*(1+I37)</f>
        <v>441</v>
      </c>
      <c r="H37" s="105">
        <f t="shared" si="20"/>
        <v>420</v>
      </c>
      <c r="I37" s="65">
        <f t="shared" si="20"/>
        <v>0.05</v>
      </c>
      <c r="J37" s="55">
        <f t="shared" si="20"/>
        <v>75</v>
      </c>
      <c r="K37" s="55">
        <f>(F37+G37+J37)*$K$5</f>
        <v>39.96</v>
      </c>
      <c r="L37" s="55">
        <f>(F37+G37+J37+K37)*$L$5</f>
        <v>63.5364</v>
      </c>
      <c r="M37" s="55">
        <f t="shared" ref="M37:M39" si="22">F37+G37+J37+K37+L37</f>
        <v>769.4964</v>
      </c>
      <c r="N37" s="55"/>
      <c r="O37" s="55">
        <f t="shared" ref="O37:O39" si="23">M37*E37</f>
        <v>19899.176904</v>
      </c>
      <c r="P37" s="119"/>
      <c r="Q37" s="131"/>
    </row>
    <row r="38" s="102" customFormat="1" ht="78.75" outlineLevel="1" spans="1:17">
      <c r="A38" s="53">
        <v>25</v>
      </c>
      <c r="B38" s="53" t="s">
        <v>128</v>
      </c>
      <c r="C38" s="53" t="s">
        <v>153</v>
      </c>
      <c r="D38" s="53" t="s">
        <v>110</v>
      </c>
      <c r="E38" s="53">
        <v>23.25</v>
      </c>
      <c r="F38" s="105">
        <f t="shared" ref="F38:J38" si="24">F31</f>
        <v>190</v>
      </c>
      <c r="G38" s="55">
        <f t="shared" si="21"/>
        <v>315</v>
      </c>
      <c r="H38" s="105">
        <f t="shared" si="24"/>
        <v>300</v>
      </c>
      <c r="I38" s="65">
        <f t="shared" si="24"/>
        <v>0.05</v>
      </c>
      <c r="J38" s="55">
        <f t="shared" si="24"/>
        <v>150</v>
      </c>
      <c r="K38" s="55">
        <f>(F38+G38+J38)*$K$5</f>
        <v>39.3</v>
      </c>
      <c r="L38" s="55">
        <f>(F38+G38+J38+K38)*$L$5</f>
        <v>62.487</v>
      </c>
      <c r="M38" s="55">
        <f t="shared" si="22"/>
        <v>756.787</v>
      </c>
      <c r="N38" s="55"/>
      <c r="O38" s="55">
        <f t="shared" si="23"/>
        <v>17595.29775</v>
      </c>
      <c r="P38" s="119" t="str">
        <f>P31</f>
        <v>厂家定制</v>
      </c>
      <c r="Q38" s="131"/>
    </row>
    <row r="39" s="102" customFormat="1" ht="56.25" outlineLevel="1" spans="1:17">
      <c r="A39" s="53">
        <v>26</v>
      </c>
      <c r="B39" s="53" t="s">
        <v>134</v>
      </c>
      <c r="C39" s="53" t="s">
        <v>154</v>
      </c>
      <c r="D39" s="53" t="s">
        <v>110</v>
      </c>
      <c r="E39" s="53">
        <v>0.91</v>
      </c>
      <c r="F39" s="105">
        <f t="shared" ref="F39:J39" si="25">F34</f>
        <v>150</v>
      </c>
      <c r="G39" s="55">
        <f t="shared" si="21"/>
        <v>462</v>
      </c>
      <c r="H39" s="105">
        <f t="shared" si="25"/>
        <v>420</v>
      </c>
      <c r="I39" s="65">
        <f t="shared" si="25"/>
        <v>0.1</v>
      </c>
      <c r="J39" s="55">
        <f t="shared" si="25"/>
        <v>155</v>
      </c>
      <c r="K39" s="55">
        <f>(F39+G39+J39)*$K$5</f>
        <v>46.02</v>
      </c>
      <c r="L39" s="55">
        <f>(F39+G39+J39+K39)*$L$5</f>
        <v>73.1718</v>
      </c>
      <c r="M39" s="55">
        <f t="shared" si="22"/>
        <v>886.1918</v>
      </c>
      <c r="N39" s="55"/>
      <c r="O39" s="55">
        <f t="shared" si="23"/>
        <v>806.434538</v>
      </c>
      <c r="P39" s="119"/>
      <c r="Q39" s="131"/>
    </row>
    <row r="40" s="102" customFormat="1" spans="1:17">
      <c r="A40" s="53"/>
      <c r="B40" s="53" t="s">
        <v>155</v>
      </c>
      <c r="C40" s="53"/>
      <c r="D40" s="53"/>
      <c r="E40" s="53"/>
      <c r="F40" s="105"/>
      <c r="G40" s="55"/>
      <c r="H40" s="105"/>
      <c r="I40" s="65"/>
      <c r="J40" s="55"/>
      <c r="K40" s="55"/>
      <c r="L40" s="55"/>
      <c r="M40" s="55"/>
      <c r="N40" s="55"/>
      <c r="O40" s="55"/>
      <c r="P40" s="119"/>
      <c r="Q40" s="131"/>
    </row>
    <row r="41" s="102" customFormat="1" ht="78.75" outlineLevel="1" spans="1:17">
      <c r="A41" s="53">
        <v>27</v>
      </c>
      <c r="B41" s="53" t="s">
        <v>128</v>
      </c>
      <c r="C41" s="53" t="s">
        <v>156</v>
      </c>
      <c r="D41" s="53" t="s">
        <v>110</v>
      </c>
      <c r="E41" s="53">
        <v>28.99</v>
      </c>
      <c r="F41" s="105">
        <f t="shared" ref="F41:J41" si="26">F32</f>
        <v>190</v>
      </c>
      <c r="G41" s="55">
        <f t="shared" ref="G41:G44" si="27">H41*(1+I41)</f>
        <v>315</v>
      </c>
      <c r="H41" s="105">
        <f t="shared" si="26"/>
        <v>300</v>
      </c>
      <c r="I41" s="65">
        <f t="shared" si="26"/>
        <v>0.05</v>
      </c>
      <c r="J41" s="55">
        <f t="shared" si="26"/>
        <v>150</v>
      </c>
      <c r="K41" s="55">
        <f>(F41+G41+J41)*$K$5</f>
        <v>39.3</v>
      </c>
      <c r="L41" s="55">
        <f>(F41+G41+J41+K41)*$L$5</f>
        <v>62.487</v>
      </c>
      <c r="M41" s="55">
        <f t="shared" ref="M41:M44" si="28">F41+G41+J41+K41+L41</f>
        <v>756.787</v>
      </c>
      <c r="N41" s="55"/>
      <c r="O41" s="55">
        <f t="shared" ref="O41:O44" si="29">M41*E41</f>
        <v>21939.25513</v>
      </c>
      <c r="P41" s="119" t="str">
        <f>P38</f>
        <v>厂家定制</v>
      </c>
      <c r="Q41" s="131"/>
    </row>
    <row r="42" s="102" customFormat="1" ht="56.25" outlineLevel="1" spans="1:17">
      <c r="A42" s="53">
        <v>28</v>
      </c>
      <c r="B42" s="53" t="s">
        <v>134</v>
      </c>
      <c r="C42" s="53" t="s">
        <v>135</v>
      </c>
      <c r="D42" s="53" t="s">
        <v>110</v>
      </c>
      <c r="E42" s="53">
        <v>1.13</v>
      </c>
      <c r="F42" s="105">
        <f t="shared" ref="F42:J42" si="30">F34</f>
        <v>150</v>
      </c>
      <c r="G42" s="55">
        <f t="shared" si="27"/>
        <v>462</v>
      </c>
      <c r="H42" s="105">
        <f t="shared" si="30"/>
        <v>420</v>
      </c>
      <c r="I42" s="65">
        <f t="shared" si="30"/>
        <v>0.1</v>
      </c>
      <c r="J42" s="55">
        <f t="shared" si="30"/>
        <v>155</v>
      </c>
      <c r="K42" s="55">
        <f>(F42+G42+J42)*$K$5</f>
        <v>46.02</v>
      </c>
      <c r="L42" s="55">
        <f>(F42+G42+J42+K42)*$L$5</f>
        <v>73.1718</v>
      </c>
      <c r="M42" s="55">
        <f t="shared" si="28"/>
        <v>886.1918</v>
      </c>
      <c r="N42" s="55"/>
      <c r="O42" s="55">
        <f t="shared" si="29"/>
        <v>1001.396734</v>
      </c>
      <c r="P42" s="119"/>
      <c r="Q42" s="131"/>
    </row>
    <row r="43" s="102" customFormat="1" ht="56.25" outlineLevel="1" spans="1:17">
      <c r="A43" s="53">
        <v>29</v>
      </c>
      <c r="B43" s="53" t="s">
        <v>146</v>
      </c>
      <c r="C43" s="53" t="s">
        <v>157</v>
      </c>
      <c r="D43" s="53" t="s">
        <v>110</v>
      </c>
      <c r="E43" s="53">
        <v>14.35</v>
      </c>
      <c r="F43" s="105">
        <f t="shared" ref="F43:J43" si="31">F30</f>
        <v>150</v>
      </c>
      <c r="G43" s="55">
        <f t="shared" si="27"/>
        <v>472.5</v>
      </c>
      <c r="H43" s="107">
        <v>450</v>
      </c>
      <c r="I43" s="65">
        <f t="shared" si="31"/>
        <v>0.05</v>
      </c>
      <c r="J43" s="55">
        <f t="shared" si="31"/>
        <v>75</v>
      </c>
      <c r="K43" s="55">
        <f>(F43+G43+J43)*$K$5</f>
        <v>41.85</v>
      </c>
      <c r="L43" s="55">
        <f>(F43+G43+J43+K43)*$L$5</f>
        <v>66.5415</v>
      </c>
      <c r="M43" s="55">
        <f t="shared" si="28"/>
        <v>805.8915</v>
      </c>
      <c r="N43" s="55"/>
      <c r="O43" s="55">
        <f t="shared" si="29"/>
        <v>11564.543025</v>
      </c>
      <c r="P43" s="119"/>
      <c r="Q43" s="131"/>
    </row>
    <row r="44" s="102" customFormat="1" outlineLevel="1" spans="1:17">
      <c r="A44" s="53">
        <v>30</v>
      </c>
      <c r="B44" s="53" t="s">
        <v>158</v>
      </c>
      <c r="C44" s="53" t="s">
        <v>159</v>
      </c>
      <c r="D44" s="53" t="s">
        <v>110</v>
      </c>
      <c r="E44" s="53">
        <v>42.2</v>
      </c>
      <c r="F44" s="107">
        <v>35</v>
      </c>
      <c r="G44" s="109">
        <f t="shared" si="27"/>
        <v>126</v>
      </c>
      <c r="H44" s="114">
        <v>120</v>
      </c>
      <c r="I44" s="83">
        <v>0.05</v>
      </c>
      <c r="J44" s="127">
        <v>220</v>
      </c>
      <c r="K44" s="109">
        <f>(F44+G44+J44)*$K$5</f>
        <v>22.86</v>
      </c>
      <c r="L44" s="109">
        <f>(F44+G44+J44+K44)*$L$5</f>
        <v>36.3474</v>
      </c>
      <c r="M44" s="120">
        <f t="shared" si="28"/>
        <v>440.2074</v>
      </c>
      <c r="N44" s="121"/>
      <c r="O44" s="109">
        <f t="shared" si="29"/>
        <v>18576.75228</v>
      </c>
      <c r="P44" s="119"/>
      <c r="Q44" s="131"/>
    </row>
    <row r="45" s="102" customFormat="1" outlineLevel="1" spans="1:17">
      <c r="A45" s="53"/>
      <c r="B45" s="53"/>
      <c r="C45" s="53"/>
      <c r="D45" s="53"/>
      <c r="E45" s="53"/>
      <c r="F45" s="107"/>
      <c r="G45" s="111"/>
      <c r="H45" s="115"/>
      <c r="I45" s="86"/>
      <c r="J45" s="128"/>
      <c r="K45" s="111"/>
      <c r="L45" s="111"/>
      <c r="M45" s="124"/>
      <c r="N45" s="125"/>
      <c r="O45" s="111"/>
      <c r="P45" s="119"/>
      <c r="Q45" s="131"/>
    </row>
    <row r="46" s="102" customFormat="1" spans="1:17">
      <c r="A46" s="53"/>
      <c r="B46" s="53" t="s">
        <v>160</v>
      </c>
      <c r="C46" s="53"/>
      <c r="D46" s="53"/>
      <c r="E46" s="53"/>
      <c r="F46" s="105"/>
      <c r="G46" s="55"/>
      <c r="H46" s="105"/>
      <c r="I46" s="65"/>
      <c r="J46" s="55"/>
      <c r="K46" s="55"/>
      <c r="L46" s="55"/>
      <c r="M46" s="55"/>
      <c r="N46" s="55"/>
      <c r="O46" s="55"/>
      <c r="P46" s="119"/>
      <c r="Q46" s="131"/>
    </row>
    <row r="47" s="102" customFormat="1" ht="56.25" outlineLevel="1" spans="1:17">
      <c r="A47" s="53">
        <v>31</v>
      </c>
      <c r="B47" s="53" t="s">
        <v>139</v>
      </c>
      <c r="C47" s="53" t="s">
        <v>161</v>
      </c>
      <c r="D47" s="53" t="s">
        <v>141</v>
      </c>
      <c r="E47" s="53">
        <v>1</v>
      </c>
      <c r="F47" s="107">
        <f>+(1.6)*2.5*150</f>
        <v>600</v>
      </c>
      <c r="G47" s="55">
        <f t="shared" ref="G47:G50" si="32">H47*(1+I47)</f>
        <v>2141.2</v>
      </c>
      <c r="H47" s="107">
        <f>1.6*2.5*530</f>
        <v>2120</v>
      </c>
      <c r="I47" s="77">
        <v>0.01</v>
      </c>
      <c r="J47" s="62">
        <v>550</v>
      </c>
      <c r="K47" s="55">
        <f>(F47+G47+J47)*$K$5</f>
        <v>197.472</v>
      </c>
      <c r="L47" s="55">
        <f>(F47+G47+J47+K47)*$L$5</f>
        <v>313.98048</v>
      </c>
      <c r="M47" s="55">
        <f t="shared" ref="M47:M50" si="33">F47+G47+J47+K47+L47</f>
        <v>3802.65248</v>
      </c>
      <c r="N47" s="55"/>
      <c r="O47" s="55">
        <f t="shared" ref="O47:O50" si="34">M47*E47</f>
        <v>3802.65248</v>
      </c>
      <c r="P47" s="119"/>
      <c r="Q47" s="131"/>
    </row>
    <row r="48" s="102" customFormat="1" ht="56.25" outlineLevel="1" spans="1:17">
      <c r="A48" s="53">
        <v>32</v>
      </c>
      <c r="B48" s="53" t="s">
        <v>128</v>
      </c>
      <c r="C48" s="53" t="s">
        <v>162</v>
      </c>
      <c r="D48" s="53" t="s">
        <v>110</v>
      </c>
      <c r="E48" s="53">
        <v>5.2</v>
      </c>
      <c r="F48" s="105">
        <f t="shared" ref="F48:J48" si="35">F31</f>
        <v>190</v>
      </c>
      <c r="G48" s="55">
        <f t="shared" si="32"/>
        <v>315</v>
      </c>
      <c r="H48" s="105">
        <f t="shared" si="35"/>
        <v>300</v>
      </c>
      <c r="I48" s="65">
        <f t="shared" si="35"/>
        <v>0.05</v>
      </c>
      <c r="J48" s="55">
        <f t="shared" si="35"/>
        <v>150</v>
      </c>
      <c r="K48" s="55">
        <f>(F48+G48+J48)*$K$5</f>
        <v>39.3</v>
      </c>
      <c r="L48" s="55">
        <f>(F48+G48+J48+K48)*$L$5</f>
        <v>62.487</v>
      </c>
      <c r="M48" s="55">
        <f t="shared" si="33"/>
        <v>756.787</v>
      </c>
      <c r="N48" s="55"/>
      <c r="O48" s="55">
        <f t="shared" si="34"/>
        <v>3935.2924</v>
      </c>
      <c r="P48" s="119" t="str">
        <f>P38</f>
        <v>厂家定制</v>
      </c>
      <c r="Q48" s="131"/>
    </row>
    <row r="49" s="102" customFormat="1" ht="56.25" outlineLevel="1" spans="1:17">
      <c r="A49" s="53">
        <v>33</v>
      </c>
      <c r="B49" s="53" t="s">
        <v>146</v>
      </c>
      <c r="C49" s="53" t="s">
        <v>163</v>
      </c>
      <c r="D49" s="53" t="s">
        <v>110</v>
      </c>
      <c r="E49" s="53">
        <v>30.93</v>
      </c>
      <c r="F49" s="107">
        <v>220</v>
      </c>
      <c r="G49" s="55">
        <f t="shared" si="32"/>
        <v>1417.5</v>
      </c>
      <c r="H49" s="107">
        <v>1350</v>
      </c>
      <c r="I49" s="77">
        <v>0.05</v>
      </c>
      <c r="J49" s="62">
        <v>257.291</v>
      </c>
      <c r="K49" s="55">
        <f>(F49+G49+J49)*$K$5</f>
        <v>113.68746</v>
      </c>
      <c r="L49" s="55">
        <f>(F49+G49+J49+K49)*$L$5</f>
        <v>180.7630614</v>
      </c>
      <c r="M49" s="55">
        <f t="shared" si="33"/>
        <v>2189.2415214</v>
      </c>
      <c r="N49" s="55"/>
      <c r="O49" s="55">
        <f t="shared" si="34"/>
        <v>67713.240256902</v>
      </c>
      <c r="P49" s="119"/>
      <c r="Q49" s="131"/>
    </row>
    <row r="50" s="102" customFormat="1" ht="33.75" outlineLevel="1" spans="1:17">
      <c r="A50" s="53">
        <v>34</v>
      </c>
      <c r="B50" s="53" t="s">
        <v>134</v>
      </c>
      <c r="C50" s="53" t="s">
        <v>164</v>
      </c>
      <c r="D50" s="53" t="s">
        <v>110</v>
      </c>
      <c r="E50" s="53">
        <v>0.78</v>
      </c>
      <c r="F50" s="105">
        <f t="shared" ref="F50:J50" si="36">F42</f>
        <v>150</v>
      </c>
      <c r="G50" s="55">
        <f t="shared" si="32"/>
        <v>280.5</v>
      </c>
      <c r="H50" s="105">
        <f>H8</f>
        <v>255</v>
      </c>
      <c r="I50" s="65">
        <f t="shared" si="36"/>
        <v>0.1</v>
      </c>
      <c r="J50" s="55">
        <f t="shared" si="36"/>
        <v>155</v>
      </c>
      <c r="K50" s="55">
        <f>(F50+G50+J50)*$K$5</f>
        <v>35.13</v>
      </c>
      <c r="L50" s="55">
        <f>(F50+G50+J50+K50)*$L$5</f>
        <v>55.8567</v>
      </c>
      <c r="M50" s="55">
        <f t="shared" si="33"/>
        <v>676.4867</v>
      </c>
      <c r="N50" s="55"/>
      <c r="O50" s="55">
        <f t="shared" si="34"/>
        <v>527.659626</v>
      </c>
      <c r="P50" s="119"/>
      <c r="Q50" s="131"/>
    </row>
    <row r="51" s="102" customFormat="1" spans="1:17">
      <c r="A51" s="53"/>
      <c r="B51" s="53" t="s">
        <v>165</v>
      </c>
      <c r="C51" s="53"/>
      <c r="D51" s="53"/>
      <c r="E51" s="53"/>
      <c r="F51" s="105"/>
      <c r="G51" s="55"/>
      <c r="H51" s="105"/>
      <c r="I51" s="65"/>
      <c r="J51" s="55"/>
      <c r="K51" s="55"/>
      <c r="L51" s="55"/>
      <c r="M51" s="55"/>
      <c r="N51" s="55"/>
      <c r="O51" s="55"/>
      <c r="P51" s="119"/>
      <c r="Q51" s="131"/>
    </row>
    <row r="52" s="102" customFormat="1" ht="56.25" outlineLevel="1" spans="1:17">
      <c r="A52" s="53">
        <v>35</v>
      </c>
      <c r="B52" s="53" t="s">
        <v>146</v>
      </c>
      <c r="C52" s="53" t="s">
        <v>166</v>
      </c>
      <c r="D52" s="53" t="s">
        <v>110</v>
      </c>
      <c r="E52" s="53">
        <v>30.84</v>
      </c>
      <c r="F52" s="105">
        <f t="shared" ref="F52:J52" si="37">F49</f>
        <v>220</v>
      </c>
      <c r="G52" s="55">
        <f t="shared" ref="G52:G61" si="38">H52*(1+I52)</f>
        <v>1417.5</v>
      </c>
      <c r="H52" s="105">
        <f t="shared" si="37"/>
        <v>1350</v>
      </c>
      <c r="I52" s="65">
        <f t="shared" si="37"/>
        <v>0.05</v>
      </c>
      <c r="J52" s="55">
        <f t="shared" si="37"/>
        <v>257.291</v>
      </c>
      <c r="K52" s="55">
        <f>(F52+G52+J52)*$K$5</f>
        <v>113.68746</v>
      </c>
      <c r="L52" s="55">
        <f>(F52+G52+J52+K52)*$L$5</f>
        <v>180.7630614</v>
      </c>
      <c r="M52" s="55">
        <f t="shared" ref="M52:M61" si="39">F52+G52+J52+K52+L52</f>
        <v>2189.2415214</v>
      </c>
      <c r="N52" s="55"/>
      <c r="O52" s="55">
        <f t="shared" ref="O52:O61" si="40">M52*E52</f>
        <v>67516.208519976</v>
      </c>
      <c r="P52" s="119"/>
      <c r="Q52" s="131"/>
    </row>
    <row r="53" s="102" customFormat="1" ht="56.25" outlineLevel="1" spans="1:17">
      <c r="A53" s="53">
        <v>36</v>
      </c>
      <c r="B53" s="53" t="s">
        <v>139</v>
      </c>
      <c r="C53" s="53" t="s">
        <v>167</v>
      </c>
      <c r="D53" s="53" t="s">
        <v>141</v>
      </c>
      <c r="E53" s="53">
        <v>1</v>
      </c>
      <c r="F53" s="105">
        <f t="shared" ref="F53:J53" si="41">F47</f>
        <v>600</v>
      </c>
      <c r="G53" s="55">
        <f t="shared" si="38"/>
        <v>2141.2</v>
      </c>
      <c r="H53" s="105">
        <f t="shared" si="41"/>
        <v>2120</v>
      </c>
      <c r="I53" s="65">
        <f t="shared" si="41"/>
        <v>0.01</v>
      </c>
      <c r="J53" s="55">
        <f t="shared" si="41"/>
        <v>550</v>
      </c>
      <c r="K53" s="55">
        <f>(F53+G53+J53)*$K$5</f>
        <v>197.472</v>
      </c>
      <c r="L53" s="55">
        <f>(F53+G53+J53+K53)*$L$5</f>
        <v>313.98048</v>
      </c>
      <c r="M53" s="55">
        <f t="shared" si="39"/>
        <v>3802.65248</v>
      </c>
      <c r="N53" s="55"/>
      <c r="O53" s="55">
        <f t="shared" si="40"/>
        <v>3802.65248</v>
      </c>
      <c r="P53" s="119"/>
      <c r="Q53" s="131"/>
    </row>
    <row r="54" s="102" customFormat="1" ht="67.5" outlineLevel="1" spans="1:17">
      <c r="A54" s="53">
        <v>37</v>
      </c>
      <c r="B54" s="53" t="s">
        <v>128</v>
      </c>
      <c r="C54" s="53" t="s">
        <v>168</v>
      </c>
      <c r="D54" s="53" t="s">
        <v>110</v>
      </c>
      <c r="E54" s="53">
        <v>22.83</v>
      </c>
      <c r="F54" s="105">
        <f t="shared" ref="F54:J54" si="42">F48</f>
        <v>190</v>
      </c>
      <c r="G54" s="55">
        <f t="shared" si="38"/>
        <v>315</v>
      </c>
      <c r="H54" s="105">
        <f t="shared" si="42"/>
        <v>300</v>
      </c>
      <c r="I54" s="65">
        <f t="shared" si="42"/>
        <v>0.05</v>
      </c>
      <c r="J54" s="55">
        <f t="shared" si="42"/>
        <v>150</v>
      </c>
      <c r="K54" s="55">
        <f>(F54+G54+J54)*$K$5</f>
        <v>39.3</v>
      </c>
      <c r="L54" s="55">
        <f>(F54+G54+J54+K54)*$L$5</f>
        <v>62.487</v>
      </c>
      <c r="M54" s="55">
        <f t="shared" si="39"/>
        <v>756.787</v>
      </c>
      <c r="N54" s="55"/>
      <c r="O54" s="55">
        <f t="shared" si="40"/>
        <v>17277.44721</v>
      </c>
      <c r="P54" s="119" t="str">
        <f>P48</f>
        <v>厂家定制</v>
      </c>
      <c r="Q54" s="131"/>
    </row>
    <row r="55" s="102" customFormat="1" ht="67.5" outlineLevel="1" spans="1:17">
      <c r="A55" s="53">
        <v>38</v>
      </c>
      <c r="B55" s="53" t="s">
        <v>169</v>
      </c>
      <c r="C55" s="53" t="s">
        <v>170</v>
      </c>
      <c r="D55" s="53" t="s">
        <v>110</v>
      </c>
      <c r="E55" s="53">
        <v>3.7</v>
      </c>
      <c r="F55" s="107">
        <v>185</v>
      </c>
      <c r="G55" s="55">
        <f t="shared" si="38"/>
        <v>383.25</v>
      </c>
      <c r="H55" s="107">
        <v>365</v>
      </c>
      <c r="I55" s="77">
        <v>0.05</v>
      </c>
      <c r="J55" s="62">
        <v>150</v>
      </c>
      <c r="K55" s="55">
        <f>(F55+G55+J55)*$K$5</f>
        <v>43.095</v>
      </c>
      <c r="L55" s="55">
        <f>(F55+G55+J55+K55)*$L$5</f>
        <v>68.52105</v>
      </c>
      <c r="M55" s="55">
        <f t="shared" si="39"/>
        <v>829.86605</v>
      </c>
      <c r="N55" s="55"/>
      <c r="O55" s="55">
        <f t="shared" si="40"/>
        <v>3070.504385</v>
      </c>
      <c r="P55" s="119"/>
      <c r="Q55" s="131"/>
    </row>
    <row r="56" s="102" customFormat="1" ht="45" outlineLevel="1" spans="1:17">
      <c r="A56" s="53">
        <v>39</v>
      </c>
      <c r="B56" s="53" t="s">
        <v>171</v>
      </c>
      <c r="C56" s="53" t="s">
        <v>172</v>
      </c>
      <c r="D56" s="53" t="s">
        <v>144</v>
      </c>
      <c r="E56" s="53">
        <v>3.36</v>
      </c>
      <c r="F56" s="107">
        <v>135</v>
      </c>
      <c r="G56" s="55">
        <f t="shared" si="38"/>
        <v>378</v>
      </c>
      <c r="H56" s="107">
        <v>360</v>
      </c>
      <c r="I56" s="77">
        <v>0.05</v>
      </c>
      <c r="J56" s="62">
        <v>95</v>
      </c>
      <c r="K56" s="55">
        <f>(F56+G56+J56)*$K$5</f>
        <v>36.48</v>
      </c>
      <c r="L56" s="55">
        <f>(F56+G56+J56+K56)*$L$5</f>
        <v>58.0032</v>
      </c>
      <c r="M56" s="55">
        <f t="shared" si="39"/>
        <v>702.4832</v>
      </c>
      <c r="N56" s="55"/>
      <c r="O56" s="55">
        <f t="shared" si="40"/>
        <v>2360.343552</v>
      </c>
      <c r="P56" s="119"/>
      <c r="Q56" s="131"/>
    </row>
    <row r="57" s="102" customFormat="1" ht="56.25" outlineLevel="1" spans="1:17">
      <c r="A57" s="53">
        <v>40</v>
      </c>
      <c r="B57" s="53" t="s">
        <v>134</v>
      </c>
      <c r="C57" s="53" t="s">
        <v>135</v>
      </c>
      <c r="D57" s="53" t="s">
        <v>110</v>
      </c>
      <c r="E57" s="53">
        <v>0.68</v>
      </c>
      <c r="F57" s="105">
        <f t="shared" ref="F57:J57" si="43">F50</f>
        <v>150</v>
      </c>
      <c r="G57" s="55">
        <f t="shared" si="38"/>
        <v>280.5</v>
      </c>
      <c r="H57" s="105">
        <f t="shared" si="43"/>
        <v>255</v>
      </c>
      <c r="I57" s="65">
        <f t="shared" si="43"/>
        <v>0.1</v>
      </c>
      <c r="J57" s="55">
        <f t="shared" si="43"/>
        <v>155</v>
      </c>
      <c r="K57" s="55">
        <f>(F57+G57+J57)*$K$5</f>
        <v>35.13</v>
      </c>
      <c r="L57" s="55">
        <f>(F57+G57+J57+K57)*$L$5</f>
        <v>55.8567</v>
      </c>
      <c r="M57" s="55">
        <f t="shared" si="39"/>
        <v>676.4867</v>
      </c>
      <c r="N57" s="55"/>
      <c r="O57" s="55">
        <f t="shared" si="40"/>
        <v>460.010956</v>
      </c>
      <c r="P57" s="119"/>
      <c r="Q57" s="131"/>
    </row>
    <row r="58" s="102" customFormat="1" ht="45" outlineLevel="1" spans="1:17">
      <c r="A58" s="53">
        <v>41</v>
      </c>
      <c r="B58" s="53" t="s">
        <v>134</v>
      </c>
      <c r="C58" s="53" t="s">
        <v>173</v>
      </c>
      <c r="D58" s="53" t="s">
        <v>110</v>
      </c>
      <c r="E58" s="53">
        <v>0.54</v>
      </c>
      <c r="F58" s="105">
        <f t="shared" ref="F58:J58" si="44">F57</f>
        <v>150</v>
      </c>
      <c r="G58" s="55">
        <f t="shared" si="38"/>
        <v>280.5</v>
      </c>
      <c r="H58" s="105">
        <f>H8</f>
        <v>255</v>
      </c>
      <c r="I58" s="65">
        <f t="shared" si="44"/>
        <v>0.1</v>
      </c>
      <c r="J58" s="55">
        <f t="shared" si="44"/>
        <v>155</v>
      </c>
      <c r="K58" s="55">
        <f>(F58+G58+J58)*$K$5</f>
        <v>35.13</v>
      </c>
      <c r="L58" s="55">
        <f>(F58+G58+J58+K58)*$L$5</f>
        <v>55.8567</v>
      </c>
      <c r="M58" s="55">
        <f t="shared" si="39"/>
        <v>676.4867</v>
      </c>
      <c r="N58" s="55"/>
      <c r="O58" s="55">
        <f t="shared" si="40"/>
        <v>365.302818</v>
      </c>
      <c r="P58" s="119"/>
      <c r="Q58" s="131"/>
    </row>
    <row r="59" s="102" customFormat="1" ht="67.5" outlineLevel="1" spans="1:17">
      <c r="A59" s="53">
        <v>42</v>
      </c>
      <c r="B59" s="53" t="s">
        <v>142</v>
      </c>
      <c r="C59" s="53" t="s">
        <v>174</v>
      </c>
      <c r="D59" s="53" t="s">
        <v>144</v>
      </c>
      <c r="E59" s="53">
        <v>4.8</v>
      </c>
      <c r="F59" s="105">
        <f t="shared" ref="F59:I59" si="45">F27</f>
        <v>115</v>
      </c>
      <c r="G59" s="55">
        <f t="shared" si="38"/>
        <v>237.35</v>
      </c>
      <c r="H59" s="105">
        <f t="shared" si="45"/>
        <v>235</v>
      </c>
      <c r="I59" s="65">
        <f t="shared" si="45"/>
        <v>0.01</v>
      </c>
      <c r="J59" s="55">
        <f>J27+265</f>
        <v>415</v>
      </c>
      <c r="K59" s="55">
        <f>(F59+G59+J59)*$K$5</f>
        <v>46.041</v>
      </c>
      <c r="L59" s="55">
        <f>(F59+G59+J59+K59)*$L$5</f>
        <v>73.20519</v>
      </c>
      <c r="M59" s="55">
        <f t="shared" si="39"/>
        <v>886.59619</v>
      </c>
      <c r="N59" s="55"/>
      <c r="O59" s="55">
        <f t="shared" si="40"/>
        <v>4255.661712</v>
      </c>
      <c r="P59" s="119"/>
      <c r="Q59" s="131"/>
    </row>
    <row r="60" s="102" customFormat="1" ht="22.5" outlineLevel="1" spans="1:17">
      <c r="A60" s="53">
        <v>43</v>
      </c>
      <c r="B60" s="53" t="s">
        <v>175</v>
      </c>
      <c r="C60" s="53" t="s">
        <v>176</v>
      </c>
      <c r="D60" s="53" t="s">
        <v>144</v>
      </c>
      <c r="E60" s="53">
        <v>5.25</v>
      </c>
      <c r="F60" s="107">
        <v>15</v>
      </c>
      <c r="G60" s="55">
        <f t="shared" si="38"/>
        <v>36.75</v>
      </c>
      <c r="H60" s="107">
        <v>35</v>
      </c>
      <c r="I60" s="77">
        <v>0.05</v>
      </c>
      <c r="J60" s="62">
        <v>5</v>
      </c>
      <c r="K60" s="55">
        <f>(F60+G60+J60)*$K$5</f>
        <v>3.405</v>
      </c>
      <c r="L60" s="55">
        <f>(F60+G60+J60+K60)*$L$5</f>
        <v>5.41395</v>
      </c>
      <c r="M60" s="55">
        <f t="shared" si="39"/>
        <v>65.56895</v>
      </c>
      <c r="N60" s="55"/>
      <c r="O60" s="55">
        <f t="shared" si="40"/>
        <v>344.2369875</v>
      </c>
      <c r="P60" s="119"/>
      <c r="Q60" s="131"/>
    </row>
    <row r="61" s="102" customFormat="1" ht="33.75" outlineLevel="1" spans="1:17">
      <c r="A61" s="53">
        <v>44</v>
      </c>
      <c r="B61" s="53" t="s">
        <v>128</v>
      </c>
      <c r="C61" s="53" t="s">
        <v>177</v>
      </c>
      <c r="D61" s="53" t="s">
        <v>110</v>
      </c>
      <c r="E61" s="53">
        <v>1.76</v>
      </c>
      <c r="F61" s="105">
        <f t="shared" ref="F61:J61" si="46">F50</f>
        <v>150</v>
      </c>
      <c r="G61" s="55">
        <f t="shared" si="38"/>
        <v>280.5</v>
      </c>
      <c r="H61" s="105">
        <f>H50</f>
        <v>255</v>
      </c>
      <c r="I61" s="65">
        <f t="shared" si="46"/>
        <v>0.1</v>
      </c>
      <c r="J61" s="55">
        <f t="shared" si="46"/>
        <v>155</v>
      </c>
      <c r="K61" s="55">
        <f>(F61+G61+J61)*$K$5</f>
        <v>35.13</v>
      </c>
      <c r="L61" s="55">
        <f>(F61+G61+J61+K61)*$L$5</f>
        <v>55.8567</v>
      </c>
      <c r="M61" s="55">
        <f t="shared" si="39"/>
        <v>676.4867</v>
      </c>
      <c r="N61" s="55"/>
      <c r="O61" s="55">
        <f t="shared" si="40"/>
        <v>1190.616592</v>
      </c>
      <c r="P61" s="119"/>
      <c r="Q61" s="131"/>
    </row>
    <row r="62" s="102" customFormat="1" spans="1:17">
      <c r="A62" s="53"/>
      <c r="B62" s="53" t="s">
        <v>178</v>
      </c>
      <c r="C62" s="53"/>
      <c r="D62" s="53"/>
      <c r="E62" s="53"/>
      <c r="F62" s="105"/>
      <c r="G62" s="109"/>
      <c r="H62" s="116"/>
      <c r="I62" s="89"/>
      <c r="J62" s="109"/>
      <c r="K62" s="109"/>
      <c r="L62" s="109"/>
      <c r="M62" s="120"/>
      <c r="N62" s="121"/>
      <c r="O62" s="109"/>
      <c r="P62" s="119"/>
      <c r="Q62" s="131"/>
    </row>
    <row r="63" s="102" customFormat="1" outlineLevel="1" spans="1:17">
      <c r="A63" s="53">
        <v>45</v>
      </c>
      <c r="B63" s="53" t="s">
        <v>179</v>
      </c>
      <c r="C63" s="53" t="s">
        <v>180</v>
      </c>
      <c r="D63" s="53" t="s">
        <v>144</v>
      </c>
      <c r="E63" s="53">
        <v>7</v>
      </c>
      <c r="F63" s="107">
        <v>550</v>
      </c>
      <c r="G63" s="109">
        <f t="shared" ref="G63:G79" si="47">H63*(1+I63)</f>
        <v>1898.8</v>
      </c>
      <c r="H63" s="114">
        <v>1880</v>
      </c>
      <c r="I63" s="83">
        <v>0.01</v>
      </c>
      <c r="J63" s="127">
        <v>650</v>
      </c>
      <c r="K63" s="109">
        <f>(F63+G63+J63)*$K$5</f>
        <v>185.928</v>
      </c>
      <c r="L63" s="109">
        <f>(F63+G63+J63+K63)*$L$5</f>
        <v>295.62552</v>
      </c>
      <c r="M63" s="120">
        <f t="shared" ref="M63:M79" si="48">F63+G63+J63+K63+L63</f>
        <v>3580.35352</v>
      </c>
      <c r="N63" s="121"/>
      <c r="O63" s="109">
        <f t="shared" ref="O63:O79" si="49">M63*E63</f>
        <v>25062.47464</v>
      </c>
      <c r="P63" s="119"/>
      <c r="Q63" s="131"/>
    </row>
    <row r="64" s="102" customFormat="1" outlineLevel="1" spans="1:17">
      <c r="A64" s="53"/>
      <c r="B64" s="53"/>
      <c r="C64" s="53"/>
      <c r="D64" s="53"/>
      <c r="E64" s="53"/>
      <c r="F64" s="107"/>
      <c r="G64" s="110"/>
      <c r="H64" s="117"/>
      <c r="I64" s="129"/>
      <c r="J64" s="130"/>
      <c r="K64" s="110"/>
      <c r="L64" s="110"/>
      <c r="M64" s="122"/>
      <c r="N64" s="123"/>
      <c r="O64" s="110"/>
      <c r="P64" s="119"/>
      <c r="Q64" s="131"/>
    </row>
    <row r="65" s="102" customFormat="1" outlineLevel="1" spans="1:17">
      <c r="A65" s="53"/>
      <c r="B65" s="53"/>
      <c r="C65" s="53"/>
      <c r="D65" s="53"/>
      <c r="E65" s="53"/>
      <c r="F65" s="107"/>
      <c r="G65" s="111"/>
      <c r="H65" s="115"/>
      <c r="I65" s="86"/>
      <c r="J65" s="128"/>
      <c r="K65" s="111"/>
      <c r="L65" s="111"/>
      <c r="M65" s="124"/>
      <c r="N65" s="125"/>
      <c r="O65" s="111"/>
      <c r="P65" s="119"/>
      <c r="Q65" s="131"/>
    </row>
    <row r="66" s="102" customFormat="1" spans="1:17">
      <c r="A66" s="53"/>
      <c r="B66" s="53" t="s">
        <v>181</v>
      </c>
      <c r="C66" s="53"/>
      <c r="D66" s="53"/>
      <c r="E66" s="53"/>
      <c r="F66" s="105"/>
      <c r="G66" s="55"/>
      <c r="H66" s="105"/>
      <c r="I66" s="65"/>
      <c r="J66" s="55"/>
      <c r="K66" s="55"/>
      <c r="L66" s="55"/>
      <c r="M66" s="55">
        <f>SUM(O67:O79)</f>
        <v>425991.1071005</v>
      </c>
      <c r="N66" s="55"/>
      <c r="O66" s="55"/>
      <c r="P66" s="119"/>
      <c r="Q66" s="131"/>
    </row>
    <row r="67" s="102" customFormat="1" ht="157.5" outlineLevel="1" spans="1:17">
      <c r="A67" s="53">
        <v>46</v>
      </c>
      <c r="B67" s="53" t="s">
        <v>112</v>
      </c>
      <c r="C67" s="53" t="s">
        <v>182</v>
      </c>
      <c r="D67" s="53" t="s">
        <v>110</v>
      </c>
      <c r="E67" s="53">
        <v>651.19</v>
      </c>
      <c r="F67" s="105">
        <f t="shared" ref="F67:J67" si="50">F8</f>
        <v>85</v>
      </c>
      <c r="G67" s="55">
        <f t="shared" si="47"/>
        <v>267.75</v>
      </c>
      <c r="H67" s="105">
        <f t="shared" si="50"/>
        <v>255</v>
      </c>
      <c r="I67" s="65">
        <f t="shared" si="50"/>
        <v>0.05</v>
      </c>
      <c r="J67" s="55">
        <f t="shared" si="50"/>
        <v>35</v>
      </c>
      <c r="K67" s="55">
        <f>(F67+G67+J67)*$K$5</f>
        <v>23.265</v>
      </c>
      <c r="L67" s="55">
        <f>(F67+G67+J67+K67)*$L$5</f>
        <v>36.99135</v>
      </c>
      <c r="M67" s="55">
        <f t="shared" si="48"/>
        <v>448.00635</v>
      </c>
      <c r="N67" s="55"/>
      <c r="O67" s="55">
        <f t="shared" si="49"/>
        <v>291737.2550565</v>
      </c>
      <c r="P67" s="119"/>
      <c r="Q67" s="131"/>
    </row>
    <row r="68" s="102" customFormat="1" ht="53" customHeight="1" outlineLevel="1" spans="1:17">
      <c r="A68" s="53">
        <v>47</v>
      </c>
      <c r="B68" s="53" t="s">
        <v>183</v>
      </c>
      <c r="C68" s="53" t="s">
        <v>184</v>
      </c>
      <c r="D68" s="53" t="s">
        <v>110</v>
      </c>
      <c r="E68" s="53">
        <v>2.18</v>
      </c>
      <c r="F68" s="107">
        <v>150</v>
      </c>
      <c r="G68" s="55">
        <f t="shared" si="47"/>
        <v>280.5</v>
      </c>
      <c r="H68" s="105">
        <f t="shared" ref="H68:H72" si="51">H67</f>
        <v>255</v>
      </c>
      <c r="I68" s="65">
        <v>0.1</v>
      </c>
      <c r="J68" s="55">
        <f>J67</f>
        <v>35</v>
      </c>
      <c r="K68" s="55">
        <f>(F68+G68+J68)*$K$5</f>
        <v>27.93</v>
      </c>
      <c r="L68" s="55">
        <f>(F68+G68+J68+K68)*$L$5</f>
        <v>44.4087</v>
      </c>
      <c r="M68" s="55">
        <f t="shared" si="48"/>
        <v>537.8387</v>
      </c>
      <c r="N68" s="55"/>
      <c r="O68" s="55">
        <f t="shared" si="49"/>
        <v>1172.488366</v>
      </c>
      <c r="P68" s="119"/>
      <c r="Q68" s="131"/>
    </row>
    <row r="69" s="102" customFormat="1" ht="50" customHeight="1" outlineLevel="1" spans="1:17">
      <c r="A69" s="53">
        <v>48</v>
      </c>
      <c r="B69" s="53" t="s">
        <v>112</v>
      </c>
      <c r="C69" s="53" t="s">
        <v>185</v>
      </c>
      <c r="D69" s="53" t="s">
        <v>110</v>
      </c>
      <c r="E69" s="53">
        <v>15.04</v>
      </c>
      <c r="F69" s="113">
        <f t="shared" ref="F69:J69" si="52">F8*1.5</f>
        <v>127.5</v>
      </c>
      <c r="G69" s="55">
        <f t="shared" si="47"/>
        <v>401.625</v>
      </c>
      <c r="H69" s="105">
        <f t="shared" si="52"/>
        <v>382.5</v>
      </c>
      <c r="I69" s="65">
        <f>I8</f>
        <v>0.05</v>
      </c>
      <c r="J69" s="55">
        <f t="shared" si="52"/>
        <v>52.5</v>
      </c>
      <c r="K69" s="55">
        <f>(F69+G69+J69)*$K$5</f>
        <v>34.8975</v>
      </c>
      <c r="L69" s="55">
        <f>(F69+G69+J69+K69)*$L$5</f>
        <v>55.487025</v>
      </c>
      <c r="M69" s="55">
        <f t="shared" si="48"/>
        <v>672.009525</v>
      </c>
      <c r="N69" s="55"/>
      <c r="O69" s="55">
        <f t="shared" si="49"/>
        <v>10107.023256</v>
      </c>
      <c r="P69" s="119"/>
      <c r="Q69" s="131"/>
    </row>
    <row r="70" s="102" customFormat="1" ht="168.75" outlineLevel="1" spans="1:17">
      <c r="A70" s="53">
        <v>49</v>
      </c>
      <c r="B70" s="53" t="s">
        <v>115</v>
      </c>
      <c r="C70" s="53" t="s">
        <v>186</v>
      </c>
      <c r="D70" s="53" t="s">
        <v>110</v>
      </c>
      <c r="E70" s="53">
        <v>116.14</v>
      </c>
      <c r="F70" s="108">
        <f>F10</f>
        <v>65</v>
      </c>
      <c r="G70" s="61">
        <f t="shared" si="47"/>
        <v>68.25</v>
      </c>
      <c r="H70" s="108">
        <f>H10</f>
        <v>65</v>
      </c>
      <c r="I70" s="65">
        <f t="shared" ref="I70:I72" si="53">I69</f>
        <v>0.05</v>
      </c>
      <c r="J70" s="55">
        <f>J10</f>
        <v>35</v>
      </c>
      <c r="K70" s="55">
        <f>(F70+G70+J70)*$K$5</f>
        <v>10.095</v>
      </c>
      <c r="L70" s="55">
        <f>(F70+G70+J70+K70)*$L$5</f>
        <v>16.05105</v>
      </c>
      <c r="M70" s="55">
        <f t="shared" si="48"/>
        <v>194.39605</v>
      </c>
      <c r="N70" s="55"/>
      <c r="O70" s="55">
        <f t="shared" si="49"/>
        <v>22577.157247</v>
      </c>
      <c r="P70" s="119" t="str">
        <f>P10</f>
        <v>广东产</v>
      </c>
      <c r="Q70" s="131"/>
    </row>
    <row r="71" s="102" customFormat="1" ht="191.25" outlineLevel="1" spans="1:17">
      <c r="A71" s="53">
        <v>50</v>
      </c>
      <c r="B71" s="53" t="s">
        <v>187</v>
      </c>
      <c r="C71" s="53" t="s">
        <v>188</v>
      </c>
      <c r="D71" s="53" t="s">
        <v>110</v>
      </c>
      <c r="E71" s="53">
        <v>30.94</v>
      </c>
      <c r="F71" s="105">
        <f>F70+20</f>
        <v>85</v>
      </c>
      <c r="G71" s="55">
        <f t="shared" si="47"/>
        <v>68.25</v>
      </c>
      <c r="H71" s="105">
        <f t="shared" si="51"/>
        <v>65</v>
      </c>
      <c r="I71" s="65">
        <f t="shared" si="53"/>
        <v>0.05</v>
      </c>
      <c r="J71" s="55">
        <f>J70+35</f>
        <v>70</v>
      </c>
      <c r="K71" s="55">
        <f>(F71+G71+J71)*$K$5</f>
        <v>13.395</v>
      </c>
      <c r="L71" s="55">
        <f>(F71+G71+J71+K71)*$L$5</f>
        <v>21.29805</v>
      </c>
      <c r="M71" s="55">
        <f t="shared" si="48"/>
        <v>257.94305</v>
      </c>
      <c r="N71" s="55"/>
      <c r="O71" s="55">
        <f t="shared" si="49"/>
        <v>7980.757967</v>
      </c>
      <c r="P71" s="119" t="str">
        <f>P10</f>
        <v>广东产</v>
      </c>
      <c r="Q71" s="131"/>
    </row>
    <row r="72" s="102" customFormat="1" ht="191.25" outlineLevel="1" spans="1:17">
      <c r="A72" s="53">
        <v>51</v>
      </c>
      <c r="B72" s="53" t="s">
        <v>187</v>
      </c>
      <c r="C72" s="53" t="s">
        <v>189</v>
      </c>
      <c r="D72" s="53" t="s">
        <v>110</v>
      </c>
      <c r="E72" s="53">
        <v>29.04</v>
      </c>
      <c r="F72" s="105">
        <f>F71</f>
        <v>85</v>
      </c>
      <c r="G72" s="55">
        <f t="shared" si="47"/>
        <v>68.25</v>
      </c>
      <c r="H72" s="105">
        <f t="shared" si="51"/>
        <v>65</v>
      </c>
      <c r="I72" s="65">
        <f t="shared" si="53"/>
        <v>0.05</v>
      </c>
      <c r="J72" s="55">
        <f>J71</f>
        <v>70</v>
      </c>
      <c r="K72" s="55">
        <f>(F72+G72+J72)*$K$5</f>
        <v>13.395</v>
      </c>
      <c r="L72" s="55">
        <f>(F72+G72+J72+K72)*$L$5</f>
        <v>21.29805</v>
      </c>
      <c r="M72" s="55">
        <f t="shared" si="48"/>
        <v>257.94305</v>
      </c>
      <c r="N72" s="55"/>
      <c r="O72" s="55">
        <f t="shared" si="49"/>
        <v>7490.666172</v>
      </c>
      <c r="P72" s="119" t="str">
        <f>P70</f>
        <v>广东产</v>
      </c>
      <c r="Q72" s="131"/>
    </row>
    <row r="73" s="102" customFormat="1" ht="146.25" outlineLevel="1" spans="1:17">
      <c r="A73" s="53">
        <v>52</v>
      </c>
      <c r="B73" s="53" t="s">
        <v>190</v>
      </c>
      <c r="C73" s="53" t="s">
        <v>191</v>
      </c>
      <c r="D73" s="53" t="s">
        <v>110</v>
      </c>
      <c r="E73" s="53">
        <v>3.72</v>
      </c>
      <c r="F73" s="107">
        <v>30</v>
      </c>
      <c r="G73" s="55">
        <f t="shared" si="47"/>
        <v>47.25</v>
      </c>
      <c r="H73" s="107">
        <v>45</v>
      </c>
      <c r="I73" s="77">
        <v>0.05</v>
      </c>
      <c r="J73" s="62">
        <v>15</v>
      </c>
      <c r="K73" s="55">
        <f>(F73+G73+J73)*$K$5</f>
        <v>5.535</v>
      </c>
      <c r="L73" s="55">
        <f>(F73+G73+J73+K73)*$L$5</f>
        <v>8.80065</v>
      </c>
      <c r="M73" s="55">
        <f t="shared" si="48"/>
        <v>106.58565</v>
      </c>
      <c r="N73" s="55"/>
      <c r="O73" s="55">
        <f t="shared" si="49"/>
        <v>396.498618</v>
      </c>
      <c r="P73" s="119"/>
      <c r="Q73" s="131"/>
    </row>
    <row r="74" s="102" customFormat="1" ht="101.25" outlineLevel="1" spans="1:17">
      <c r="A74" s="53">
        <v>53</v>
      </c>
      <c r="B74" s="53" t="s">
        <v>192</v>
      </c>
      <c r="C74" s="53" t="s">
        <v>193</v>
      </c>
      <c r="D74" s="53" t="s">
        <v>110</v>
      </c>
      <c r="E74" s="53">
        <v>8.36</v>
      </c>
      <c r="F74" s="107">
        <v>35</v>
      </c>
      <c r="G74" s="55">
        <f t="shared" si="47"/>
        <v>157.5</v>
      </c>
      <c r="H74" s="107">
        <v>150</v>
      </c>
      <c r="I74" s="77">
        <v>0.05</v>
      </c>
      <c r="J74" s="62">
        <v>15</v>
      </c>
      <c r="K74" s="55">
        <f>(F74+G74+J74)*$K$5</f>
        <v>12.45</v>
      </c>
      <c r="L74" s="55">
        <f>(F74+G74+J74+K74)*$L$5</f>
        <v>19.7955</v>
      </c>
      <c r="M74" s="55">
        <f t="shared" si="48"/>
        <v>239.7455</v>
      </c>
      <c r="N74" s="55"/>
      <c r="O74" s="55">
        <f t="shared" si="49"/>
        <v>2004.27238</v>
      </c>
      <c r="P74" s="119"/>
      <c r="Q74" s="131"/>
    </row>
    <row r="75" s="102" customFormat="1" ht="112.5" outlineLevel="1" spans="1:17">
      <c r="A75" s="53">
        <v>54</v>
      </c>
      <c r="B75" s="53" t="s">
        <v>194</v>
      </c>
      <c r="C75" s="53" t="s">
        <v>195</v>
      </c>
      <c r="D75" s="53" t="s">
        <v>110</v>
      </c>
      <c r="E75" s="53">
        <v>110.49</v>
      </c>
      <c r="F75" s="107">
        <v>165</v>
      </c>
      <c r="G75" s="55">
        <f t="shared" si="47"/>
        <v>173.25</v>
      </c>
      <c r="H75" s="107">
        <v>165</v>
      </c>
      <c r="I75" s="77">
        <v>0.05</v>
      </c>
      <c r="J75" s="62">
        <v>95</v>
      </c>
      <c r="K75" s="55">
        <f>(F75+G75+J75)*$K$5</f>
        <v>25.995</v>
      </c>
      <c r="L75" s="55">
        <f>(F75+G75+J75+K75)*$L$5</f>
        <v>41.33205</v>
      </c>
      <c r="M75" s="55">
        <f t="shared" si="48"/>
        <v>500.57705</v>
      </c>
      <c r="N75" s="55"/>
      <c r="O75" s="55">
        <f t="shared" si="49"/>
        <v>55308.7582545</v>
      </c>
      <c r="P75" s="119"/>
      <c r="Q75" s="131"/>
    </row>
    <row r="76" s="102" customFormat="1" ht="90" outlineLevel="1" spans="1:17">
      <c r="A76" s="53">
        <v>55</v>
      </c>
      <c r="B76" s="53" t="s">
        <v>196</v>
      </c>
      <c r="C76" s="53" t="s">
        <v>197</v>
      </c>
      <c r="D76" s="53" t="s">
        <v>110</v>
      </c>
      <c r="E76" s="53">
        <v>12.67</v>
      </c>
      <c r="F76" s="105">
        <f>F75</f>
        <v>165</v>
      </c>
      <c r="G76" s="55">
        <f t="shared" si="47"/>
        <v>299.25</v>
      </c>
      <c r="H76" s="107">
        <v>285</v>
      </c>
      <c r="I76" s="77">
        <v>0.05</v>
      </c>
      <c r="J76" s="62">
        <v>235</v>
      </c>
      <c r="K76" s="55">
        <f>(F76+G76+J76)*$K$5</f>
        <v>41.955</v>
      </c>
      <c r="L76" s="55">
        <f>(F76+G76+J76+K76)*$L$5</f>
        <v>66.70845</v>
      </c>
      <c r="M76" s="55">
        <f t="shared" si="48"/>
        <v>807.91345</v>
      </c>
      <c r="N76" s="55"/>
      <c r="O76" s="55">
        <f t="shared" si="49"/>
        <v>10236.2634115</v>
      </c>
      <c r="P76" s="119" t="str">
        <f>P48</f>
        <v>厂家定制</v>
      </c>
      <c r="Q76" s="131"/>
    </row>
    <row r="77" s="102" customFormat="1" ht="112.5" outlineLevel="1" spans="1:17">
      <c r="A77" s="53">
        <v>56</v>
      </c>
      <c r="B77" s="53" t="s">
        <v>194</v>
      </c>
      <c r="C77" s="53" t="s">
        <v>198</v>
      </c>
      <c r="D77" s="53" t="s">
        <v>110</v>
      </c>
      <c r="E77" s="53">
        <v>31.43</v>
      </c>
      <c r="F77" s="107">
        <v>35</v>
      </c>
      <c r="G77" s="55">
        <f t="shared" si="47"/>
        <v>173.25</v>
      </c>
      <c r="H77" s="105">
        <f>H75</f>
        <v>165</v>
      </c>
      <c r="I77" s="77">
        <v>0.05</v>
      </c>
      <c r="J77" s="62">
        <v>55</v>
      </c>
      <c r="K77" s="55">
        <f>(F77+G77+J77)*$K$5</f>
        <v>15.795</v>
      </c>
      <c r="L77" s="55">
        <f>(F77+G77+J77+K77)*$L$5</f>
        <v>25.11405</v>
      </c>
      <c r="M77" s="55">
        <f t="shared" si="48"/>
        <v>304.15905</v>
      </c>
      <c r="N77" s="55"/>
      <c r="O77" s="55">
        <f t="shared" si="49"/>
        <v>9559.7189415</v>
      </c>
      <c r="P77" s="119"/>
      <c r="Q77" s="131"/>
    </row>
    <row r="78" s="102" customFormat="1" ht="90" outlineLevel="1" spans="1:17">
      <c r="A78" s="53">
        <v>57</v>
      </c>
      <c r="B78" s="53" t="s">
        <v>199</v>
      </c>
      <c r="C78" s="53" t="s">
        <v>200</v>
      </c>
      <c r="D78" s="53" t="s">
        <v>110</v>
      </c>
      <c r="E78" s="53">
        <v>9.14</v>
      </c>
      <c r="F78" s="107">
        <v>25</v>
      </c>
      <c r="G78" s="55">
        <f t="shared" si="47"/>
        <v>148.5</v>
      </c>
      <c r="H78" s="107">
        <v>135</v>
      </c>
      <c r="I78" s="77">
        <v>0.1</v>
      </c>
      <c r="J78" s="62">
        <v>15</v>
      </c>
      <c r="K78" s="55">
        <f>(F78+G78+J78)*$K$5</f>
        <v>11.31</v>
      </c>
      <c r="L78" s="55">
        <f>(F78+G78+J78+K78)*$L$5</f>
        <v>17.9829</v>
      </c>
      <c r="M78" s="55">
        <f t="shared" si="48"/>
        <v>217.7929</v>
      </c>
      <c r="N78" s="55"/>
      <c r="O78" s="55">
        <f t="shared" si="49"/>
        <v>1990.627106</v>
      </c>
      <c r="P78" s="119"/>
      <c r="Q78" s="131"/>
    </row>
    <row r="79" s="102" customFormat="1" ht="101.25" outlineLevel="1" spans="1:17">
      <c r="A79" s="53">
        <v>58</v>
      </c>
      <c r="B79" s="53" t="s">
        <v>201</v>
      </c>
      <c r="C79" s="53" t="s">
        <v>202</v>
      </c>
      <c r="D79" s="53" t="s">
        <v>110</v>
      </c>
      <c r="E79" s="53">
        <v>12.31</v>
      </c>
      <c r="F79" s="107">
        <f>F75-20</f>
        <v>145</v>
      </c>
      <c r="G79" s="55">
        <f t="shared" si="47"/>
        <v>141.75</v>
      </c>
      <c r="H79" s="107">
        <v>135</v>
      </c>
      <c r="I79" s="68">
        <f>I75</f>
        <v>0.05</v>
      </c>
      <c r="J79" s="58">
        <f>J75</f>
        <v>95</v>
      </c>
      <c r="K79" s="55">
        <f>(F79+G79+J79)*$K$5</f>
        <v>22.905</v>
      </c>
      <c r="L79" s="55">
        <f>(F79+G79+J79+K79)*$L$5</f>
        <v>36.41895</v>
      </c>
      <c r="M79" s="55">
        <f t="shared" si="48"/>
        <v>441.07395</v>
      </c>
      <c r="N79" s="55"/>
      <c r="O79" s="55">
        <f t="shared" si="49"/>
        <v>5429.6203245</v>
      </c>
      <c r="P79" s="119"/>
      <c r="Q79" s="131"/>
    </row>
    <row r="80" s="102" customFormat="1" spans="1:17">
      <c r="A80" s="53"/>
      <c r="B80" s="53" t="s">
        <v>203</v>
      </c>
      <c r="C80" s="53"/>
      <c r="D80" s="53"/>
      <c r="E80" s="53"/>
      <c r="F80" s="105"/>
      <c r="G80" s="55"/>
      <c r="H80" s="105"/>
      <c r="I80" s="65"/>
      <c r="J80" s="55"/>
      <c r="K80" s="55"/>
      <c r="L80" s="55"/>
      <c r="M80" s="55">
        <f>SUM(O81:O97)</f>
        <v>434747.43783164</v>
      </c>
      <c r="N80" s="55"/>
      <c r="O80" s="55"/>
      <c r="P80" s="119"/>
      <c r="Q80" s="131"/>
    </row>
    <row r="81" s="102" customFormat="1" ht="120" customHeight="1" outlineLevel="1" spans="1:17">
      <c r="A81" s="72">
        <v>59</v>
      </c>
      <c r="B81" s="72" t="s">
        <v>35</v>
      </c>
      <c r="C81" s="133" t="s">
        <v>204</v>
      </c>
      <c r="D81" s="72" t="s">
        <v>110</v>
      </c>
      <c r="E81" s="134">
        <f>32.41-2.22</f>
        <v>30.19</v>
      </c>
      <c r="F81" s="135">
        <f>30+20*2+25+10</f>
        <v>105</v>
      </c>
      <c r="G81" s="136">
        <f t="shared" ref="G81:G85" si="54">H81*(1+I81)</f>
        <v>57.24</v>
      </c>
      <c r="H81" s="135">
        <f>15+38</f>
        <v>53</v>
      </c>
      <c r="I81" s="89">
        <v>0.08</v>
      </c>
      <c r="J81" s="136">
        <f>45+10+15+5</f>
        <v>75</v>
      </c>
      <c r="K81" s="136">
        <f>(F81+G81+J81)*$K$5</f>
        <v>14.2344</v>
      </c>
      <c r="L81" s="136">
        <f>(F81+G81+J81+K81)*$L$5</f>
        <v>22.632696</v>
      </c>
      <c r="M81" s="160">
        <f t="shared" ref="M81:M85" si="55">F81+G81+J81+K81+L81</f>
        <v>274.107096</v>
      </c>
      <c r="N81" s="161"/>
      <c r="O81" s="136">
        <f t="shared" ref="O81:O85" si="56">M81*E81</f>
        <v>8275.29322824</v>
      </c>
      <c r="P81" s="85" t="str">
        <f>P15</f>
        <v>龙骨驰龙、石膏板泰山</v>
      </c>
      <c r="Q81" s="171" t="s">
        <v>205</v>
      </c>
    </row>
    <row r="82" s="102" customFormat="1" ht="120" customHeight="1" outlineLevel="1" spans="1:17">
      <c r="A82" s="74"/>
      <c r="B82" s="74"/>
      <c r="C82" s="137"/>
      <c r="D82" s="74"/>
      <c r="E82" s="138"/>
      <c r="F82" s="139"/>
      <c r="G82" s="140"/>
      <c r="H82" s="139"/>
      <c r="I82" s="90"/>
      <c r="J82" s="140"/>
      <c r="K82" s="140"/>
      <c r="L82" s="140"/>
      <c r="M82" s="162"/>
      <c r="N82" s="163"/>
      <c r="O82" s="140"/>
      <c r="P82" s="88"/>
      <c r="Q82" s="132"/>
    </row>
    <row r="83" s="102" customFormat="1" ht="168.75" outlineLevel="1" spans="1:17">
      <c r="A83" s="53">
        <v>60</v>
      </c>
      <c r="B83" s="53" t="s">
        <v>35</v>
      </c>
      <c r="C83" s="141" t="s">
        <v>206</v>
      </c>
      <c r="D83" s="53" t="s">
        <v>110</v>
      </c>
      <c r="E83" s="53">
        <v>70.53</v>
      </c>
      <c r="F83" s="142">
        <f>F15</f>
        <v>125</v>
      </c>
      <c r="G83" s="143">
        <f t="shared" si="54"/>
        <v>324</v>
      </c>
      <c r="H83" s="142">
        <f>H15</f>
        <v>300</v>
      </c>
      <c r="I83" s="164">
        <v>0.08</v>
      </c>
      <c r="J83" s="143">
        <f>38*2+55+10</f>
        <v>141</v>
      </c>
      <c r="K83" s="55">
        <f>(F83+G83+J83)*$K$5</f>
        <v>35.4</v>
      </c>
      <c r="L83" s="55">
        <f>(F83+G83+J83+K83)*$L$5</f>
        <v>56.286</v>
      </c>
      <c r="M83" s="55">
        <f t="shared" si="55"/>
        <v>681.686</v>
      </c>
      <c r="N83" s="55"/>
      <c r="O83" s="55">
        <f t="shared" si="56"/>
        <v>48079.31358</v>
      </c>
      <c r="P83" s="119" t="str">
        <f>P81</f>
        <v>龙骨驰龙、石膏板泰山</v>
      </c>
      <c r="Q83" s="132" t="s">
        <v>207</v>
      </c>
    </row>
    <row r="84" s="102" customFormat="1" ht="157.5" outlineLevel="1" spans="1:17">
      <c r="A84" s="53">
        <v>61</v>
      </c>
      <c r="B84" s="53" t="s">
        <v>122</v>
      </c>
      <c r="C84" s="141" t="s">
        <v>208</v>
      </c>
      <c r="D84" s="53" t="s">
        <v>110</v>
      </c>
      <c r="E84" s="53">
        <v>151.02</v>
      </c>
      <c r="F84" s="142">
        <f t="shared" ref="F84:J84" si="57">F16</f>
        <v>155</v>
      </c>
      <c r="G84" s="55">
        <f t="shared" si="54"/>
        <v>324</v>
      </c>
      <c r="H84" s="142">
        <f t="shared" si="57"/>
        <v>300</v>
      </c>
      <c r="I84" s="143">
        <f t="shared" si="57"/>
        <v>0.08</v>
      </c>
      <c r="J84" s="143">
        <f t="shared" si="57"/>
        <v>125</v>
      </c>
      <c r="K84" s="55">
        <f>(F84+G84+J84)*$K$5</f>
        <v>36.24</v>
      </c>
      <c r="L84" s="55">
        <f>(F84+G84+J84+K84)*$L$5</f>
        <v>57.6216</v>
      </c>
      <c r="M84" s="55">
        <f t="shared" si="55"/>
        <v>697.8616</v>
      </c>
      <c r="N84" s="55"/>
      <c r="O84" s="55">
        <f t="shared" si="56"/>
        <v>105391.058832</v>
      </c>
      <c r="P84" s="119" t="str">
        <f>P83</f>
        <v>龙骨驰龙、石膏板泰山</v>
      </c>
      <c r="Q84" s="132" t="s">
        <v>207</v>
      </c>
    </row>
    <row r="85" s="102" customFormat="1" ht="48" customHeight="1" outlineLevel="1" spans="1:17">
      <c r="A85" s="72">
        <v>62</v>
      </c>
      <c r="B85" s="72" t="s">
        <v>35</v>
      </c>
      <c r="C85" s="133" t="s">
        <v>209</v>
      </c>
      <c r="D85" s="72" t="s">
        <v>110</v>
      </c>
      <c r="E85" s="72">
        <v>60.33</v>
      </c>
      <c r="F85" s="114">
        <v>185</v>
      </c>
      <c r="G85" s="109">
        <f t="shared" si="54"/>
        <v>291.5</v>
      </c>
      <c r="H85" s="114">
        <v>265</v>
      </c>
      <c r="I85" s="83">
        <v>0.1</v>
      </c>
      <c r="J85" s="127">
        <v>155</v>
      </c>
      <c r="K85" s="109">
        <f>(F85+G85+J85)*$K$5</f>
        <v>37.89</v>
      </c>
      <c r="L85" s="109">
        <f>(F85+G85+J85+K85)*$L$5</f>
        <v>60.2451</v>
      </c>
      <c r="M85" s="120">
        <f t="shared" si="55"/>
        <v>729.6351</v>
      </c>
      <c r="N85" s="121"/>
      <c r="O85" s="109">
        <f t="shared" si="56"/>
        <v>44018.885583</v>
      </c>
      <c r="P85" s="165" t="str">
        <f>P84</f>
        <v>龙骨驰龙、石膏板泰山</v>
      </c>
      <c r="Q85" s="132" t="s">
        <v>210</v>
      </c>
    </row>
    <row r="86" s="102" customFormat="1" ht="48" customHeight="1" outlineLevel="1" spans="1:17">
      <c r="A86" s="92"/>
      <c r="B86" s="92"/>
      <c r="C86" s="144"/>
      <c r="D86" s="92"/>
      <c r="E86" s="92"/>
      <c r="F86" s="117"/>
      <c r="G86" s="110"/>
      <c r="H86" s="117"/>
      <c r="I86" s="129"/>
      <c r="J86" s="130"/>
      <c r="K86" s="110"/>
      <c r="L86" s="110"/>
      <c r="M86" s="122"/>
      <c r="N86" s="123"/>
      <c r="O86" s="110"/>
      <c r="P86" s="166"/>
      <c r="Q86" s="132"/>
    </row>
    <row r="87" s="102" customFormat="1" ht="48" customHeight="1" outlineLevel="1" spans="1:17">
      <c r="A87" s="74"/>
      <c r="B87" s="74"/>
      <c r="C87" s="137"/>
      <c r="D87" s="74"/>
      <c r="E87" s="74"/>
      <c r="F87" s="115"/>
      <c r="G87" s="111"/>
      <c r="H87" s="115"/>
      <c r="I87" s="86"/>
      <c r="J87" s="128"/>
      <c r="K87" s="111"/>
      <c r="L87" s="111"/>
      <c r="M87" s="124"/>
      <c r="N87" s="125"/>
      <c r="O87" s="111"/>
      <c r="P87" s="167"/>
      <c r="Q87" s="132"/>
    </row>
    <row r="88" s="102" customFormat="1" outlineLevel="1" spans="1:17">
      <c r="A88" s="72">
        <v>63</v>
      </c>
      <c r="B88" s="72" t="s">
        <v>35</v>
      </c>
      <c r="C88" s="133" t="s">
        <v>211</v>
      </c>
      <c r="D88" s="72" t="s">
        <v>110</v>
      </c>
      <c r="E88" s="72">
        <v>12.56</v>
      </c>
      <c r="F88" s="114">
        <f>35+20*2+35+15</f>
        <v>125</v>
      </c>
      <c r="G88" s="109">
        <f t="shared" ref="G88:G91" si="58">H88*(1+I88)</f>
        <v>128.1</v>
      </c>
      <c r="H88" s="114">
        <f>15+42+65</f>
        <v>122</v>
      </c>
      <c r="I88" s="83">
        <v>0.05</v>
      </c>
      <c r="J88" s="127">
        <f>45+5+15</f>
        <v>65</v>
      </c>
      <c r="K88" s="109">
        <f>(F88+G88+J88)*$K$5</f>
        <v>19.086</v>
      </c>
      <c r="L88" s="109">
        <f>(F88+G88+J88+K88)*$L$5</f>
        <v>30.34674</v>
      </c>
      <c r="M88" s="120">
        <f t="shared" ref="M88:M91" si="59">F88+G88+J88+K88+L88</f>
        <v>367.53274</v>
      </c>
      <c r="N88" s="121"/>
      <c r="O88" s="109">
        <f t="shared" ref="O88:O91" si="60">M88*E88</f>
        <v>4616.2112144</v>
      </c>
      <c r="P88" s="109" t="str">
        <f>P85</f>
        <v>龙骨驰龙、石膏板泰山</v>
      </c>
      <c r="Q88" s="132"/>
    </row>
    <row r="89" s="102" customFormat="1" ht="207" customHeight="1" outlineLevel="1" spans="1:17">
      <c r="A89" s="74"/>
      <c r="B89" s="74"/>
      <c r="C89" s="137"/>
      <c r="D89" s="74"/>
      <c r="E89" s="74"/>
      <c r="F89" s="117"/>
      <c r="G89" s="110"/>
      <c r="H89" s="117"/>
      <c r="I89" s="129"/>
      <c r="J89" s="130"/>
      <c r="K89" s="110"/>
      <c r="L89" s="110"/>
      <c r="M89" s="122"/>
      <c r="N89" s="123"/>
      <c r="O89" s="110"/>
      <c r="P89" s="110"/>
      <c r="Q89" s="132" t="s">
        <v>207</v>
      </c>
    </row>
    <row r="90" s="102" customFormat="1" ht="202.5" outlineLevel="1" spans="1:17">
      <c r="A90" s="53">
        <v>64</v>
      </c>
      <c r="B90" s="53" t="s">
        <v>35</v>
      </c>
      <c r="C90" s="141" t="s">
        <v>212</v>
      </c>
      <c r="D90" s="53" t="s">
        <v>110</v>
      </c>
      <c r="E90" s="53">
        <v>29.65</v>
      </c>
      <c r="F90" s="105">
        <f t="shared" ref="F90:J90" si="61">F88</f>
        <v>125</v>
      </c>
      <c r="G90" s="55">
        <f t="shared" si="58"/>
        <v>88.2</v>
      </c>
      <c r="H90" s="107">
        <f>H88-38</f>
        <v>84</v>
      </c>
      <c r="I90" s="65">
        <f t="shared" si="61"/>
        <v>0.05</v>
      </c>
      <c r="J90" s="55">
        <f t="shared" si="61"/>
        <v>65</v>
      </c>
      <c r="K90" s="55">
        <f>(F90+G90+J90)*$K$5</f>
        <v>16.692</v>
      </c>
      <c r="L90" s="55">
        <f>(F90+G90+J90+K90)*$L$5</f>
        <v>26.54028</v>
      </c>
      <c r="M90" s="55">
        <f t="shared" si="59"/>
        <v>321.43228</v>
      </c>
      <c r="N90" s="55"/>
      <c r="O90" s="55">
        <f t="shared" si="60"/>
        <v>9530.467102</v>
      </c>
      <c r="P90" s="119" t="str">
        <f>P88</f>
        <v>龙骨驰龙、石膏板泰山</v>
      </c>
      <c r="Q90" s="132" t="s">
        <v>207</v>
      </c>
    </row>
    <row r="91" s="102" customFormat="1" outlineLevel="1" spans="1:17">
      <c r="A91" s="72">
        <v>65</v>
      </c>
      <c r="B91" s="72" t="s">
        <v>35</v>
      </c>
      <c r="C91" s="133" t="s">
        <v>213</v>
      </c>
      <c r="D91" s="72" t="s">
        <v>110</v>
      </c>
      <c r="E91" s="72">
        <v>29.2</v>
      </c>
      <c r="F91" s="114">
        <f>F90*1.8</f>
        <v>225</v>
      </c>
      <c r="G91" s="145">
        <f t="shared" si="58"/>
        <v>214.11</v>
      </c>
      <c r="H91" s="114">
        <f>H88*1.3</f>
        <v>158.6</v>
      </c>
      <c r="I91" s="83">
        <v>0.35</v>
      </c>
      <c r="J91" s="127">
        <f>J88*2</f>
        <v>130</v>
      </c>
      <c r="K91" s="145">
        <f>(F91+G91+J91)*$K$5</f>
        <v>34.1466</v>
      </c>
      <c r="L91" s="145">
        <f>(F91+G91+J91+K91)*$L$5</f>
        <v>54.293094</v>
      </c>
      <c r="M91" s="120">
        <f t="shared" si="59"/>
        <v>657.549694</v>
      </c>
      <c r="N91" s="121"/>
      <c r="O91" s="136">
        <f t="shared" si="60"/>
        <v>19200.4510648</v>
      </c>
      <c r="P91" s="136" t="str">
        <f>P90</f>
        <v>龙骨驰龙、石膏板泰山</v>
      </c>
      <c r="Q91" s="132"/>
    </row>
    <row r="92" s="102" customFormat="1" ht="141" customHeight="1" outlineLevel="1" spans="1:17">
      <c r="A92" s="74"/>
      <c r="B92" s="74"/>
      <c r="C92" s="137"/>
      <c r="D92" s="74"/>
      <c r="E92" s="74"/>
      <c r="F92" s="117"/>
      <c r="G92" s="146"/>
      <c r="H92" s="117"/>
      <c r="I92" s="129"/>
      <c r="J92" s="130"/>
      <c r="K92" s="146"/>
      <c r="L92" s="146"/>
      <c r="M92" s="122"/>
      <c r="N92" s="123"/>
      <c r="O92" s="140"/>
      <c r="P92" s="140"/>
      <c r="Q92" s="132" t="s">
        <v>207</v>
      </c>
    </row>
    <row r="93" s="102" customFormat="1" outlineLevel="1" spans="1:17">
      <c r="A93" s="72">
        <v>66</v>
      </c>
      <c r="B93" s="72" t="s">
        <v>35</v>
      </c>
      <c r="C93" s="133" t="s">
        <v>214</v>
      </c>
      <c r="D93" s="72" t="s">
        <v>110</v>
      </c>
      <c r="E93" s="147">
        <v>494.88</v>
      </c>
      <c r="F93" s="148">
        <f t="shared" ref="F93:J93" si="62">F88</f>
        <v>125</v>
      </c>
      <c r="G93" s="145">
        <f t="shared" ref="G93:G97" si="63">H93*(1+I93)</f>
        <v>128.1</v>
      </c>
      <c r="H93" s="148">
        <f t="shared" si="62"/>
        <v>122</v>
      </c>
      <c r="I93" s="168">
        <f t="shared" si="62"/>
        <v>0.05</v>
      </c>
      <c r="J93" s="145">
        <f t="shared" si="62"/>
        <v>65</v>
      </c>
      <c r="K93" s="145">
        <f>(F93+G93+J93)*$K$5</f>
        <v>19.086</v>
      </c>
      <c r="L93" s="145">
        <f>(F93+G93+J93+K93)*$L$5</f>
        <v>30.34674</v>
      </c>
      <c r="M93" s="120">
        <f t="shared" ref="M93:M97" si="64">F93+G93+J93+K93+L93</f>
        <v>367.53274</v>
      </c>
      <c r="N93" s="121"/>
      <c r="O93" s="136">
        <f t="shared" ref="O93:O97" si="65">M93*E93</f>
        <v>181884.6023712</v>
      </c>
      <c r="P93" s="136"/>
      <c r="Q93" s="132"/>
    </row>
    <row r="94" s="102" customFormat="1" ht="161" customHeight="1" outlineLevel="1" spans="1:17">
      <c r="A94" s="74"/>
      <c r="B94" s="74"/>
      <c r="C94" s="137"/>
      <c r="D94" s="74"/>
      <c r="E94" s="149"/>
      <c r="F94" s="150"/>
      <c r="G94" s="146"/>
      <c r="H94" s="150"/>
      <c r="I94" s="169"/>
      <c r="J94" s="146"/>
      <c r="K94" s="146"/>
      <c r="L94" s="146"/>
      <c r="M94" s="122"/>
      <c r="N94" s="123"/>
      <c r="O94" s="140"/>
      <c r="P94" s="140"/>
      <c r="Q94" s="171" t="s">
        <v>215</v>
      </c>
    </row>
    <row r="95" s="102" customFormat="1" outlineLevel="1" spans="1:17">
      <c r="A95" s="72">
        <v>67</v>
      </c>
      <c r="B95" s="72" t="s">
        <v>216</v>
      </c>
      <c r="C95" s="72" t="s">
        <v>217</v>
      </c>
      <c r="D95" s="72" t="s">
        <v>110</v>
      </c>
      <c r="E95" s="72">
        <v>14.3</v>
      </c>
      <c r="F95" s="114">
        <f>20+135+50</f>
        <v>205</v>
      </c>
      <c r="G95" s="109">
        <f t="shared" si="63"/>
        <v>368</v>
      </c>
      <c r="H95" s="114">
        <v>320</v>
      </c>
      <c r="I95" s="83">
        <v>0.15</v>
      </c>
      <c r="J95" s="127">
        <v>155</v>
      </c>
      <c r="K95" s="109">
        <f>(F95+G95+J95)*$K$5</f>
        <v>43.68</v>
      </c>
      <c r="L95" s="109">
        <f>(F95+G95+J95+K95)*$L$5</f>
        <v>69.4512</v>
      </c>
      <c r="M95" s="120">
        <f t="shared" si="64"/>
        <v>841.1312</v>
      </c>
      <c r="N95" s="121"/>
      <c r="O95" s="109">
        <f t="shared" si="65"/>
        <v>12028.17616</v>
      </c>
      <c r="P95" s="165"/>
      <c r="Q95" s="131"/>
    </row>
    <row r="96" s="102" customFormat="1" outlineLevel="1" spans="1:17">
      <c r="A96" s="74"/>
      <c r="B96" s="74"/>
      <c r="C96" s="74"/>
      <c r="D96" s="74"/>
      <c r="E96" s="74"/>
      <c r="F96" s="115"/>
      <c r="G96" s="111"/>
      <c r="H96" s="115"/>
      <c r="I96" s="86"/>
      <c r="J96" s="128"/>
      <c r="K96" s="111"/>
      <c r="L96" s="111"/>
      <c r="M96" s="124"/>
      <c r="N96" s="125"/>
      <c r="O96" s="111"/>
      <c r="P96" s="167"/>
      <c r="Q96" s="131"/>
    </row>
    <row r="97" s="102" customFormat="1" ht="67.5" outlineLevel="1" spans="1:17">
      <c r="A97" s="53">
        <v>68</v>
      </c>
      <c r="B97" s="53" t="s">
        <v>35</v>
      </c>
      <c r="C97" s="53" t="s">
        <v>218</v>
      </c>
      <c r="D97" s="53" t="s">
        <v>110</v>
      </c>
      <c r="E97" s="53">
        <v>2.72</v>
      </c>
      <c r="F97" s="107">
        <v>185</v>
      </c>
      <c r="G97" s="55">
        <f t="shared" si="63"/>
        <v>278.25</v>
      </c>
      <c r="H97" s="107">
        <v>265</v>
      </c>
      <c r="I97" s="77">
        <v>0.05</v>
      </c>
      <c r="J97" s="62">
        <v>85</v>
      </c>
      <c r="K97" s="55">
        <f>(F97+G97+J97)*$K$5</f>
        <v>32.895</v>
      </c>
      <c r="L97" s="55">
        <f>(F97+G97+J97+K97)*$L$5</f>
        <v>52.30305</v>
      </c>
      <c r="M97" s="55">
        <f t="shared" si="64"/>
        <v>633.44805</v>
      </c>
      <c r="N97" s="55"/>
      <c r="O97" s="55">
        <f t="shared" si="65"/>
        <v>1722.978696</v>
      </c>
      <c r="P97" s="119"/>
      <c r="Q97" s="131"/>
    </row>
    <row r="98" s="102" customFormat="1" spans="1:17">
      <c r="A98" s="53"/>
      <c r="B98" s="53" t="s">
        <v>219</v>
      </c>
      <c r="C98" s="53"/>
      <c r="D98" s="53"/>
      <c r="E98" s="53"/>
      <c r="F98" s="105"/>
      <c r="G98" s="55"/>
      <c r="H98" s="105"/>
      <c r="I98" s="65"/>
      <c r="J98" s="55"/>
      <c r="K98" s="55"/>
      <c r="L98" s="55"/>
      <c r="M98" s="55">
        <f>SUM(O99:O348)</f>
        <v>1508923.8853057</v>
      </c>
      <c r="N98" s="55"/>
      <c r="O98" s="55"/>
      <c r="P98" s="119"/>
      <c r="Q98" s="131"/>
    </row>
    <row r="99" s="102" customFormat="1" spans="1:17">
      <c r="A99" s="53"/>
      <c r="B99" s="53" t="s">
        <v>220</v>
      </c>
      <c r="C99" s="53"/>
      <c r="D99" s="53"/>
      <c r="E99" s="53"/>
      <c r="F99" s="105"/>
      <c r="G99" s="55"/>
      <c r="H99" s="105"/>
      <c r="I99" s="65"/>
      <c r="J99" s="55"/>
      <c r="K99" s="55"/>
      <c r="L99" s="55"/>
      <c r="M99" s="55"/>
      <c r="N99" s="55"/>
      <c r="O99" s="55"/>
      <c r="P99" s="119"/>
      <c r="Q99" s="131"/>
    </row>
    <row r="100" s="102" customFormat="1" ht="45" outlineLevel="1" spans="1:17">
      <c r="A100" s="53">
        <v>69</v>
      </c>
      <c r="B100" s="53" t="s">
        <v>221</v>
      </c>
      <c r="C100" s="53" t="s">
        <v>222</v>
      </c>
      <c r="D100" s="53" t="s">
        <v>110</v>
      </c>
      <c r="E100" s="53">
        <v>3.82</v>
      </c>
      <c r="F100" s="105">
        <f t="shared" ref="F100:J100" si="66">F21</f>
        <v>190</v>
      </c>
      <c r="G100" s="55">
        <f t="shared" ref="G100:G102" si="67">H100*(1+I100)</f>
        <v>315</v>
      </c>
      <c r="H100" s="105">
        <f t="shared" si="66"/>
        <v>300</v>
      </c>
      <c r="I100" s="65">
        <f t="shared" si="66"/>
        <v>0.05</v>
      </c>
      <c r="J100" s="55">
        <f t="shared" si="66"/>
        <v>150</v>
      </c>
      <c r="K100" s="55">
        <f>(F100+G100+J100)*$K$5</f>
        <v>39.3</v>
      </c>
      <c r="L100" s="55">
        <f>(F100+G100+J100+K100)*$L$5</f>
        <v>62.487</v>
      </c>
      <c r="M100" s="55">
        <f t="shared" ref="M100:M102" si="68">F100+G100+J100+K100+L100</f>
        <v>756.787</v>
      </c>
      <c r="N100" s="55"/>
      <c r="O100" s="55">
        <f t="shared" ref="O100:O102" si="69">M100*E100</f>
        <v>2890.92634</v>
      </c>
      <c r="P100" s="119" t="str">
        <f>P76</f>
        <v>厂家定制</v>
      </c>
      <c r="Q100" s="131"/>
    </row>
    <row r="101" s="102" customFormat="1" ht="45" outlineLevel="1" spans="1:17">
      <c r="A101" s="53">
        <v>70</v>
      </c>
      <c r="B101" s="53" t="s">
        <v>223</v>
      </c>
      <c r="C101" s="53" t="s">
        <v>224</v>
      </c>
      <c r="D101" s="53" t="s">
        <v>110</v>
      </c>
      <c r="E101" s="53">
        <v>9.83</v>
      </c>
      <c r="F101" s="107">
        <v>185</v>
      </c>
      <c r="G101" s="55">
        <f t="shared" si="67"/>
        <v>336</v>
      </c>
      <c r="H101" s="107">
        <v>320</v>
      </c>
      <c r="I101" s="77">
        <v>0.05</v>
      </c>
      <c r="J101" s="62">
        <v>35</v>
      </c>
      <c r="K101" s="55">
        <f>(F101+G101+J101)*$K$5</f>
        <v>33.36</v>
      </c>
      <c r="L101" s="55">
        <f>(F101+G101+J101+K101)*$L$5</f>
        <v>53.0424</v>
      </c>
      <c r="M101" s="55">
        <f t="shared" si="68"/>
        <v>642.4024</v>
      </c>
      <c r="N101" s="55"/>
      <c r="O101" s="55">
        <f t="shared" si="69"/>
        <v>6314.815592</v>
      </c>
      <c r="P101" s="119"/>
      <c r="Q101" s="131"/>
    </row>
    <row r="102" s="102" customFormat="1" ht="36" customHeight="1" outlineLevel="1" spans="1:18">
      <c r="A102" s="72">
        <v>71</v>
      </c>
      <c r="B102" s="72" t="s">
        <v>225</v>
      </c>
      <c r="C102" s="72" t="s">
        <v>226</v>
      </c>
      <c r="D102" s="72" t="s">
        <v>110</v>
      </c>
      <c r="E102" s="72">
        <v>27.79</v>
      </c>
      <c r="F102" s="114">
        <v>260</v>
      </c>
      <c r="G102" s="109">
        <f t="shared" si="67"/>
        <v>441</v>
      </c>
      <c r="H102" s="114">
        <v>420</v>
      </c>
      <c r="I102" s="83">
        <v>0.05</v>
      </c>
      <c r="J102" s="127">
        <v>164</v>
      </c>
      <c r="K102" s="109">
        <f>(F102+G102+J102)*$K$5</f>
        <v>51.9</v>
      </c>
      <c r="L102" s="109">
        <f>(F102+G102+J102+K102)*$L$5</f>
        <v>82.521</v>
      </c>
      <c r="M102" s="120">
        <f t="shared" si="68"/>
        <v>999.421</v>
      </c>
      <c r="N102" s="121"/>
      <c r="O102" s="109">
        <f t="shared" si="69"/>
        <v>27773.90959</v>
      </c>
      <c r="P102" s="165" t="str">
        <f>P100</f>
        <v>厂家定制</v>
      </c>
      <c r="Q102" s="131"/>
      <c r="R102" s="172"/>
    </row>
    <row r="103" s="102" customFormat="1" ht="28" customHeight="1" outlineLevel="1" spans="1:18">
      <c r="A103" s="74"/>
      <c r="B103" s="74"/>
      <c r="C103" s="74"/>
      <c r="D103" s="74"/>
      <c r="E103" s="74"/>
      <c r="F103" s="115"/>
      <c r="G103" s="111"/>
      <c r="H103" s="115"/>
      <c r="I103" s="86"/>
      <c r="J103" s="128"/>
      <c r="K103" s="111"/>
      <c r="L103" s="111"/>
      <c r="M103" s="124"/>
      <c r="N103" s="125"/>
      <c r="O103" s="111"/>
      <c r="P103" s="167"/>
      <c r="Q103" s="131"/>
      <c r="R103" s="172"/>
    </row>
    <row r="104" s="102" customFormat="1" ht="29" customHeight="1" outlineLevel="1" spans="1:18">
      <c r="A104" s="72">
        <v>72</v>
      </c>
      <c r="B104" s="72" t="s">
        <v>227</v>
      </c>
      <c r="C104" s="72" t="s">
        <v>228</v>
      </c>
      <c r="D104" s="72" t="s">
        <v>110</v>
      </c>
      <c r="E104" s="72">
        <v>10.83</v>
      </c>
      <c r="F104" s="114">
        <v>220</v>
      </c>
      <c r="G104" s="109">
        <f t="shared" ref="G104:G107" si="70">H104*(1+I104)</f>
        <v>273</v>
      </c>
      <c r="H104" s="114">
        <v>260</v>
      </c>
      <c r="I104" s="83">
        <v>0.05</v>
      </c>
      <c r="J104" s="127">
        <v>160</v>
      </c>
      <c r="K104" s="109">
        <f>(F104+G104+J104)*$K$5</f>
        <v>39.18</v>
      </c>
      <c r="L104" s="109">
        <f>(F104+G104+J104+K104)*$L$5</f>
        <v>62.2962</v>
      </c>
      <c r="M104" s="120">
        <f t="shared" ref="M104:M107" si="71">F104+G104+J104+K104+L104</f>
        <v>754.4762</v>
      </c>
      <c r="N104" s="121"/>
      <c r="O104" s="109">
        <f t="shared" ref="O104:O107" si="72">M104*E104</f>
        <v>8170.977246</v>
      </c>
      <c r="P104" s="165" t="str">
        <f>P100</f>
        <v>厂家定制</v>
      </c>
      <c r="Q104" s="131"/>
      <c r="R104" s="172"/>
    </row>
    <row r="105" s="102" customFormat="1" ht="29" customHeight="1" outlineLevel="1" spans="1:18">
      <c r="A105" s="74"/>
      <c r="B105" s="74"/>
      <c r="C105" s="74"/>
      <c r="D105" s="74"/>
      <c r="E105" s="74"/>
      <c r="F105" s="115"/>
      <c r="G105" s="111"/>
      <c r="H105" s="115"/>
      <c r="I105" s="86"/>
      <c r="J105" s="128"/>
      <c r="K105" s="111"/>
      <c r="L105" s="111"/>
      <c r="M105" s="124"/>
      <c r="N105" s="125"/>
      <c r="O105" s="111"/>
      <c r="P105" s="167"/>
      <c r="Q105" s="131"/>
      <c r="R105" s="172"/>
    </row>
    <row r="106" s="102" customFormat="1" ht="45" outlineLevel="1" spans="1:17">
      <c r="A106" s="53">
        <v>73</v>
      </c>
      <c r="B106" s="53" t="s">
        <v>229</v>
      </c>
      <c r="C106" s="53" t="s">
        <v>230</v>
      </c>
      <c r="D106" s="53" t="s">
        <v>144</v>
      </c>
      <c r="E106" s="53">
        <v>21.92</v>
      </c>
      <c r="F106" s="107">
        <v>25</v>
      </c>
      <c r="G106" s="55">
        <f t="shared" si="70"/>
        <v>36.75</v>
      </c>
      <c r="H106" s="107">
        <v>35</v>
      </c>
      <c r="I106" s="77">
        <v>0.05</v>
      </c>
      <c r="J106" s="62">
        <v>5</v>
      </c>
      <c r="K106" s="55">
        <f>(F106+G106+J106)*$K$5</f>
        <v>4.005</v>
      </c>
      <c r="L106" s="55">
        <f>(F106+G106+J106+K106)*$L$5</f>
        <v>6.36795</v>
      </c>
      <c r="M106" s="55">
        <f t="shared" si="71"/>
        <v>77.12295</v>
      </c>
      <c r="N106" s="55"/>
      <c r="O106" s="55">
        <f t="shared" si="72"/>
        <v>1690.535064</v>
      </c>
      <c r="P106" s="119"/>
      <c r="Q106" s="131"/>
    </row>
    <row r="107" s="102" customFormat="1" ht="45" outlineLevel="1" spans="1:17">
      <c r="A107" s="53">
        <v>74</v>
      </c>
      <c r="B107" s="53" t="s">
        <v>229</v>
      </c>
      <c r="C107" s="53" t="s">
        <v>231</v>
      </c>
      <c r="D107" s="53" t="s">
        <v>144</v>
      </c>
      <c r="E107" s="53">
        <v>247.28</v>
      </c>
      <c r="F107" s="107">
        <f>F106</f>
        <v>25</v>
      </c>
      <c r="G107" s="55">
        <f t="shared" si="70"/>
        <v>33.6</v>
      </c>
      <c r="H107" s="107">
        <v>32</v>
      </c>
      <c r="I107" s="77">
        <v>0.05</v>
      </c>
      <c r="J107" s="62">
        <v>5</v>
      </c>
      <c r="K107" s="55">
        <f>(F107+G107+J107)*$K$5</f>
        <v>3.816</v>
      </c>
      <c r="L107" s="55">
        <f>(F107+G107+J107+K107)*$L$5</f>
        <v>6.06744</v>
      </c>
      <c r="M107" s="55">
        <f t="shared" si="71"/>
        <v>73.48344</v>
      </c>
      <c r="N107" s="55"/>
      <c r="O107" s="55">
        <f t="shared" si="72"/>
        <v>18170.9850432</v>
      </c>
      <c r="P107" s="119"/>
      <c r="Q107" s="131"/>
    </row>
    <row r="108" s="102" customFormat="1" spans="1:17">
      <c r="A108" s="53"/>
      <c r="B108" s="53" t="s">
        <v>232</v>
      </c>
      <c r="C108" s="53"/>
      <c r="D108" s="53"/>
      <c r="E108" s="53"/>
      <c r="F108" s="105"/>
      <c r="G108" s="55"/>
      <c r="H108" s="105"/>
      <c r="I108" s="65"/>
      <c r="J108" s="55"/>
      <c r="K108" s="55"/>
      <c r="L108" s="55"/>
      <c r="M108" s="55"/>
      <c r="N108" s="55"/>
      <c r="O108" s="55"/>
      <c r="P108" s="119"/>
      <c r="Q108" s="131"/>
    </row>
    <row r="109" s="102" customFormat="1" ht="22.5" outlineLevel="1" spans="1:17">
      <c r="A109" s="53"/>
      <c r="B109" s="53" t="s">
        <v>233</v>
      </c>
      <c r="C109" s="53"/>
      <c r="D109" s="53"/>
      <c r="E109" s="53"/>
      <c r="F109" s="105"/>
      <c r="G109" s="55"/>
      <c r="H109" s="105"/>
      <c r="I109" s="65"/>
      <c r="J109" s="55"/>
      <c r="K109" s="55"/>
      <c r="L109" s="55"/>
      <c r="M109" s="55"/>
      <c r="N109" s="55"/>
      <c r="O109" s="55"/>
      <c r="P109" s="119"/>
      <c r="Q109" s="131"/>
    </row>
    <row r="110" s="102" customFormat="1" ht="30" customHeight="1" outlineLevel="1" spans="1:18">
      <c r="A110" s="32">
        <v>75</v>
      </c>
      <c r="B110" s="32" t="s">
        <v>234</v>
      </c>
      <c r="C110" s="151" t="s">
        <v>235</v>
      </c>
      <c r="D110" s="32" t="s">
        <v>110</v>
      </c>
      <c r="E110" s="32">
        <v>38.76</v>
      </c>
      <c r="F110" s="107">
        <v>150</v>
      </c>
      <c r="G110" s="109">
        <f>H110*(1+I110)</f>
        <v>237.6</v>
      </c>
      <c r="H110" s="114">
        <v>220</v>
      </c>
      <c r="I110" s="83">
        <v>0.08</v>
      </c>
      <c r="J110" s="127">
        <v>75</v>
      </c>
      <c r="K110" s="109">
        <f>(F110+G110+J110)*$K$5</f>
        <v>27.756</v>
      </c>
      <c r="L110" s="109">
        <f>(F110+G110+J110+K110)*$L$5</f>
        <v>44.13204</v>
      </c>
      <c r="M110" s="120">
        <f>F110+G110+J110+K110+L110</f>
        <v>534.48804</v>
      </c>
      <c r="N110" s="121"/>
      <c r="O110" s="109">
        <f>M110*E110</f>
        <v>20716.7564304</v>
      </c>
      <c r="P110" s="119" t="str">
        <f>P100</f>
        <v>厂家定制</v>
      </c>
      <c r="Q110" s="132" t="s">
        <v>207</v>
      </c>
      <c r="R110" s="172"/>
    </row>
    <row r="111" s="102" customFormat="1" ht="30" customHeight="1" outlineLevel="1" spans="1:18">
      <c r="A111" s="32"/>
      <c r="B111" s="32"/>
      <c r="C111" s="151"/>
      <c r="D111" s="32"/>
      <c r="E111" s="32"/>
      <c r="F111" s="107"/>
      <c r="G111" s="110"/>
      <c r="H111" s="117"/>
      <c r="I111" s="129"/>
      <c r="J111" s="130"/>
      <c r="K111" s="110"/>
      <c r="L111" s="110"/>
      <c r="M111" s="122"/>
      <c r="N111" s="123"/>
      <c r="O111" s="110"/>
      <c r="P111" s="119"/>
      <c r="Q111" s="132"/>
      <c r="R111" s="172"/>
    </row>
    <row r="112" s="102" customFormat="1" ht="30" customHeight="1" outlineLevel="1" spans="1:18">
      <c r="A112" s="32"/>
      <c r="B112" s="32"/>
      <c r="C112" s="151"/>
      <c r="D112" s="32"/>
      <c r="E112" s="32"/>
      <c r="F112" s="107"/>
      <c r="G112" s="111"/>
      <c r="H112" s="115"/>
      <c r="I112" s="86"/>
      <c r="J112" s="128"/>
      <c r="K112" s="111"/>
      <c r="L112" s="111"/>
      <c r="M112" s="124"/>
      <c r="N112" s="125"/>
      <c r="O112" s="111"/>
      <c r="P112" s="119"/>
      <c r="Q112" s="132"/>
      <c r="R112" s="172"/>
    </row>
    <row r="113" s="102" customFormat="1" ht="22.5" outlineLevel="1" spans="1:17">
      <c r="A113" s="53"/>
      <c r="B113" s="53" t="s">
        <v>236</v>
      </c>
      <c r="C113" s="53"/>
      <c r="D113" s="53"/>
      <c r="E113" s="53"/>
      <c r="F113" s="105"/>
      <c r="G113" s="55"/>
      <c r="H113" s="105"/>
      <c r="I113" s="65"/>
      <c r="J113" s="55"/>
      <c r="K113" s="55"/>
      <c r="L113" s="55"/>
      <c r="M113" s="55"/>
      <c r="N113" s="55"/>
      <c r="O113" s="55"/>
      <c r="P113" s="119"/>
      <c r="Q113" s="131"/>
    </row>
    <row r="114" s="102" customFormat="1" ht="20" customHeight="1" outlineLevel="1" spans="1:18">
      <c r="A114" s="152">
        <v>76</v>
      </c>
      <c r="B114" s="152" t="s">
        <v>234</v>
      </c>
      <c r="C114" s="153" t="s">
        <v>235</v>
      </c>
      <c r="D114" s="152" t="s">
        <v>110</v>
      </c>
      <c r="E114" s="152">
        <v>38.76</v>
      </c>
      <c r="F114" s="116">
        <f t="shared" ref="F114:J114" si="73">F110</f>
        <v>150</v>
      </c>
      <c r="G114" s="109">
        <f>H114*(1+I114)</f>
        <v>237.6</v>
      </c>
      <c r="H114" s="116">
        <f t="shared" si="73"/>
        <v>220</v>
      </c>
      <c r="I114" s="89">
        <f t="shared" si="73"/>
        <v>0.08</v>
      </c>
      <c r="J114" s="109">
        <f t="shared" si="73"/>
        <v>75</v>
      </c>
      <c r="K114" s="109">
        <f>(F114+G114+J114)*$K$5</f>
        <v>27.756</v>
      </c>
      <c r="L114" s="109">
        <f>(F114+G114+J114+K114)*$L$5</f>
        <v>44.13204</v>
      </c>
      <c r="M114" s="120">
        <f>F114+G114+J114+K114+L114</f>
        <v>534.48804</v>
      </c>
      <c r="N114" s="121"/>
      <c r="O114" s="109">
        <f>M114*E114</f>
        <v>20716.7564304</v>
      </c>
      <c r="P114" s="136" t="str">
        <f>P100</f>
        <v>厂家定制</v>
      </c>
      <c r="Q114" s="132" t="s">
        <v>207</v>
      </c>
      <c r="R114" s="172"/>
    </row>
    <row r="115" s="102" customFormat="1" ht="20" customHeight="1" outlineLevel="1" spans="1:18">
      <c r="A115" s="154"/>
      <c r="B115" s="154"/>
      <c r="C115" s="155"/>
      <c r="D115" s="154"/>
      <c r="E115" s="154"/>
      <c r="F115" s="156"/>
      <c r="G115" s="110"/>
      <c r="H115" s="156"/>
      <c r="I115" s="94"/>
      <c r="J115" s="110"/>
      <c r="K115" s="110"/>
      <c r="L115" s="110"/>
      <c r="M115" s="122"/>
      <c r="N115" s="123"/>
      <c r="O115" s="110"/>
      <c r="P115" s="170"/>
      <c r="Q115" s="132"/>
      <c r="R115" s="172"/>
    </row>
    <row r="116" s="102" customFormat="1" ht="20" customHeight="1" outlineLevel="1" spans="1:18">
      <c r="A116" s="154"/>
      <c r="B116" s="154"/>
      <c r="C116" s="155"/>
      <c r="D116" s="154"/>
      <c r="E116" s="154"/>
      <c r="F116" s="156"/>
      <c r="G116" s="110"/>
      <c r="H116" s="156"/>
      <c r="I116" s="94"/>
      <c r="J116" s="110"/>
      <c r="K116" s="110"/>
      <c r="L116" s="110"/>
      <c r="M116" s="122"/>
      <c r="N116" s="123"/>
      <c r="O116" s="110"/>
      <c r="P116" s="170"/>
      <c r="Q116" s="132"/>
      <c r="R116" s="172"/>
    </row>
    <row r="117" s="102" customFormat="1" ht="20" customHeight="1" outlineLevel="1" spans="1:18">
      <c r="A117" s="157"/>
      <c r="B117" s="157"/>
      <c r="C117" s="158"/>
      <c r="D117" s="157"/>
      <c r="E117" s="157"/>
      <c r="F117" s="159"/>
      <c r="G117" s="111"/>
      <c r="H117" s="159"/>
      <c r="I117" s="90"/>
      <c r="J117" s="111"/>
      <c r="K117" s="111"/>
      <c r="L117" s="111"/>
      <c r="M117" s="124"/>
      <c r="N117" s="125"/>
      <c r="O117" s="111"/>
      <c r="P117" s="140"/>
      <c r="Q117" s="132"/>
      <c r="R117" s="172"/>
    </row>
    <row r="118" s="102" customFormat="1" ht="22.5" outlineLevel="1" spans="1:17">
      <c r="A118" s="53"/>
      <c r="B118" s="53" t="s">
        <v>237</v>
      </c>
      <c r="C118" s="53"/>
      <c r="D118" s="53"/>
      <c r="E118" s="53"/>
      <c r="F118" s="105"/>
      <c r="G118" s="55"/>
      <c r="H118" s="105"/>
      <c r="I118" s="65"/>
      <c r="J118" s="55"/>
      <c r="K118" s="55"/>
      <c r="L118" s="55"/>
      <c r="M118" s="55"/>
      <c r="N118" s="55"/>
      <c r="O118" s="55"/>
      <c r="P118" s="119"/>
      <c r="Q118" s="131"/>
    </row>
    <row r="119" s="102" customFormat="1" ht="78.75" outlineLevel="1" spans="1:17">
      <c r="A119" s="53">
        <v>77</v>
      </c>
      <c r="B119" s="53" t="s">
        <v>238</v>
      </c>
      <c r="C119" s="106" t="s">
        <v>239</v>
      </c>
      <c r="D119" s="53" t="s">
        <v>110</v>
      </c>
      <c r="E119" s="53">
        <v>15.87</v>
      </c>
      <c r="F119" s="107">
        <v>35</v>
      </c>
      <c r="G119" s="55">
        <f t="shared" ref="G119:G121" si="74">H119*(1+I119)</f>
        <v>26.25</v>
      </c>
      <c r="H119" s="107">
        <v>25</v>
      </c>
      <c r="I119" s="77">
        <v>0.05</v>
      </c>
      <c r="J119" s="62">
        <v>15</v>
      </c>
      <c r="K119" s="55">
        <f>(F119+G119+J119)*$K$5</f>
        <v>4.575</v>
      </c>
      <c r="L119" s="55">
        <f>(F119+G119+J119+K119)*$L$5</f>
        <v>7.27425</v>
      </c>
      <c r="M119" s="55">
        <f t="shared" ref="M119:M121" si="75">F119+G119+J119+K119+L119</f>
        <v>88.09925</v>
      </c>
      <c r="N119" s="55"/>
      <c r="O119" s="55">
        <f t="shared" ref="O119:O121" si="76">M119*E119</f>
        <v>1398.1350975</v>
      </c>
      <c r="P119" s="119"/>
      <c r="Q119" s="131"/>
    </row>
    <row r="120" s="102" customFormat="1" ht="45" outlineLevel="1" spans="1:17">
      <c r="A120" s="53">
        <v>78</v>
      </c>
      <c r="B120" s="53" t="s">
        <v>240</v>
      </c>
      <c r="C120" s="53" t="s">
        <v>241</v>
      </c>
      <c r="D120" s="53" t="s">
        <v>144</v>
      </c>
      <c r="E120" s="53">
        <v>15.56</v>
      </c>
      <c r="F120" s="107">
        <v>15</v>
      </c>
      <c r="G120" s="55">
        <f t="shared" si="74"/>
        <v>29.4</v>
      </c>
      <c r="H120" s="107">
        <v>28</v>
      </c>
      <c r="I120" s="77">
        <v>0.05</v>
      </c>
      <c r="J120" s="62">
        <v>1</v>
      </c>
      <c r="K120" s="55">
        <f>(F120+G120+J120)*$K$5</f>
        <v>2.724</v>
      </c>
      <c r="L120" s="55">
        <f>(F120+G120+J120+K120)*$L$5</f>
        <v>4.33116</v>
      </c>
      <c r="M120" s="55">
        <f t="shared" si="75"/>
        <v>52.45516</v>
      </c>
      <c r="N120" s="55"/>
      <c r="O120" s="55">
        <f t="shared" si="76"/>
        <v>816.2022896</v>
      </c>
      <c r="P120" s="119"/>
      <c r="Q120" s="131"/>
    </row>
    <row r="121" s="102" customFormat="1" ht="56.25" outlineLevel="1" spans="1:17">
      <c r="A121" s="53">
        <v>79</v>
      </c>
      <c r="B121" s="53" t="s">
        <v>128</v>
      </c>
      <c r="C121" s="141" t="s">
        <v>242</v>
      </c>
      <c r="D121" s="53" t="s">
        <v>110</v>
      </c>
      <c r="E121" s="53">
        <v>36.57</v>
      </c>
      <c r="F121" s="107">
        <v>95</v>
      </c>
      <c r="G121" s="55">
        <f t="shared" si="74"/>
        <v>89.25</v>
      </c>
      <c r="H121" s="107">
        <v>85</v>
      </c>
      <c r="I121" s="77">
        <v>0.05</v>
      </c>
      <c r="J121" s="62">
        <f>25+15+48</f>
        <v>88</v>
      </c>
      <c r="K121" s="55">
        <f>(F121+G121+J121)*$K$5</f>
        <v>16.335</v>
      </c>
      <c r="L121" s="55">
        <f>(F121+G121+J121+K121)*$L$5</f>
        <v>25.97265</v>
      </c>
      <c r="M121" s="55">
        <f t="shared" si="75"/>
        <v>314.55765</v>
      </c>
      <c r="N121" s="55"/>
      <c r="O121" s="55">
        <f t="shared" si="76"/>
        <v>11503.3732605</v>
      </c>
      <c r="P121" s="119"/>
      <c r="Q121" s="132" t="s">
        <v>210</v>
      </c>
    </row>
    <row r="122" s="102" customFormat="1" spans="1:17">
      <c r="A122" s="53"/>
      <c r="B122" s="53" t="s">
        <v>243</v>
      </c>
      <c r="C122" s="53"/>
      <c r="D122" s="53"/>
      <c r="E122" s="53"/>
      <c r="F122" s="105"/>
      <c r="G122" s="55"/>
      <c r="H122" s="105"/>
      <c r="I122" s="65"/>
      <c r="J122" s="55"/>
      <c r="K122" s="55"/>
      <c r="L122" s="55"/>
      <c r="M122" s="55"/>
      <c r="N122" s="55"/>
      <c r="O122" s="55"/>
      <c r="P122" s="119"/>
      <c r="Q122" s="131"/>
    </row>
    <row r="123" s="102" customFormat="1" ht="67.5" outlineLevel="1" spans="1:18">
      <c r="A123" s="53">
        <v>80</v>
      </c>
      <c r="B123" s="53" t="s">
        <v>244</v>
      </c>
      <c r="C123" s="53" t="s">
        <v>245</v>
      </c>
      <c r="D123" s="53" t="s">
        <v>110</v>
      </c>
      <c r="E123" s="53">
        <v>75.62</v>
      </c>
      <c r="F123" s="113">
        <f t="shared" ref="F123:J123" si="77">F20</f>
        <v>190</v>
      </c>
      <c r="G123" s="58">
        <f t="shared" ref="G123:G127" si="78">H123*(1+I123)</f>
        <v>315</v>
      </c>
      <c r="H123" s="113">
        <f t="shared" si="77"/>
        <v>300</v>
      </c>
      <c r="I123" s="68">
        <v>0.05</v>
      </c>
      <c r="J123" s="113">
        <f t="shared" si="77"/>
        <v>150</v>
      </c>
      <c r="K123" s="55">
        <f>(F123+G123+J123)*$K$5</f>
        <v>39.3</v>
      </c>
      <c r="L123" s="55">
        <f>(F123+G123+J123+K123)*$L$5</f>
        <v>62.487</v>
      </c>
      <c r="M123" s="55">
        <f t="shared" ref="M123:M127" si="79">F123+G123+J123+K123+L123</f>
        <v>756.787</v>
      </c>
      <c r="N123" s="55"/>
      <c r="O123" s="55">
        <f t="shared" ref="O123:O127" si="80">M123*E123</f>
        <v>57228.23294</v>
      </c>
      <c r="P123" s="119" t="str">
        <f>P104</f>
        <v>厂家定制</v>
      </c>
      <c r="Q123" s="131"/>
      <c r="R123" s="172"/>
    </row>
    <row r="124" s="102" customFormat="1" outlineLevel="1" spans="1:18">
      <c r="A124" s="53">
        <v>81</v>
      </c>
      <c r="B124" s="53" t="s">
        <v>244</v>
      </c>
      <c r="C124" s="53" t="s">
        <v>246</v>
      </c>
      <c r="D124" s="53" t="s">
        <v>110</v>
      </c>
      <c r="E124" s="53">
        <v>21.16</v>
      </c>
      <c r="F124" s="105">
        <f>F20</f>
        <v>190</v>
      </c>
      <c r="G124" s="109">
        <f t="shared" si="78"/>
        <v>315</v>
      </c>
      <c r="H124" s="116">
        <f t="shared" ref="H124:J124" si="81">H123</f>
        <v>300</v>
      </c>
      <c r="I124" s="89">
        <f t="shared" si="81"/>
        <v>0.05</v>
      </c>
      <c r="J124" s="105">
        <f>J20</f>
        <v>150</v>
      </c>
      <c r="K124" s="109">
        <f>(F124+G124+J124)*$K$5</f>
        <v>39.3</v>
      </c>
      <c r="L124" s="109">
        <f>(F124+G124+J124+K124)*$L$5</f>
        <v>62.487</v>
      </c>
      <c r="M124" s="120">
        <f t="shared" si="79"/>
        <v>756.787</v>
      </c>
      <c r="N124" s="121"/>
      <c r="O124" s="109">
        <f t="shared" si="80"/>
        <v>16013.61292</v>
      </c>
      <c r="P124" s="119" t="str">
        <f>P123</f>
        <v>厂家定制</v>
      </c>
      <c r="Q124" s="131"/>
      <c r="R124" s="172"/>
    </row>
    <row r="125" s="102" customFormat="1" outlineLevel="1" spans="1:18">
      <c r="A125" s="53"/>
      <c r="B125" s="53"/>
      <c r="C125" s="53"/>
      <c r="D125" s="53"/>
      <c r="E125" s="53"/>
      <c r="F125" s="105"/>
      <c r="G125" s="110"/>
      <c r="H125" s="156"/>
      <c r="I125" s="94"/>
      <c r="J125" s="105"/>
      <c r="K125" s="110"/>
      <c r="L125" s="110"/>
      <c r="M125" s="122"/>
      <c r="N125" s="123"/>
      <c r="O125" s="110"/>
      <c r="P125" s="119"/>
      <c r="Q125" s="131"/>
      <c r="R125" s="172"/>
    </row>
    <row r="126" s="102" customFormat="1" ht="31" customHeight="1" outlineLevel="1" spans="1:18">
      <c r="A126" s="53"/>
      <c r="B126" s="53"/>
      <c r="C126" s="53"/>
      <c r="D126" s="53"/>
      <c r="E126" s="53"/>
      <c r="F126" s="105"/>
      <c r="G126" s="111"/>
      <c r="H126" s="159"/>
      <c r="I126" s="90"/>
      <c r="J126" s="105"/>
      <c r="K126" s="111"/>
      <c r="L126" s="111"/>
      <c r="M126" s="124"/>
      <c r="N126" s="125"/>
      <c r="O126" s="111"/>
      <c r="P126" s="119"/>
      <c r="Q126" s="131"/>
      <c r="R126" s="172"/>
    </row>
    <row r="127" s="102" customFormat="1" outlineLevel="1" spans="1:18">
      <c r="A127" s="72">
        <v>82</v>
      </c>
      <c r="B127" s="72" t="s">
        <v>244</v>
      </c>
      <c r="C127" s="72" t="s">
        <v>247</v>
      </c>
      <c r="D127" s="72" t="s">
        <v>110</v>
      </c>
      <c r="E127" s="72">
        <v>25.2</v>
      </c>
      <c r="F127" s="116">
        <f>F124</f>
        <v>190</v>
      </c>
      <c r="G127" s="109">
        <f t="shared" si="78"/>
        <v>315</v>
      </c>
      <c r="H127" s="116">
        <f t="shared" ref="F127:J127" si="82">H123</f>
        <v>300</v>
      </c>
      <c r="I127" s="89">
        <f t="shared" si="82"/>
        <v>0.05</v>
      </c>
      <c r="J127" s="109">
        <f>J124</f>
        <v>150</v>
      </c>
      <c r="K127" s="109">
        <f>(F127+G127+J127)*$K$5</f>
        <v>39.3</v>
      </c>
      <c r="L127" s="109">
        <f>(F127+G127+J127+K127)*$L$5</f>
        <v>62.487</v>
      </c>
      <c r="M127" s="120">
        <f t="shared" si="79"/>
        <v>756.787</v>
      </c>
      <c r="N127" s="121"/>
      <c r="O127" s="109">
        <f t="shared" si="80"/>
        <v>19071.0324</v>
      </c>
      <c r="P127" s="136" t="str">
        <f>P123</f>
        <v>厂家定制</v>
      </c>
      <c r="Q127" s="131"/>
      <c r="R127" s="172"/>
    </row>
    <row r="128" s="102" customFormat="1" ht="28" customHeight="1" outlineLevel="1" spans="1:18">
      <c r="A128" s="92"/>
      <c r="B128" s="92"/>
      <c r="C128" s="92"/>
      <c r="D128" s="92"/>
      <c r="E128" s="92"/>
      <c r="F128" s="156"/>
      <c r="G128" s="110"/>
      <c r="H128" s="156"/>
      <c r="I128" s="94"/>
      <c r="J128" s="110"/>
      <c r="K128" s="110"/>
      <c r="L128" s="110"/>
      <c r="M128" s="122"/>
      <c r="N128" s="123"/>
      <c r="O128" s="110"/>
      <c r="P128" s="170"/>
      <c r="Q128" s="131"/>
      <c r="R128" s="172"/>
    </row>
    <row r="129" s="102" customFormat="1" outlineLevel="1" spans="1:18">
      <c r="A129" s="74"/>
      <c r="B129" s="74"/>
      <c r="C129" s="74"/>
      <c r="D129" s="74"/>
      <c r="E129" s="74"/>
      <c r="F129" s="159"/>
      <c r="G129" s="111"/>
      <c r="H129" s="159"/>
      <c r="I129" s="90"/>
      <c r="J129" s="111"/>
      <c r="K129" s="111"/>
      <c r="L129" s="111"/>
      <c r="M129" s="124"/>
      <c r="N129" s="125"/>
      <c r="O129" s="111"/>
      <c r="P129" s="140"/>
      <c r="Q129" s="131"/>
      <c r="R129" s="172"/>
    </row>
    <row r="130" s="102" customFormat="1" ht="78.75" outlineLevel="1" spans="1:17">
      <c r="A130" s="53">
        <v>83</v>
      </c>
      <c r="B130" s="53" t="s">
        <v>238</v>
      </c>
      <c r="C130" s="106" t="s">
        <v>248</v>
      </c>
      <c r="D130" s="53" t="s">
        <v>110</v>
      </c>
      <c r="E130" s="53">
        <v>190.66</v>
      </c>
      <c r="F130" s="105">
        <f t="shared" ref="F130:J130" si="83">F119</f>
        <v>35</v>
      </c>
      <c r="G130" s="55">
        <f t="shared" ref="G130:G132" si="84">H130*(1+I130)</f>
        <v>26.25</v>
      </c>
      <c r="H130" s="105">
        <f t="shared" si="83"/>
        <v>25</v>
      </c>
      <c r="I130" s="65">
        <f t="shared" si="83"/>
        <v>0.05</v>
      </c>
      <c r="J130" s="55">
        <f t="shared" si="83"/>
        <v>15</v>
      </c>
      <c r="K130" s="55">
        <f>(F130+G130+J130)*$K$5</f>
        <v>4.575</v>
      </c>
      <c r="L130" s="55">
        <f>(F130+G130+J130+K130)*$L$5</f>
        <v>7.27425</v>
      </c>
      <c r="M130" s="55">
        <f t="shared" ref="M130:M132" si="85">F130+G130+J130+K130+L130</f>
        <v>88.09925</v>
      </c>
      <c r="N130" s="55"/>
      <c r="O130" s="55">
        <f t="shared" ref="O130:O132" si="86">M130*E130</f>
        <v>16797.003005</v>
      </c>
      <c r="P130" s="119"/>
      <c r="Q130" s="132"/>
    </row>
    <row r="131" s="102" customFormat="1" ht="45" outlineLevel="1" spans="1:17">
      <c r="A131" s="53">
        <v>84</v>
      </c>
      <c r="B131" s="53" t="s">
        <v>240</v>
      </c>
      <c r="C131" s="53" t="s">
        <v>249</v>
      </c>
      <c r="D131" s="53" t="s">
        <v>144</v>
      </c>
      <c r="E131" s="53">
        <v>100.82</v>
      </c>
      <c r="F131" s="105">
        <f t="shared" ref="F131:J131" si="87">F120</f>
        <v>15</v>
      </c>
      <c r="G131" s="55">
        <f t="shared" si="84"/>
        <v>29.4</v>
      </c>
      <c r="H131" s="105">
        <f t="shared" si="87"/>
        <v>28</v>
      </c>
      <c r="I131" s="65">
        <f t="shared" si="87"/>
        <v>0.05</v>
      </c>
      <c r="J131" s="55">
        <f t="shared" si="87"/>
        <v>1</v>
      </c>
      <c r="K131" s="55">
        <f>(F131+G131+J131)*$K$5</f>
        <v>2.724</v>
      </c>
      <c r="L131" s="55">
        <f>(F131+G131+J131+K131)*$L$5</f>
        <v>4.33116</v>
      </c>
      <c r="M131" s="55">
        <f t="shared" si="85"/>
        <v>52.45516</v>
      </c>
      <c r="N131" s="55"/>
      <c r="O131" s="55">
        <f t="shared" si="86"/>
        <v>5288.5292312</v>
      </c>
      <c r="P131" s="119"/>
      <c r="Q131" s="131"/>
    </row>
    <row r="132" s="102" customFormat="1" outlineLevel="1" spans="1:17">
      <c r="A132" s="53">
        <v>85</v>
      </c>
      <c r="B132" s="53" t="s">
        <v>158</v>
      </c>
      <c r="C132" s="53" t="s">
        <v>250</v>
      </c>
      <c r="D132" s="53" t="s">
        <v>110</v>
      </c>
      <c r="E132" s="53">
        <v>95.76</v>
      </c>
      <c r="F132" s="108">
        <f t="shared" ref="F132:J132" si="88">F44</f>
        <v>35</v>
      </c>
      <c r="G132" s="109">
        <f t="shared" si="84"/>
        <v>126</v>
      </c>
      <c r="H132" s="173">
        <f t="shared" si="88"/>
        <v>120</v>
      </c>
      <c r="I132" s="180">
        <f t="shared" si="88"/>
        <v>0.05</v>
      </c>
      <c r="J132" s="181">
        <f t="shared" si="88"/>
        <v>220</v>
      </c>
      <c r="K132" s="109">
        <f>(F132+G132+J132)*$K$5</f>
        <v>22.86</v>
      </c>
      <c r="L132" s="109">
        <f>(F132+G132+J132+K132)*$L$5</f>
        <v>36.3474</v>
      </c>
      <c r="M132" s="120">
        <f t="shared" si="85"/>
        <v>440.2074</v>
      </c>
      <c r="N132" s="121"/>
      <c r="O132" s="109">
        <f t="shared" si="86"/>
        <v>42154.260624</v>
      </c>
      <c r="P132" s="119"/>
      <c r="Q132" s="131"/>
    </row>
    <row r="133" s="102" customFormat="1" outlineLevel="1" spans="1:17">
      <c r="A133" s="53"/>
      <c r="B133" s="53"/>
      <c r="C133" s="53"/>
      <c r="D133" s="53"/>
      <c r="E133" s="53"/>
      <c r="F133" s="108"/>
      <c r="G133" s="111"/>
      <c r="H133" s="174"/>
      <c r="I133" s="182"/>
      <c r="J133" s="183"/>
      <c r="K133" s="111"/>
      <c r="L133" s="111"/>
      <c r="M133" s="124"/>
      <c r="N133" s="125"/>
      <c r="O133" s="111"/>
      <c r="P133" s="119"/>
      <c r="Q133" s="131"/>
    </row>
    <row r="134" s="102" customFormat="1" outlineLevel="1" spans="1:17">
      <c r="A134" s="53">
        <v>86</v>
      </c>
      <c r="B134" s="53" t="s">
        <v>251</v>
      </c>
      <c r="C134" s="53" t="s">
        <v>252</v>
      </c>
      <c r="D134" s="53" t="s">
        <v>141</v>
      </c>
      <c r="E134" s="53">
        <v>1</v>
      </c>
      <c r="F134" s="107">
        <v>200</v>
      </c>
      <c r="G134" s="109">
        <f t="shared" ref="G134:G141" si="89">H134*(1+I134)</f>
        <v>1260.48</v>
      </c>
      <c r="H134" s="114">
        <f>0.8*2.4*650</f>
        <v>1248</v>
      </c>
      <c r="I134" s="83">
        <v>0.01</v>
      </c>
      <c r="J134" s="127">
        <v>150</v>
      </c>
      <c r="K134" s="109">
        <f>(F134+G134+J134)*$K$5</f>
        <v>96.6288</v>
      </c>
      <c r="L134" s="109">
        <f>(F134+G134+J134+K134)*$L$5</f>
        <v>153.639792</v>
      </c>
      <c r="M134" s="120">
        <f t="shared" ref="M134:M141" si="90">F134+G134+J134+K134+L134</f>
        <v>1860.748592</v>
      </c>
      <c r="N134" s="121"/>
      <c r="O134" s="109">
        <f t="shared" ref="O134:O141" si="91">M134*E134</f>
        <v>1860.748592</v>
      </c>
      <c r="P134" s="119"/>
      <c r="Q134" s="131"/>
    </row>
    <row r="135" s="102" customFormat="1" outlineLevel="1" spans="1:17">
      <c r="A135" s="53"/>
      <c r="B135" s="53"/>
      <c r="C135" s="53"/>
      <c r="D135" s="53"/>
      <c r="E135" s="53"/>
      <c r="F135" s="107"/>
      <c r="G135" s="111"/>
      <c r="H135" s="115"/>
      <c r="I135" s="86"/>
      <c r="J135" s="128"/>
      <c r="K135" s="111"/>
      <c r="L135" s="111"/>
      <c r="M135" s="124"/>
      <c r="N135" s="125"/>
      <c r="O135" s="111"/>
      <c r="P135" s="119"/>
      <c r="Q135" s="131"/>
    </row>
    <row r="136" s="102" customFormat="1" spans="1:17">
      <c r="A136" s="53"/>
      <c r="B136" s="53" t="s">
        <v>253</v>
      </c>
      <c r="C136" s="53"/>
      <c r="D136" s="53"/>
      <c r="E136" s="53"/>
      <c r="F136" s="105"/>
      <c r="G136" s="55"/>
      <c r="H136" s="105"/>
      <c r="I136" s="65"/>
      <c r="J136" s="55"/>
      <c r="K136" s="55"/>
      <c r="L136" s="55"/>
      <c r="M136" s="55"/>
      <c r="N136" s="55"/>
      <c r="O136" s="55"/>
      <c r="P136" s="119"/>
      <c r="Q136" s="131"/>
    </row>
    <row r="137" s="102" customFormat="1" ht="22.5" outlineLevel="1" spans="1:17">
      <c r="A137" s="53"/>
      <c r="B137" s="53" t="s">
        <v>254</v>
      </c>
      <c r="C137" s="53"/>
      <c r="D137" s="53"/>
      <c r="E137" s="53"/>
      <c r="F137" s="105"/>
      <c r="G137" s="55"/>
      <c r="H137" s="105"/>
      <c r="I137" s="65"/>
      <c r="J137" s="55"/>
      <c r="K137" s="55"/>
      <c r="L137" s="55"/>
      <c r="M137" s="55"/>
      <c r="N137" s="55"/>
      <c r="O137" s="55"/>
      <c r="P137" s="119"/>
      <c r="Q137" s="131"/>
    </row>
    <row r="138" s="102" customFormat="1" ht="67.5" outlineLevel="1" spans="1:18">
      <c r="A138" s="53">
        <v>87</v>
      </c>
      <c r="B138" s="53" t="s">
        <v>244</v>
      </c>
      <c r="C138" s="53" t="s">
        <v>245</v>
      </c>
      <c r="D138" s="53" t="s">
        <v>110</v>
      </c>
      <c r="E138" s="53">
        <v>20.23</v>
      </c>
      <c r="F138" s="105">
        <f>F123</f>
        <v>190</v>
      </c>
      <c r="G138" s="55">
        <f t="shared" si="89"/>
        <v>315</v>
      </c>
      <c r="H138" s="105">
        <f>H123</f>
        <v>300</v>
      </c>
      <c r="I138" s="65">
        <f t="shared" ref="F138:J138" si="92">I123</f>
        <v>0.05</v>
      </c>
      <c r="J138" s="55">
        <f t="shared" si="92"/>
        <v>150</v>
      </c>
      <c r="K138" s="55">
        <f>(F138+G138+J138)*$K$5</f>
        <v>39.3</v>
      </c>
      <c r="L138" s="55">
        <f>(F138+G138+J138+K138)*$L$5</f>
        <v>62.487</v>
      </c>
      <c r="M138" s="55">
        <f t="shared" si="90"/>
        <v>756.787</v>
      </c>
      <c r="N138" s="55"/>
      <c r="O138" s="55">
        <f t="shared" si="91"/>
        <v>15309.80101</v>
      </c>
      <c r="P138" s="119" t="str">
        <f>P123</f>
        <v>厂家定制</v>
      </c>
      <c r="Q138" s="131"/>
      <c r="R138" s="172"/>
    </row>
    <row r="139" s="102" customFormat="1" ht="78.75" outlineLevel="1" spans="1:17">
      <c r="A139" s="53">
        <v>88</v>
      </c>
      <c r="B139" s="53" t="s">
        <v>238</v>
      </c>
      <c r="C139" s="106" t="s">
        <v>255</v>
      </c>
      <c r="D139" s="53" t="s">
        <v>110</v>
      </c>
      <c r="E139" s="53">
        <v>2.96</v>
      </c>
      <c r="F139" s="105">
        <f t="shared" ref="F139:J139" si="93">F119</f>
        <v>35</v>
      </c>
      <c r="G139" s="55">
        <f t="shared" si="89"/>
        <v>26.25</v>
      </c>
      <c r="H139" s="105">
        <f t="shared" si="93"/>
        <v>25</v>
      </c>
      <c r="I139" s="65">
        <f t="shared" si="93"/>
        <v>0.05</v>
      </c>
      <c r="J139" s="55">
        <f t="shared" si="93"/>
        <v>15</v>
      </c>
      <c r="K139" s="55">
        <f>(F139+G139+J139)*$K$5</f>
        <v>4.575</v>
      </c>
      <c r="L139" s="55">
        <f>(F139+G139+J139+K139)*$L$5</f>
        <v>7.27425</v>
      </c>
      <c r="M139" s="55">
        <f t="shared" si="90"/>
        <v>88.09925</v>
      </c>
      <c r="N139" s="55"/>
      <c r="O139" s="55">
        <f t="shared" si="91"/>
        <v>260.77378</v>
      </c>
      <c r="P139" s="119"/>
      <c r="Q139" s="132"/>
    </row>
    <row r="140" s="102" customFormat="1" ht="45" outlineLevel="1" spans="1:17">
      <c r="A140" s="53">
        <v>89</v>
      </c>
      <c r="B140" s="53" t="s">
        <v>240</v>
      </c>
      <c r="C140" s="53" t="s">
        <v>249</v>
      </c>
      <c r="D140" s="53" t="s">
        <v>144</v>
      </c>
      <c r="E140" s="53">
        <v>6.85</v>
      </c>
      <c r="F140" s="105">
        <f t="shared" ref="F140:J140" si="94">F120</f>
        <v>15</v>
      </c>
      <c r="G140" s="55">
        <f t="shared" si="89"/>
        <v>29.4</v>
      </c>
      <c r="H140" s="105">
        <f t="shared" si="94"/>
        <v>28</v>
      </c>
      <c r="I140" s="65">
        <f t="shared" si="94"/>
        <v>0.05</v>
      </c>
      <c r="J140" s="55">
        <f t="shared" si="94"/>
        <v>1</v>
      </c>
      <c r="K140" s="55">
        <f>(F140+G140+J140)*$K$5</f>
        <v>2.724</v>
      </c>
      <c r="L140" s="55">
        <f>(F140+G140+J140+K140)*$L$5</f>
        <v>4.33116</v>
      </c>
      <c r="M140" s="55">
        <f t="shared" si="90"/>
        <v>52.45516</v>
      </c>
      <c r="N140" s="55"/>
      <c r="O140" s="55">
        <f t="shared" si="91"/>
        <v>359.317846</v>
      </c>
      <c r="P140" s="119"/>
      <c r="Q140" s="131"/>
    </row>
    <row r="141" s="102" customFormat="1" outlineLevel="1" spans="1:17">
      <c r="A141" s="53">
        <v>90</v>
      </c>
      <c r="B141" s="53" t="s">
        <v>158</v>
      </c>
      <c r="C141" s="53" t="s">
        <v>250</v>
      </c>
      <c r="D141" s="53" t="s">
        <v>110</v>
      </c>
      <c r="E141" s="53">
        <v>44.54</v>
      </c>
      <c r="F141" s="105">
        <f t="shared" ref="F141:J141" si="95">F132</f>
        <v>35</v>
      </c>
      <c r="G141" s="109">
        <f t="shared" si="89"/>
        <v>126</v>
      </c>
      <c r="H141" s="116">
        <f t="shared" si="95"/>
        <v>120</v>
      </c>
      <c r="I141" s="89">
        <f t="shared" si="95"/>
        <v>0.05</v>
      </c>
      <c r="J141" s="109">
        <f t="shared" si="95"/>
        <v>220</v>
      </c>
      <c r="K141" s="109">
        <f>(F141+G141+J141)*$K$5</f>
        <v>22.86</v>
      </c>
      <c r="L141" s="109">
        <f>(F141+G141+J141+K141)*$L$5</f>
        <v>36.3474</v>
      </c>
      <c r="M141" s="120">
        <f t="shared" si="90"/>
        <v>440.2074</v>
      </c>
      <c r="N141" s="121"/>
      <c r="O141" s="109">
        <f t="shared" si="91"/>
        <v>19606.837596</v>
      </c>
      <c r="P141" s="119"/>
      <c r="Q141" s="131"/>
    </row>
    <row r="142" s="102" customFormat="1" outlineLevel="1" spans="1:17">
      <c r="A142" s="53"/>
      <c r="B142" s="53"/>
      <c r="C142" s="53"/>
      <c r="D142" s="53"/>
      <c r="E142" s="53"/>
      <c r="F142" s="105"/>
      <c r="G142" s="111"/>
      <c r="H142" s="159"/>
      <c r="I142" s="90"/>
      <c r="J142" s="111"/>
      <c r="K142" s="111"/>
      <c r="L142" s="111"/>
      <c r="M142" s="124"/>
      <c r="N142" s="125"/>
      <c r="O142" s="111"/>
      <c r="P142" s="119"/>
      <c r="Q142" s="131"/>
    </row>
    <row r="143" s="102" customFormat="1" ht="22.5" outlineLevel="1" spans="1:17">
      <c r="A143" s="53"/>
      <c r="B143" s="53" t="s">
        <v>256</v>
      </c>
      <c r="C143" s="53"/>
      <c r="D143" s="53"/>
      <c r="E143" s="53"/>
      <c r="F143" s="105"/>
      <c r="G143" s="55"/>
      <c r="H143" s="105"/>
      <c r="I143" s="65"/>
      <c r="J143" s="55"/>
      <c r="K143" s="55"/>
      <c r="L143" s="55"/>
      <c r="M143" s="55"/>
      <c r="N143" s="55"/>
      <c r="O143" s="55"/>
      <c r="P143" s="119"/>
      <c r="Q143" s="131"/>
    </row>
    <row r="144" s="102" customFormat="1" ht="56.25" outlineLevel="1" spans="1:17">
      <c r="A144" s="53">
        <v>91</v>
      </c>
      <c r="B144" s="53" t="s">
        <v>128</v>
      </c>
      <c r="C144" s="53" t="s">
        <v>257</v>
      </c>
      <c r="D144" s="53" t="s">
        <v>110</v>
      </c>
      <c r="E144" s="53">
        <v>35.46</v>
      </c>
      <c r="F144" s="107">
        <v>155</v>
      </c>
      <c r="G144" s="55">
        <f t="shared" ref="G144:G148" si="96">H144*(1+I144)</f>
        <v>315</v>
      </c>
      <c r="H144" s="107">
        <f>H20</f>
        <v>300</v>
      </c>
      <c r="I144" s="77">
        <v>0.05</v>
      </c>
      <c r="J144" s="62">
        <v>80</v>
      </c>
      <c r="K144" s="55">
        <f>(F144+G144+J144)*$K$5</f>
        <v>33</v>
      </c>
      <c r="L144" s="55">
        <f>(F144+G144+J144+K144)*$L$5</f>
        <v>52.47</v>
      </c>
      <c r="M144" s="55">
        <f t="shared" ref="M144:M148" si="97">F144+G144+J144+K144+L144</f>
        <v>635.47</v>
      </c>
      <c r="N144" s="55"/>
      <c r="O144" s="55">
        <f t="shared" ref="O144:O148" si="98">M144*E144</f>
        <v>22533.7662</v>
      </c>
      <c r="P144" s="119" t="str">
        <f>P123</f>
        <v>厂家定制</v>
      </c>
      <c r="Q144" s="131"/>
    </row>
    <row r="145" s="102" customFormat="1" ht="45" outlineLevel="1" spans="1:17">
      <c r="A145" s="53">
        <v>92</v>
      </c>
      <c r="B145" s="53" t="s">
        <v>229</v>
      </c>
      <c r="C145" s="53" t="s">
        <v>258</v>
      </c>
      <c r="D145" s="53" t="s">
        <v>144</v>
      </c>
      <c r="E145" s="53">
        <v>12</v>
      </c>
      <c r="F145" s="105">
        <f t="shared" ref="F145:J145" si="99">F106</f>
        <v>25</v>
      </c>
      <c r="G145" s="55">
        <f t="shared" si="96"/>
        <v>36.75</v>
      </c>
      <c r="H145" s="105">
        <f t="shared" si="99"/>
        <v>35</v>
      </c>
      <c r="I145" s="65">
        <f t="shared" si="99"/>
        <v>0.05</v>
      </c>
      <c r="J145" s="55">
        <f t="shared" si="99"/>
        <v>5</v>
      </c>
      <c r="K145" s="55">
        <f>(F145+G145+J145)*$K$5</f>
        <v>4.005</v>
      </c>
      <c r="L145" s="55">
        <f>(F145+G145+J145+K145)*$L$5</f>
        <v>6.36795</v>
      </c>
      <c r="M145" s="55">
        <f t="shared" si="97"/>
        <v>77.12295</v>
      </c>
      <c r="N145" s="55"/>
      <c r="O145" s="55">
        <f t="shared" si="98"/>
        <v>925.4754</v>
      </c>
      <c r="P145" s="119"/>
      <c r="Q145" s="131"/>
    </row>
    <row r="146" s="102" customFormat="1" ht="45" outlineLevel="1" spans="1:17">
      <c r="A146" s="53">
        <v>93</v>
      </c>
      <c r="B146" s="53" t="s">
        <v>229</v>
      </c>
      <c r="C146" s="53" t="s">
        <v>259</v>
      </c>
      <c r="D146" s="53" t="s">
        <v>144</v>
      </c>
      <c r="E146" s="53">
        <v>1</v>
      </c>
      <c r="F146" s="105">
        <f t="shared" ref="F146:J146" si="100">F107</f>
        <v>25</v>
      </c>
      <c r="G146" s="55">
        <f t="shared" si="96"/>
        <v>33.6</v>
      </c>
      <c r="H146" s="105">
        <f t="shared" si="100"/>
        <v>32</v>
      </c>
      <c r="I146" s="65">
        <f t="shared" si="100"/>
        <v>0.05</v>
      </c>
      <c r="J146" s="55">
        <f t="shared" si="100"/>
        <v>5</v>
      </c>
      <c r="K146" s="55">
        <f>(F146+G146+J146)*$K$5</f>
        <v>3.816</v>
      </c>
      <c r="L146" s="55">
        <f>(F146+G146+J146+K146)*$L$5</f>
        <v>6.06744</v>
      </c>
      <c r="M146" s="55">
        <f t="shared" si="97"/>
        <v>73.48344</v>
      </c>
      <c r="N146" s="55"/>
      <c r="O146" s="55">
        <f t="shared" si="98"/>
        <v>73.48344</v>
      </c>
      <c r="P146" s="119"/>
      <c r="Q146" s="131"/>
    </row>
    <row r="147" s="102" customFormat="1" ht="45" outlineLevel="1" spans="1:17">
      <c r="A147" s="53">
        <v>94</v>
      </c>
      <c r="B147" s="53" t="s">
        <v>136</v>
      </c>
      <c r="C147" s="53" t="s">
        <v>260</v>
      </c>
      <c r="D147" s="53" t="s">
        <v>138</v>
      </c>
      <c r="E147" s="53">
        <v>12</v>
      </c>
      <c r="F147" s="105">
        <f t="shared" ref="F147:J147" si="101">F25</f>
        <v>10</v>
      </c>
      <c r="G147" s="55">
        <f t="shared" si="96"/>
        <v>30.3</v>
      </c>
      <c r="H147" s="105">
        <f t="shared" si="101"/>
        <v>30</v>
      </c>
      <c r="I147" s="65">
        <f t="shared" si="101"/>
        <v>0.01</v>
      </c>
      <c r="J147" s="55">
        <f t="shared" si="101"/>
        <v>1</v>
      </c>
      <c r="K147" s="55">
        <f>(F147+G147+J147)*$K$5</f>
        <v>2.478</v>
      </c>
      <c r="L147" s="55">
        <f>(F147+G147+J147+K147)*$L$5</f>
        <v>3.94002</v>
      </c>
      <c r="M147" s="55">
        <f t="shared" si="97"/>
        <v>47.71802</v>
      </c>
      <c r="N147" s="55"/>
      <c r="O147" s="55">
        <f t="shared" si="98"/>
        <v>572.61624</v>
      </c>
      <c r="P147" s="119"/>
      <c r="Q147" s="131"/>
    </row>
    <row r="148" s="102" customFormat="1" outlineLevel="1" spans="1:18">
      <c r="A148" s="72">
        <v>95</v>
      </c>
      <c r="B148" s="72" t="s">
        <v>128</v>
      </c>
      <c r="C148" s="72" t="s">
        <v>261</v>
      </c>
      <c r="D148" s="72" t="s">
        <v>110</v>
      </c>
      <c r="E148" s="72">
        <v>22.75</v>
      </c>
      <c r="F148" s="116">
        <f>F138</f>
        <v>190</v>
      </c>
      <c r="G148" s="109">
        <f t="shared" si="96"/>
        <v>315</v>
      </c>
      <c r="H148" s="116">
        <f>H144</f>
        <v>300</v>
      </c>
      <c r="I148" s="89">
        <f>I144</f>
        <v>0.05</v>
      </c>
      <c r="J148" s="109">
        <f>J138</f>
        <v>150</v>
      </c>
      <c r="K148" s="109">
        <f>(F148+G148+J148)*$K$5</f>
        <v>39.3</v>
      </c>
      <c r="L148" s="109">
        <f>(F148+G148+J148+K148)*$L$5</f>
        <v>62.487</v>
      </c>
      <c r="M148" s="160">
        <f t="shared" si="97"/>
        <v>756.787</v>
      </c>
      <c r="N148" s="161"/>
      <c r="O148" s="109">
        <f t="shared" si="98"/>
        <v>17216.90425</v>
      </c>
      <c r="P148" s="136" t="s">
        <v>262</v>
      </c>
      <c r="Q148" s="131"/>
      <c r="R148" s="172"/>
    </row>
    <row r="149" s="102" customFormat="1" ht="34" customHeight="1" outlineLevel="1" spans="1:18">
      <c r="A149" s="92"/>
      <c r="B149" s="92"/>
      <c r="C149" s="92"/>
      <c r="D149" s="92"/>
      <c r="E149" s="92"/>
      <c r="F149" s="156"/>
      <c r="G149" s="110"/>
      <c r="H149" s="156"/>
      <c r="I149" s="94"/>
      <c r="J149" s="110"/>
      <c r="K149" s="110"/>
      <c r="L149" s="110"/>
      <c r="M149" s="184"/>
      <c r="N149" s="185"/>
      <c r="O149" s="110"/>
      <c r="P149" s="170"/>
      <c r="Q149" s="131"/>
      <c r="R149" s="172"/>
    </row>
    <row r="150" s="102" customFormat="1" outlineLevel="1" spans="1:18">
      <c r="A150" s="74"/>
      <c r="B150" s="74"/>
      <c r="C150" s="74"/>
      <c r="D150" s="74"/>
      <c r="E150" s="74"/>
      <c r="F150" s="159"/>
      <c r="G150" s="111"/>
      <c r="H150" s="159"/>
      <c r="I150" s="90"/>
      <c r="J150" s="111"/>
      <c r="K150" s="111"/>
      <c r="L150" s="111"/>
      <c r="M150" s="162"/>
      <c r="N150" s="163"/>
      <c r="O150" s="111"/>
      <c r="P150" s="140"/>
      <c r="Q150" s="131"/>
      <c r="R150" s="172"/>
    </row>
    <row r="151" s="102" customFormat="1" ht="45" outlineLevel="1" spans="1:17">
      <c r="A151" s="53">
        <v>96</v>
      </c>
      <c r="B151" s="53" t="s">
        <v>240</v>
      </c>
      <c r="C151" s="53" t="s">
        <v>249</v>
      </c>
      <c r="D151" s="53" t="s">
        <v>144</v>
      </c>
      <c r="E151" s="53">
        <v>8.32</v>
      </c>
      <c r="F151" s="105">
        <f t="shared" ref="F151:J151" si="102">F120</f>
        <v>15</v>
      </c>
      <c r="G151" s="55">
        <f t="shared" ref="G151:G155" si="103">H151*(1+I151)</f>
        <v>29.4</v>
      </c>
      <c r="H151" s="105">
        <f t="shared" si="102"/>
        <v>28</v>
      </c>
      <c r="I151" s="65">
        <f t="shared" si="102"/>
        <v>0.05</v>
      </c>
      <c r="J151" s="55">
        <f t="shared" si="102"/>
        <v>1</v>
      </c>
      <c r="K151" s="55">
        <f>(F151+G151+J151)*$K$5</f>
        <v>2.724</v>
      </c>
      <c r="L151" s="55">
        <f>(F151+G151+J151+K151)*$L$5</f>
        <v>4.33116</v>
      </c>
      <c r="M151" s="55">
        <f t="shared" ref="M151:M159" si="104">F151+G151+J151+K151+L151</f>
        <v>52.45516</v>
      </c>
      <c r="N151" s="55"/>
      <c r="O151" s="55">
        <f t="shared" ref="O151:O159" si="105">M151*E151</f>
        <v>436.4269312</v>
      </c>
      <c r="P151" s="119"/>
      <c r="Q151" s="131"/>
    </row>
    <row r="152" s="102" customFormat="1" ht="22.5" outlineLevel="1" spans="1:17">
      <c r="A152" s="53"/>
      <c r="B152" s="53" t="s">
        <v>263</v>
      </c>
      <c r="C152" s="53"/>
      <c r="D152" s="53"/>
      <c r="E152" s="53"/>
      <c r="F152" s="105"/>
      <c r="G152" s="55"/>
      <c r="H152" s="105"/>
      <c r="I152" s="65"/>
      <c r="J152" s="55"/>
      <c r="K152" s="55"/>
      <c r="L152" s="55"/>
      <c r="M152" s="55"/>
      <c r="N152" s="55"/>
      <c r="O152" s="55"/>
      <c r="P152" s="119"/>
      <c r="Q152" s="131"/>
    </row>
    <row r="153" s="102" customFormat="1" ht="56.25" outlineLevel="1" spans="1:17">
      <c r="A153" s="53">
        <v>97</v>
      </c>
      <c r="B153" s="53" t="s">
        <v>128</v>
      </c>
      <c r="C153" s="53" t="s">
        <v>264</v>
      </c>
      <c r="D153" s="53" t="s">
        <v>110</v>
      </c>
      <c r="E153" s="53">
        <v>26.08</v>
      </c>
      <c r="F153" s="107">
        <v>145</v>
      </c>
      <c r="G153" s="55">
        <f t="shared" si="103"/>
        <v>236.25</v>
      </c>
      <c r="H153" s="107">
        <v>225</v>
      </c>
      <c r="I153" s="77">
        <v>0.05</v>
      </c>
      <c r="J153" s="62">
        <f>35+25+10</f>
        <v>70</v>
      </c>
      <c r="K153" s="55">
        <f>(F153+G153+J153)*$K$5</f>
        <v>27.075</v>
      </c>
      <c r="L153" s="55">
        <f>(F153+G153+J153+K153)*$L$5</f>
        <v>43.04925</v>
      </c>
      <c r="M153" s="55">
        <f t="shared" si="104"/>
        <v>521.37425</v>
      </c>
      <c r="N153" s="55"/>
      <c r="O153" s="55">
        <f t="shared" si="105"/>
        <v>13597.44044</v>
      </c>
      <c r="P153" s="119"/>
      <c r="Q153" s="131"/>
    </row>
    <row r="154" s="103" customFormat="1" ht="56.25" outlineLevel="1" spans="1:21">
      <c r="A154" s="57">
        <v>98</v>
      </c>
      <c r="B154" s="57" t="s">
        <v>128</v>
      </c>
      <c r="C154" s="57" t="s">
        <v>265</v>
      </c>
      <c r="D154" s="57" t="s">
        <v>110</v>
      </c>
      <c r="E154" s="57">
        <v>27.6</v>
      </c>
      <c r="F154" s="175">
        <v>150</v>
      </c>
      <c r="G154" s="176">
        <f t="shared" si="103"/>
        <v>173.25</v>
      </c>
      <c r="H154" s="175">
        <v>165</v>
      </c>
      <c r="I154" s="186">
        <v>0.05</v>
      </c>
      <c r="J154" s="176">
        <v>50</v>
      </c>
      <c r="K154" s="176">
        <f>(F154+G154+J154)*$K$5</f>
        <v>22.395</v>
      </c>
      <c r="L154" s="176">
        <f>(F154+G154+J154+K154)*$L$5</f>
        <v>35.60805</v>
      </c>
      <c r="M154" s="176">
        <f t="shared" si="104"/>
        <v>431.25305</v>
      </c>
      <c r="N154" s="176"/>
      <c r="O154" s="176">
        <f t="shared" si="105"/>
        <v>11902.58418</v>
      </c>
      <c r="P154" s="187"/>
      <c r="Q154" s="192"/>
      <c r="R154" s="172"/>
      <c r="S154" s="102"/>
      <c r="T154" s="102"/>
      <c r="U154" s="102"/>
    </row>
    <row r="155" s="103" customFormat="1" ht="45" outlineLevel="1" spans="1:21">
      <c r="A155" s="57">
        <v>99</v>
      </c>
      <c r="B155" s="57" t="s">
        <v>266</v>
      </c>
      <c r="C155" s="57" t="s">
        <v>267</v>
      </c>
      <c r="D155" s="57" t="s">
        <v>110</v>
      </c>
      <c r="E155" s="57">
        <v>13.68</v>
      </c>
      <c r="F155" s="107">
        <v>260</v>
      </c>
      <c r="G155" s="176">
        <f t="shared" si="103"/>
        <v>1942.5</v>
      </c>
      <c r="H155" s="107">
        <v>1850</v>
      </c>
      <c r="I155" s="118">
        <v>0.05</v>
      </c>
      <c r="J155" s="62">
        <v>120</v>
      </c>
      <c r="K155" s="176">
        <f>(F155+G155+J155)*$K$5</f>
        <v>139.35</v>
      </c>
      <c r="L155" s="176">
        <f>(F155+G155+J155+K155)*$L$5</f>
        <v>221.5665</v>
      </c>
      <c r="M155" s="176">
        <f t="shared" si="104"/>
        <v>2683.4165</v>
      </c>
      <c r="N155" s="176"/>
      <c r="O155" s="176">
        <f t="shared" si="105"/>
        <v>36709.13772</v>
      </c>
      <c r="P155" s="187"/>
      <c r="Q155" s="192"/>
      <c r="R155" s="102"/>
      <c r="S155" s="102"/>
      <c r="T155" s="102"/>
      <c r="U155" s="102"/>
    </row>
    <row r="156" s="103" customFormat="1" ht="56.25" outlineLevel="1" spans="1:21">
      <c r="A156" s="57">
        <v>100</v>
      </c>
      <c r="B156" s="57" t="s">
        <v>266</v>
      </c>
      <c r="C156" s="57" t="s">
        <v>268</v>
      </c>
      <c r="D156" s="57" t="s">
        <v>110</v>
      </c>
      <c r="E156" s="57">
        <v>13.92</v>
      </c>
      <c r="F156" s="175">
        <v>260</v>
      </c>
      <c r="G156" s="176">
        <v>0</v>
      </c>
      <c r="H156" s="175">
        <v>0</v>
      </c>
      <c r="I156" s="188">
        <v>0</v>
      </c>
      <c r="J156" s="176">
        <v>120</v>
      </c>
      <c r="K156" s="176">
        <f>(F156+G156+J156)*$K$5</f>
        <v>22.8</v>
      </c>
      <c r="L156" s="176">
        <f>(F156+G156+J156+K156)*$L$5</f>
        <v>36.252</v>
      </c>
      <c r="M156" s="176">
        <f t="shared" si="104"/>
        <v>439.052</v>
      </c>
      <c r="N156" s="176"/>
      <c r="O156" s="176">
        <f t="shared" si="105"/>
        <v>6111.60384</v>
      </c>
      <c r="P156" s="187" t="s">
        <v>269</v>
      </c>
      <c r="Q156" s="192"/>
      <c r="R156" s="102"/>
      <c r="S156" s="102"/>
      <c r="T156" s="102"/>
      <c r="U156" s="102"/>
    </row>
    <row r="157" s="102" customFormat="1" ht="67.5" outlineLevel="1" spans="1:18">
      <c r="A157" s="53">
        <v>101</v>
      </c>
      <c r="B157" s="53" t="s">
        <v>128</v>
      </c>
      <c r="C157" s="53" t="s">
        <v>270</v>
      </c>
      <c r="D157" s="53" t="s">
        <v>110</v>
      </c>
      <c r="E157" s="53">
        <v>11.61</v>
      </c>
      <c r="F157" s="105">
        <f>F123</f>
        <v>190</v>
      </c>
      <c r="G157" s="55">
        <f t="shared" ref="G157:G159" si="106">H157*(1+I157)</f>
        <v>315</v>
      </c>
      <c r="H157" s="105">
        <f>H21</f>
        <v>300</v>
      </c>
      <c r="I157" s="65">
        <f>I21</f>
        <v>0.05</v>
      </c>
      <c r="J157" s="55">
        <f>J123</f>
        <v>150</v>
      </c>
      <c r="K157" s="55">
        <f>(F157+G157+J157)*$K$5</f>
        <v>39.3</v>
      </c>
      <c r="L157" s="55">
        <f>(F157+G157+J157+K157)*$L$5</f>
        <v>62.487</v>
      </c>
      <c r="M157" s="55">
        <f t="shared" si="104"/>
        <v>756.787</v>
      </c>
      <c r="N157" s="55"/>
      <c r="O157" s="55">
        <f t="shared" si="105"/>
        <v>8786.29707</v>
      </c>
      <c r="P157" s="119" t="str">
        <f>P144</f>
        <v>厂家定制</v>
      </c>
      <c r="Q157" s="131"/>
      <c r="R157" s="172"/>
    </row>
    <row r="158" s="102" customFormat="1" ht="67.5" outlineLevel="1" spans="1:18">
      <c r="A158" s="53">
        <v>102</v>
      </c>
      <c r="B158" s="53" t="s">
        <v>128</v>
      </c>
      <c r="C158" s="53" t="s">
        <v>271</v>
      </c>
      <c r="D158" s="53" t="s">
        <v>110</v>
      </c>
      <c r="E158" s="53">
        <v>45.49</v>
      </c>
      <c r="F158" s="105">
        <f>F157</f>
        <v>190</v>
      </c>
      <c r="G158" s="55">
        <f t="shared" si="106"/>
        <v>336</v>
      </c>
      <c r="H158" s="107">
        <v>320</v>
      </c>
      <c r="I158" s="65">
        <v>0.05</v>
      </c>
      <c r="J158" s="55">
        <f>J157</f>
        <v>150</v>
      </c>
      <c r="K158" s="55">
        <f>(F158+G158+J158)*$K$5</f>
        <v>40.56</v>
      </c>
      <c r="L158" s="55">
        <f>(F158+G158+J158+K158)*$L$5</f>
        <v>64.4904</v>
      </c>
      <c r="M158" s="55">
        <f t="shared" si="104"/>
        <v>781.0504</v>
      </c>
      <c r="N158" s="55"/>
      <c r="O158" s="55">
        <f t="shared" si="105"/>
        <v>35529.982696</v>
      </c>
      <c r="P158" s="119"/>
      <c r="Q158" s="131"/>
      <c r="R158" s="172"/>
    </row>
    <row r="159" s="102" customFormat="1" ht="45" outlineLevel="1" spans="1:17">
      <c r="A159" s="53">
        <v>103</v>
      </c>
      <c r="B159" s="53" t="s">
        <v>240</v>
      </c>
      <c r="C159" s="53" t="s">
        <v>249</v>
      </c>
      <c r="D159" s="53" t="s">
        <v>144</v>
      </c>
      <c r="E159" s="53">
        <v>3.51</v>
      </c>
      <c r="F159" s="105">
        <f t="shared" ref="F159:J159" si="107">F120</f>
        <v>15</v>
      </c>
      <c r="G159" s="55">
        <f t="shared" si="106"/>
        <v>29.4</v>
      </c>
      <c r="H159" s="105">
        <f t="shared" si="107"/>
        <v>28</v>
      </c>
      <c r="I159" s="65">
        <f t="shared" si="107"/>
        <v>0.05</v>
      </c>
      <c r="J159" s="55">
        <f t="shared" si="107"/>
        <v>1</v>
      </c>
      <c r="K159" s="55">
        <f>(F159+G159+J159)*$K$5</f>
        <v>2.724</v>
      </c>
      <c r="L159" s="55">
        <f>(F159+G159+J159+K159)*$L$5</f>
        <v>4.33116</v>
      </c>
      <c r="M159" s="55">
        <f t="shared" si="104"/>
        <v>52.45516</v>
      </c>
      <c r="N159" s="55"/>
      <c r="O159" s="55">
        <f t="shared" si="105"/>
        <v>184.1176116</v>
      </c>
      <c r="P159" s="119"/>
      <c r="Q159" s="131"/>
    </row>
    <row r="160" s="102" customFormat="1" spans="1:17">
      <c r="A160" s="53"/>
      <c r="B160" s="53" t="s">
        <v>272</v>
      </c>
      <c r="C160" s="53"/>
      <c r="D160" s="53"/>
      <c r="E160" s="53"/>
      <c r="F160" s="105"/>
      <c r="G160" s="55"/>
      <c r="H160" s="105"/>
      <c r="I160" s="65"/>
      <c r="J160" s="55"/>
      <c r="K160" s="55"/>
      <c r="L160" s="55"/>
      <c r="M160" s="55"/>
      <c r="N160" s="55"/>
      <c r="O160" s="55"/>
      <c r="P160" s="119"/>
      <c r="Q160" s="131"/>
    </row>
    <row r="161" s="102" customFormat="1" ht="78.75" outlineLevel="1" spans="1:17">
      <c r="A161" s="53">
        <v>104</v>
      </c>
      <c r="B161" s="53" t="s">
        <v>238</v>
      </c>
      <c r="C161" s="106" t="s">
        <v>255</v>
      </c>
      <c r="D161" s="53" t="s">
        <v>110</v>
      </c>
      <c r="E161" s="53">
        <v>42.25</v>
      </c>
      <c r="F161" s="105">
        <f t="shared" ref="F161:J161" si="108">F119</f>
        <v>35</v>
      </c>
      <c r="G161" s="55">
        <f t="shared" ref="G161:G168" si="109">H161*(1+I161)</f>
        <v>26.25</v>
      </c>
      <c r="H161" s="105">
        <f t="shared" si="108"/>
        <v>25</v>
      </c>
      <c r="I161" s="65">
        <f t="shared" si="108"/>
        <v>0.05</v>
      </c>
      <c r="J161" s="55">
        <f t="shared" si="108"/>
        <v>15</v>
      </c>
      <c r="K161" s="55">
        <f>(F161+G161+J161)*$K$5</f>
        <v>4.575</v>
      </c>
      <c r="L161" s="55">
        <f>(F161+G161+J161+K161)*$L$5</f>
        <v>7.27425</v>
      </c>
      <c r="M161" s="55">
        <f t="shared" ref="M161:M168" si="110">F161+G161+J161+K161+L161</f>
        <v>88.09925</v>
      </c>
      <c r="N161" s="55"/>
      <c r="O161" s="55">
        <f t="shared" ref="O161:O168" si="111">M161*E161</f>
        <v>3722.1933125</v>
      </c>
      <c r="P161" s="119"/>
      <c r="Q161" s="131"/>
    </row>
    <row r="162" s="102" customFormat="1" ht="56.25" outlineLevel="1" spans="1:17">
      <c r="A162" s="53">
        <v>105</v>
      </c>
      <c r="B162" s="53" t="s">
        <v>128</v>
      </c>
      <c r="C162" s="53" t="s">
        <v>264</v>
      </c>
      <c r="D162" s="53" t="s">
        <v>110</v>
      </c>
      <c r="E162" s="53">
        <v>10.59</v>
      </c>
      <c r="F162" s="105">
        <f t="shared" ref="F162:J162" si="112">F153</f>
        <v>145</v>
      </c>
      <c r="G162" s="55">
        <f t="shared" si="109"/>
        <v>236.25</v>
      </c>
      <c r="H162" s="105">
        <f t="shared" si="112"/>
        <v>225</v>
      </c>
      <c r="I162" s="65">
        <f t="shared" si="112"/>
        <v>0.05</v>
      </c>
      <c r="J162" s="55">
        <f t="shared" si="112"/>
        <v>70</v>
      </c>
      <c r="K162" s="55">
        <f>(F162+G162+J162)*$K$5</f>
        <v>27.075</v>
      </c>
      <c r="L162" s="55">
        <f>(F162+G162+J162+K162)*$L$5</f>
        <v>43.04925</v>
      </c>
      <c r="M162" s="55">
        <f t="shared" si="110"/>
        <v>521.37425</v>
      </c>
      <c r="N162" s="55"/>
      <c r="O162" s="55">
        <f t="shared" si="111"/>
        <v>5521.3533075</v>
      </c>
      <c r="P162" s="119"/>
      <c r="Q162" s="131"/>
    </row>
    <row r="163" s="102" customFormat="1" ht="45" outlineLevel="1" spans="1:17">
      <c r="A163" s="141">
        <v>106</v>
      </c>
      <c r="B163" s="141" t="s">
        <v>266</v>
      </c>
      <c r="C163" s="141" t="s">
        <v>273</v>
      </c>
      <c r="D163" s="141" t="s">
        <v>110</v>
      </c>
      <c r="E163" s="106">
        <v>0</v>
      </c>
      <c r="F163" s="108">
        <f t="shared" ref="F163:J163" si="113">F155</f>
        <v>260</v>
      </c>
      <c r="G163" s="176">
        <f t="shared" si="109"/>
        <v>1942.5</v>
      </c>
      <c r="H163" s="108">
        <f t="shared" si="113"/>
        <v>1850</v>
      </c>
      <c r="I163" s="189">
        <f t="shared" si="113"/>
        <v>0.05</v>
      </c>
      <c r="J163" s="108">
        <f t="shared" si="113"/>
        <v>120</v>
      </c>
      <c r="K163" s="55">
        <f>(F163+G163+J163)*$K$5</f>
        <v>139.35</v>
      </c>
      <c r="L163" s="55">
        <f>(F163+G163+J163+K163)*$L$5</f>
        <v>221.5665</v>
      </c>
      <c r="M163" s="55">
        <f t="shared" si="110"/>
        <v>2683.4165</v>
      </c>
      <c r="N163" s="55"/>
      <c r="O163" s="55">
        <f t="shared" si="111"/>
        <v>0</v>
      </c>
      <c r="P163" s="141" t="s">
        <v>274</v>
      </c>
      <c r="Q163" s="132"/>
    </row>
    <row r="164" s="102" customFormat="1" ht="78.75" outlineLevel="1" spans="1:18">
      <c r="A164" s="32">
        <v>107</v>
      </c>
      <c r="B164" s="32" t="s">
        <v>275</v>
      </c>
      <c r="C164" s="151" t="s">
        <v>276</v>
      </c>
      <c r="D164" s="32" t="s">
        <v>110</v>
      </c>
      <c r="E164" s="32">
        <v>44.66</v>
      </c>
      <c r="F164" s="107">
        <v>150</v>
      </c>
      <c r="G164" s="55">
        <f t="shared" si="109"/>
        <v>141.75</v>
      </c>
      <c r="H164" s="107">
        <f>35+15+85</f>
        <v>135</v>
      </c>
      <c r="I164" s="77">
        <v>0.05</v>
      </c>
      <c r="J164" s="62">
        <v>85</v>
      </c>
      <c r="K164" s="55">
        <f>(F164+G164+J164)*$K$5</f>
        <v>22.605</v>
      </c>
      <c r="L164" s="55">
        <f>(F164+G164+J164+K164)*$L$5</f>
        <v>35.94195</v>
      </c>
      <c r="M164" s="55">
        <f t="shared" si="110"/>
        <v>435.29695</v>
      </c>
      <c r="N164" s="55"/>
      <c r="O164" s="55">
        <f t="shared" si="111"/>
        <v>19440.361787</v>
      </c>
      <c r="P164" s="119"/>
      <c r="Q164" s="131"/>
      <c r="R164" s="172"/>
    </row>
    <row r="165" s="103" customFormat="1" ht="90" outlineLevel="1" spans="1:21">
      <c r="A165" s="32">
        <v>108</v>
      </c>
      <c r="B165" s="32" t="s">
        <v>275</v>
      </c>
      <c r="C165" s="151" t="s">
        <v>277</v>
      </c>
      <c r="D165" s="32" t="s">
        <v>110</v>
      </c>
      <c r="E165" s="32">
        <v>28.15</v>
      </c>
      <c r="F165" s="177">
        <f>F164</f>
        <v>150</v>
      </c>
      <c r="G165" s="178">
        <f t="shared" si="109"/>
        <v>141.75</v>
      </c>
      <c r="H165" s="177">
        <f>H164</f>
        <v>135</v>
      </c>
      <c r="I165" s="164">
        <f>I164</f>
        <v>0.05</v>
      </c>
      <c r="J165" s="178">
        <f>J164</f>
        <v>85</v>
      </c>
      <c r="K165" s="55">
        <f>(F165+G165+J165)*$K$5</f>
        <v>22.605</v>
      </c>
      <c r="L165" s="55">
        <f>(F165+G165+J165+K165)*$L$5</f>
        <v>35.94195</v>
      </c>
      <c r="M165" s="55">
        <f t="shared" si="110"/>
        <v>435.29695</v>
      </c>
      <c r="N165" s="55"/>
      <c r="O165" s="55">
        <f t="shared" si="111"/>
        <v>12253.6091425</v>
      </c>
      <c r="P165" s="190"/>
      <c r="Q165" s="192"/>
      <c r="R165" s="172"/>
      <c r="S165" s="102"/>
      <c r="T165" s="102"/>
      <c r="U165" s="102"/>
    </row>
    <row r="166" s="103" customFormat="1" ht="45" outlineLevel="1" spans="1:21">
      <c r="A166" s="57">
        <v>109</v>
      </c>
      <c r="B166" s="57" t="s">
        <v>266</v>
      </c>
      <c r="C166" s="57" t="s">
        <v>278</v>
      </c>
      <c r="D166" s="57" t="s">
        <v>110</v>
      </c>
      <c r="E166" s="57">
        <v>21.36</v>
      </c>
      <c r="F166" s="179">
        <f t="shared" ref="F166:J166" si="114">F155</f>
        <v>260</v>
      </c>
      <c r="G166" s="176">
        <f t="shared" si="109"/>
        <v>1942.5</v>
      </c>
      <c r="H166" s="179">
        <f t="shared" si="114"/>
        <v>1850</v>
      </c>
      <c r="I166" s="191">
        <f t="shared" si="114"/>
        <v>0.05</v>
      </c>
      <c r="J166" s="179">
        <f t="shared" si="114"/>
        <v>120</v>
      </c>
      <c r="K166" s="55">
        <f>(F166+G166+J166)*$K$5</f>
        <v>139.35</v>
      </c>
      <c r="L166" s="55">
        <f>(F166+G166+J166+K166)*$L$5</f>
        <v>221.5665</v>
      </c>
      <c r="M166" s="55">
        <f t="shared" si="110"/>
        <v>2683.4165</v>
      </c>
      <c r="N166" s="55"/>
      <c r="O166" s="55">
        <f t="shared" si="111"/>
        <v>57317.77644</v>
      </c>
      <c r="P166" s="119" t="s">
        <v>279</v>
      </c>
      <c r="Q166" s="192"/>
      <c r="R166" s="102"/>
      <c r="S166" s="102"/>
      <c r="T166" s="102"/>
      <c r="U166" s="102"/>
    </row>
    <row r="167" s="102" customFormat="1" ht="45" outlineLevel="1" spans="1:17">
      <c r="A167" s="53">
        <v>110</v>
      </c>
      <c r="B167" s="53" t="s">
        <v>240</v>
      </c>
      <c r="C167" s="53" t="s">
        <v>249</v>
      </c>
      <c r="D167" s="53" t="s">
        <v>144</v>
      </c>
      <c r="E167" s="53">
        <v>59.51</v>
      </c>
      <c r="F167" s="105">
        <f t="shared" ref="F167:J167" si="115">F120</f>
        <v>15</v>
      </c>
      <c r="G167" s="55">
        <f t="shared" si="109"/>
        <v>29.4</v>
      </c>
      <c r="H167" s="105">
        <f t="shared" si="115"/>
        <v>28</v>
      </c>
      <c r="I167" s="65">
        <f t="shared" si="115"/>
        <v>0.05</v>
      </c>
      <c r="J167" s="55">
        <f t="shared" si="115"/>
        <v>1</v>
      </c>
      <c r="K167" s="55">
        <f>(F167+G167+J167)*$K$5</f>
        <v>2.724</v>
      </c>
      <c r="L167" s="55">
        <f>(F167+G167+J167+K167)*$L$5</f>
        <v>4.33116</v>
      </c>
      <c r="M167" s="55">
        <f t="shared" si="110"/>
        <v>52.45516</v>
      </c>
      <c r="N167" s="55"/>
      <c r="O167" s="55">
        <f t="shared" si="111"/>
        <v>3121.6065716</v>
      </c>
      <c r="P167" s="119"/>
      <c r="Q167" s="131"/>
    </row>
    <row r="168" s="102" customFormat="1" ht="67.5" outlineLevel="1" spans="1:17">
      <c r="A168" s="53">
        <v>111</v>
      </c>
      <c r="B168" s="53" t="s">
        <v>280</v>
      </c>
      <c r="C168" s="141" t="s">
        <v>281</v>
      </c>
      <c r="D168" s="53" t="s">
        <v>110</v>
      </c>
      <c r="E168" s="53">
        <v>2.76</v>
      </c>
      <c r="F168" s="105">
        <f t="shared" ref="F168:J168" si="116">F164</f>
        <v>150</v>
      </c>
      <c r="G168" s="55">
        <f t="shared" si="109"/>
        <v>141.75</v>
      </c>
      <c r="H168" s="105">
        <f t="shared" si="116"/>
        <v>135</v>
      </c>
      <c r="I168" s="65">
        <f t="shared" si="116"/>
        <v>0.05</v>
      </c>
      <c r="J168" s="55">
        <f t="shared" si="116"/>
        <v>85</v>
      </c>
      <c r="K168" s="55">
        <f>(F168+G168+J168)*$K$5</f>
        <v>22.605</v>
      </c>
      <c r="L168" s="55">
        <f>(F168+G168+J168+K168)*$L$5</f>
        <v>35.94195</v>
      </c>
      <c r="M168" s="55">
        <f t="shared" si="110"/>
        <v>435.29695</v>
      </c>
      <c r="N168" s="55"/>
      <c r="O168" s="55">
        <f t="shared" si="111"/>
        <v>1201.419582</v>
      </c>
      <c r="P168" s="119"/>
      <c r="Q168" s="131"/>
    </row>
    <row r="169" s="102" customFormat="1" spans="1:17">
      <c r="A169" s="53"/>
      <c r="B169" s="53" t="s">
        <v>282</v>
      </c>
      <c r="C169" s="53"/>
      <c r="D169" s="53"/>
      <c r="E169" s="53"/>
      <c r="F169" s="105"/>
      <c r="G169" s="55"/>
      <c r="H169" s="105"/>
      <c r="I169" s="65"/>
      <c r="J169" s="55"/>
      <c r="K169" s="55"/>
      <c r="L169" s="55"/>
      <c r="M169" s="55"/>
      <c r="N169" s="55"/>
      <c r="O169" s="55"/>
      <c r="P169" s="119"/>
      <c r="Q169" s="131"/>
    </row>
    <row r="170" s="102" customFormat="1" outlineLevel="1" spans="1:18">
      <c r="A170" s="72">
        <v>112</v>
      </c>
      <c r="B170" s="72" t="s">
        <v>234</v>
      </c>
      <c r="C170" s="133" t="s">
        <v>283</v>
      </c>
      <c r="D170" s="72" t="s">
        <v>110</v>
      </c>
      <c r="E170" s="72">
        <v>62.97</v>
      </c>
      <c r="F170" s="116">
        <f t="shared" ref="F170:J170" si="117">F110</f>
        <v>150</v>
      </c>
      <c r="G170" s="109">
        <f t="shared" ref="G170:G174" si="118">H170*(1+I170)</f>
        <v>226.8</v>
      </c>
      <c r="H170" s="114">
        <v>210</v>
      </c>
      <c r="I170" s="89">
        <f t="shared" si="117"/>
        <v>0.08</v>
      </c>
      <c r="J170" s="109">
        <f t="shared" si="117"/>
        <v>75</v>
      </c>
      <c r="K170" s="109">
        <f>(F170+G170+J170)*$K$5</f>
        <v>27.108</v>
      </c>
      <c r="L170" s="109">
        <f>(F170+G170+J170+K170)*$L$5</f>
        <v>43.10172</v>
      </c>
      <c r="M170" s="120">
        <f t="shared" ref="M170:M174" si="119">F170+G170+J170+K170+L170</f>
        <v>522.00972</v>
      </c>
      <c r="N170" s="121"/>
      <c r="O170" s="109">
        <f t="shared" ref="O170:O174" si="120">M170*E170</f>
        <v>32870.9520684</v>
      </c>
      <c r="P170" s="165"/>
      <c r="Q170" s="131"/>
      <c r="R170" s="172"/>
    </row>
    <row r="171" s="102" customFormat="1" outlineLevel="1" spans="1:18">
      <c r="A171" s="92"/>
      <c r="B171" s="92"/>
      <c r="C171" s="144"/>
      <c r="D171" s="92"/>
      <c r="E171" s="92"/>
      <c r="F171" s="156"/>
      <c r="G171" s="110"/>
      <c r="H171" s="117"/>
      <c r="I171" s="94"/>
      <c r="J171" s="110"/>
      <c r="K171" s="110"/>
      <c r="L171" s="110"/>
      <c r="M171" s="122"/>
      <c r="N171" s="123"/>
      <c r="O171" s="110"/>
      <c r="P171" s="166"/>
      <c r="Q171" s="131"/>
      <c r="R171" s="172"/>
    </row>
    <row r="172" s="102" customFormat="1" outlineLevel="1" spans="1:17">
      <c r="A172" s="74"/>
      <c r="B172" s="74"/>
      <c r="C172" s="137"/>
      <c r="D172" s="74"/>
      <c r="E172" s="74"/>
      <c r="F172" s="159"/>
      <c r="G172" s="111"/>
      <c r="H172" s="115"/>
      <c r="I172" s="90"/>
      <c r="J172" s="111"/>
      <c r="K172" s="111"/>
      <c r="L172" s="111"/>
      <c r="M172" s="124"/>
      <c r="N172" s="125"/>
      <c r="O172" s="111"/>
      <c r="P172" s="167"/>
      <c r="Q172" s="131"/>
    </row>
    <row r="173" s="102" customFormat="1" ht="45" outlineLevel="1" spans="1:17">
      <c r="A173" s="53">
        <v>113</v>
      </c>
      <c r="B173" s="53" t="s">
        <v>240</v>
      </c>
      <c r="C173" s="53" t="s">
        <v>249</v>
      </c>
      <c r="D173" s="53" t="s">
        <v>144</v>
      </c>
      <c r="E173" s="53">
        <v>14.63</v>
      </c>
      <c r="F173" s="105">
        <f t="shared" ref="F173:J173" si="121">F120</f>
        <v>15</v>
      </c>
      <c r="G173" s="55">
        <f t="shared" si="118"/>
        <v>29.4</v>
      </c>
      <c r="H173" s="105">
        <f t="shared" si="121"/>
        <v>28</v>
      </c>
      <c r="I173" s="65">
        <f t="shared" si="121"/>
        <v>0.05</v>
      </c>
      <c r="J173" s="55">
        <f t="shared" si="121"/>
        <v>1</v>
      </c>
      <c r="K173" s="55">
        <f>(F173+G173+J173)*$K$5</f>
        <v>2.724</v>
      </c>
      <c r="L173" s="55">
        <f>(F173+G173+J173+K173)*$L$5</f>
        <v>4.33116</v>
      </c>
      <c r="M173" s="55">
        <f t="shared" si="119"/>
        <v>52.45516</v>
      </c>
      <c r="N173" s="55"/>
      <c r="O173" s="55">
        <f t="shared" si="120"/>
        <v>767.4189908</v>
      </c>
      <c r="P173" s="119"/>
      <c r="Q173" s="131"/>
    </row>
    <row r="174" s="102" customFormat="1" ht="45" outlineLevel="1" spans="1:17">
      <c r="A174" s="53">
        <v>114</v>
      </c>
      <c r="B174" s="53" t="s">
        <v>284</v>
      </c>
      <c r="C174" s="53" t="s">
        <v>285</v>
      </c>
      <c r="D174" s="53" t="s">
        <v>144</v>
      </c>
      <c r="E174" s="53">
        <v>14.63</v>
      </c>
      <c r="F174" s="105">
        <f t="shared" ref="F174:J174" si="122">F173</f>
        <v>15</v>
      </c>
      <c r="G174" s="55">
        <f t="shared" si="118"/>
        <v>29.4</v>
      </c>
      <c r="H174" s="105">
        <f t="shared" si="122"/>
        <v>28</v>
      </c>
      <c r="I174" s="65">
        <f t="shared" si="122"/>
        <v>0.05</v>
      </c>
      <c r="J174" s="55">
        <f t="shared" si="122"/>
        <v>1</v>
      </c>
      <c r="K174" s="55">
        <f>(F174+G174+J174)*$K$5</f>
        <v>2.724</v>
      </c>
      <c r="L174" s="55">
        <f>(F174+G174+J174+K174)*$L$5</f>
        <v>4.33116</v>
      </c>
      <c r="M174" s="55">
        <f t="shared" si="119"/>
        <v>52.45516</v>
      </c>
      <c r="N174" s="55"/>
      <c r="O174" s="55">
        <f t="shared" si="120"/>
        <v>767.4189908</v>
      </c>
      <c r="P174" s="119"/>
      <c r="Q174" s="131"/>
    </row>
    <row r="175" s="102" customFormat="1" spans="1:17">
      <c r="A175" s="53"/>
      <c r="B175" s="53" t="s">
        <v>286</v>
      </c>
      <c r="C175" s="53"/>
      <c r="D175" s="53"/>
      <c r="E175" s="53"/>
      <c r="F175" s="105"/>
      <c r="G175" s="55"/>
      <c r="H175" s="105"/>
      <c r="I175" s="65"/>
      <c r="J175" s="55"/>
      <c r="K175" s="55"/>
      <c r="L175" s="55"/>
      <c r="M175" s="55"/>
      <c r="N175" s="55"/>
      <c r="O175" s="55"/>
      <c r="P175" s="119"/>
      <c r="Q175" s="131"/>
    </row>
    <row r="176" s="102" customFormat="1" ht="78.75" outlineLevel="1" spans="1:17">
      <c r="A176" s="53">
        <v>115</v>
      </c>
      <c r="B176" s="53" t="s">
        <v>238</v>
      </c>
      <c r="C176" s="106" t="s">
        <v>255</v>
      </c>
      <c r="D176" s="53" t="s">
        <v>110</v>
      </c>
      <c r="E176" s="53">
        <v>32.1</v>
      </c>
      <c r="F176" s="105">
        <f t="shared" ref="F176:J176" si="123">F119</f>
        <v>35</v>
      </c>
      <c r="G176" s="55">
        <f t="shared" ref="G176:G183" si="124">H176*(1+I176)</f>
        <v>26.25</v>
      </c>
      <c r="H176" s="105">
        <f>H119</f>
        <v>25</v>
      </c>
      <c r="I176" s="65">
        <f t="shared" si="123"/>
        <v>0.05</v>
      </c>
      <c r="J176" s="55">
        <f t="shared" si="123"/>
        <v>15</v>
      </c>
      <c r="K176" s="55">
        <f>(F176+G176+J176)*$K$5</f>
        <v>4.575</v>
      </c>
      <c r="L176" s="55">
        <f>(F176+G176+J176+K176)*$L$5</f>
        <v>7.27425</v>
      </c>
      <c r="M176" s="55">
        <f t="shared" ref="M176:M183" si="125">F176+G176+J176+K176+L176</f>
        <v>88.09925</v>
      </c>
      <c r="N176" s="55"/>
      <c r="O176" s="55">
        <f t="shared" ref="O176:O183" si="126">M176*E176</f>
        <v>2827.985925</v>
      </c>
      <c r="P176" s="119"/>
      <c r="Q176" s="131"/>
    </row>
    <row r="177" s="102" customFormat="1" ht="45" outlineLevel="1" spans="1:17">
      <c r="A177" s="53">
        <v>116</v>
      </c>
      <c r="B177" s="53" t="s">
        <v>240</v>
      </c>
      <c r="C177" s="53" t="s">
        <v>249</v>
      </c>
      <c r="D177" s="53" t="s">
        <v>144</v>
      </c>
      <c r="E177" s="53">
        <v>10.27</v>
      </c>
      <c r="F177" s="105">
        <f t="shared" ref="F177:J177" si="127">F120</f>
        <v>15</v>
      </c>
      <c r="G177" s="55">
        <f t="shared" si="124"/>
        <v>29.4</v>
      </c>
      <c r="H177" s="105">
        <f t="shared" si="127"/>
        <v>28</v>
      </c>
      <c r="I177" s="65">
        <f t="shared" si="127"/>
        <v>0.05</v>
      </c>
      <c r="J177" s="55">
        <f t="shared" si="127"/>
        <v>1</v>
      </c>
      <c r="K177" s="55">
        <f>(F177+G177+J177)*$K$5</f>
        <v>2.724</v>
      </c>
      <c r="L177" s="55">
        <f>(F177+G177+J177+K177)*$L$5</f>
        <v>4.33116</v>
      </c>
      <c r="M177" s="55">
        <f t="shared" si="125"/>
        <v>52.45516</v>
      </c>
      <c r="N177" s="55"/>
      <c r="O177" s="55">
        <f t="shared" si="126"/>
        <v>538.7144932</v>
      </c>
      <c r="P177" s="119"/>
      <c r="Q177" s="131"/>
    </row>
    <row r="178" s="102" customFormat="1" ht="67.5" outlineLevel="1" spans="1:17">
      <c r="A178" s="53">
        <v>117</v>
      </c>
      <c r="B178" s="53" t="s">
        <v>287</v>
      </c>
      <c r="C178" s="53" t="s">
        <v>288</v>
      </c>
      <c r="D178" s="53" t="s">
        <v>110</v>
      </c>
      <c r="E178" s="53">
        <v>8.94</v>
      </c>
      <c r="F178" s="107">
        <v>150</v>
      </c>
      <c r="G178" s="55">
        <f t="shared" si="124"/>
        <v>336</v>
      </c>
      <c r="H178" s="107">
        <v>320</v>
      </c>
      <c r="I178" s="77">
        <v>0.05</v>
      </c>
      <c r="J178" s="62">
        <v>165</v>
      </c>
      <c r="K178" s="55">
        <f>(F178+G178+J178)*$K$5</f>
        <v>39.06</v>
      </c>
      <c r="L178" s="55">
        <f>(F178+G178+J178+K178)*$L$5</f>
        <v>62.1054</v>
      </c>
      <c r="M178" s="55">
        <f t="shared" si="125"/>
        <v>752.1654</v>
      </c>
      <c r="N178" s="55"/>
      <c r="O178" s="55">
        <f t="shared" si="126"/>
        <v>6724.358676</v>
      </c>
      <c r="P178" s="119"/>
      <c r="Q178" s="131"/>
    </row>
    <row r="179" s="102" customFormat="1" ht="67.5" outlineLevel="1" spans="1:17">
      <c r="A179" s="53">
        <v>118</v>
      </c>
      <c r="B179" s="53" t="s">
        <v>289</v>
      </c>
      <c r="C179" s="53" t="s">
        <v>290</v>
      </c>
      <c r="D179" s="53" t="s">
        <v>110</v>
      </c>
      <c r="E179" s="53">
        <v>0.68</v>
      </c>
      <c r="F179" s="105">
        <f t="shared" ref="F179:J179" si="128">F178</f>
        <v>150</v>
      </c>
      <c r="G179" s="55">
        <f t="shared" si="124"/>
        <v>336</v>
      </c>
      <c r="H179" s="105">
        <f t="shared" si="128"/>
        <v>320</v>
      </c>
      <c r="I179" s="65">
        <f t="shared" si="128"/>
        <v>0.05</v>
      </c>
      <c r="J179" s="55">
        <f t="shared" si="128"/>
        <v>165</v>
      </c>
      <c r="K179" s="55">
        <f>(F179+G179+J179)*$K$5</f>
        <v>39.06</v>
      </c>
      <c r="L179" s="55">
        <f>(F179+G179+J179+K179)*$L$5</f>
        <v>62.1054</v>
      </c>
      <c r="M179" s="55">
        <f t="shared" si="125"/>
        <v>752.1654</v>
      </c>
      <c r="N179" s="55"/>
      <c r="O179" s="55">
        <f t="shared" si="126"/>
        <v>511.472472</v>
      </c>
      <c r="P179" s="119"/>
      <c r="Q179" s="131"/>
    </row>
    <row r="180" s="102" customFormat="1" ht="67.5" outlineLevel="1" spans="1:17">
      <c r="A180" s="53">
        <v>119</v>
      </c>
      <c r="B180" s="53" t="s">
        <v>291</v>
      </c>
      <c r="C180" s="53" t="s">
        <v>292</v>
      </c>
      <c r="D180" s="53" t="s">
        <v>144</v>
      </c>
      <c r="E180" s="53">
        <v>3.6</v>
      </c>
      <c r="F180" s="107">
        <v>450</v>
      </c>
      <c r="G180" s="55">
        <f t="shared" si="124"/>
        <v>959.5</v>
      </c>
      <c r="H180" s="107">
        <v>950</v>
      </c>
      <c r="I180" s="77">
        <v>0.01</v>
      </c>
      <c r="J180" s="62">
        <v>220</v>
      </c>
      <c r="K180" s="55">
        <f>(F180+G180+J180)*$K$5</f>
        <v>97.77</v>
      </c>
      <c r="L180" s="55">
        <f>(F180+G180+J180+K180)*$L$5</f>
        <v>155.4543</v>
      </c>
      <c r="M180" s="55">
        <f t="shared" si="125"/>
        <v>1882.7243</v>
      </c>
      <c r="N180" s="55"/>
      <c r="O180" s="55">
        <f t="shared" si="126"/>
        <v>6777.80748</v>
      </c>
      <c r="P180" s="119"/>
      <c r="Q180" s="131"/>
    </row>
    <row r="181" s="102" customFormat="1" ht="45" outlineLevel="1" spans="1:17">
      <c r="A181" s="53">
        <v>120</v>
      </c>
      <c r="B181" s="53" t="s">
        <v>251</v>
      </c>
      <c r="C181" s="53" t="s">
        <v>293</v>
      </c>
      <c r="D181" s="53" t="s">
        <v>110</v>
      </c>
      <c r="E181" s="53">
        <v>1.92</v>
      </c>
      <c r="F181" s="105">
        <v>150</v>
      </c>
      <c r="G181" s="55">
        <f t="shared" si="124"/>
        <v>682.5</v>
      </c>
      <c r="H181" s="105">
        <f>H134/$E$181</f>
        <v>650</v>
      </c>
      <c r="I181" s="65">
        <v>0.05</v>
      </c>
      <c r="J181" s="55">
        <v>100</v>
      </c>
      <c r="K181" s="55">
        <f>(F181+G181+J181)*$K$5</f>
        <v>55.95</v>
      </c>
      <c r="L181" s="55">
        <f>(F181+G181+J181+K181)*$L$5</f>
        <v>88.9605</v>
      </c>
      <c r="M181" s="55">
        <f t="shared" si="125"/>
        <v>1077.4105</v>
      </c>
      <c r="N181" s="55"/>
      <c r="O181" s="55">
        <f t="shared" si="126"/>
        <v>2068.62816</v>
      </c>
      <c r="P181" s="119"/>
      <c r="Q181" s="131"/>
    </row>
    <row r="182" s="102" customFormat="1" ht="45" outlineLevel="1" spans="1:17">
      <c r="A182" s="53">
        <v>121</v>
      </c>
      <c r="B182" s="53" t="s">
        <v>128</v>
      </c>
      <c r="C182" s="53" t="s">
        <v>294</v>
      </c>
      <c r="D182" s="53" t="s">
        <v>110</v>
      </c>
      <c r="E182" s="53">
        <v>1.28</v>
      </c>
      <c r="F182" s="105">
        <f>F23</f>
        <v>165</v>
      </c>
      <c r="G182" s="55">
        <f t="shared" si="124"/>
        <v>315</v>
      </c>
      <c r="H182" s="105">
        <f t="shared" ref="F182:I182" si="129">H144</f>
        <v>300</v>
      </c>
      <c r="I182" s="65">
        <f t="shared" si="129"/>
        <v>0.05</v>
      </c>
      <c r="J182" s="56">
        <v>135</v>
      </c>
      <c r="K182" s="55">
        <f>(F182+G182+J182)*$K$5</f>
        <v>36.9</v>
      </c>
      <c r="L182" s="55">
        <f>(F182+G182+J182+K182)*$L$5</f>
        <v>58.671</v>
      </c>
      <c r="M182" s="55">
        <f t="shared" si="125"/>
        <v>710.571</v>
      </c>
      <c r="N182" s="55"/>
      <c r="O182" s="55">
        <f t="shared" si="126"/>
        <v>909.53088</v>
      </c>
      <c r="P182" s="119" t="str">
        <f>P157</f>
        <v>厂家定制</v>
      </c>
      <c r="Q182" s="131"/>
    </row>
    <row r="183" s="102" customFormat="1" ht="45" outlineLevel="1" spans="1:17">
      <c r="A183" s="53">
        <v>122</v>
      </c>
      <c r="B183" s="53" t="s">
        <v>221</v>
      </c>
      <c r="C183" s="53" t="s">
        <v>295</v>
      </c>
      <c r="D183" s="53" t="s">
        <v>141</v>
      </c>
      <c r="E183" s="53">
        <v>1</v>
      </c>
      <c r="F183" s="105">
        <v>300</v>
      </c>
      <c r="G183" s="55">
        <f t="shared" si="124"/>
        <v>1111</v>
      </c>
      <c r="H183" s="105">
        <v>1100</v>
      </c>
      <c r="I183" s="65">
        <v>0.01</v>
      </c>
      <c r="J183" s="55">
        <v>310</v>
      </c>
      <c r="K183" s="55">
        <f>(F183+G183+J183)*$K$5</f>
        <v>103.26</v>
      </c>
      <c r="L183" s="55">
        <f>(F183+G183+J183+K183)*$L$5</f>
        <v>164.1834</v>
      </c>
      <c r="M183" s="55">
        <f t="shared" si="125"/>
        <v>1988.4434</v>
      </c>
      <c r="N183" s="55"/>
      <c r="O183" s="55">
        <f t="shared" si="126"/>
        <v>1988.4434</v>
      </c>
      <c r="P183" s="119" t="str">
        <f>P157</f>
        <v>厂家定制</v>
      </c>
      <c r="Q183" s="131"/>
    </row>
    <row r="184" s="102" customFormat="1" spans="1:17">
      <c r="A184" s="53"/>
      <c r="B184" s="53" t="s">
        <v>296</v>
      </c>
      <c r="C184" s="53"/>
      <c r="D184" s="53"/>
      <c r="E184" s="53"/>
      <c r="F184" s="105"/>
      <c r="G184" s="55"/>
      <c r="H184" s="105"/>
      <c r="I184" s="65"/>
      <c r="J184" s="55"/>
      <c r="K184" s="55"/>
      <c r="L184" s="55"/>
      <c r="M184" s="55"/>
      <c r="N184" s="55"/>
      <c r="O184" s="55"/>
      <c r="P184" s="119"/>
      <c r="Q184" s="131"/>
    </row>
    <row r="185" s="102" customFormat="1" ht="45" outlineLevel="1" spans="1:17">
      <c r="A185" s="53">
        <v>123</v>
      </c>
      <c r="B185" s="53" t="s">
        <v>128</v>
      </c>
      <c r="C185" s="53" t="s">
        <v>297</v>
      </c>
      <c r="D185" s="53" t="s">
        <v>110</v>
      </c>
      <c r="E185" s="53">
        <v>7.86</v>
      </c>
      <c r="F185" s="105">
        <f t="shared" ref="F185:J185" si="130">F182</f>
        <v>165</v>
      </c>
      <c r="G185" s="55">
        <f t="shared" ref="G185:G191" si="131">H185*(1+I185)</f>
        <v>315</v>
      </c>
      <c r="H185" s="105">
        <f t="shared" si="130"/>
        <v>300</v>
      </c>
      <c r="I185" s="65">
        <f t="shared" si="130"/>
        <v>0.05</v>
      </c>
      <c r="J185" s="55">
        <f t="shared" si="130"/>
        <v>135</v>
      </c>
      <c r="K185" s="55">
        <f>(F185+G185+J185)*$K$5</f>
        <v>36.9</v>
      </c>
      <c r="L185" s="55">
        <f>(F185+G185+J185+K185)*$L$5</f>
        <v>58.671</v>
      </c>
      <c r="M185" s="55">
        <f t="shared" ref="M185:M191" si="132">F185+G185+J185+K185+L185</f>
        <v>710.571</v>
      </c>
      <c r="N185" s="55"/>
      <c r="O185" s="55">
        <f t="shared" ref="O185:O191" si="133">M185*E185</f>
        <v>5585.08806</v>
      </c>
      <c r="P185" s="119" t="str">
        <f>P157</f>
        <v>厂家定制</v>
      </c>
      <c r="Q185" s="131"/>
    </row>
    <row r="186" s="102" customFormat="1" ht="45" outlineLevel="1" spans="1:17">
      <c r="A186" s="53">
        <v>124</v>
      </c>
      <c r="B186" s="53" t="s">
        <v>128</v>
      </c>
      <c r="C186" s="53" t="s">
        <v>298</v>
      </c>
      <c r="D186" s="53" t="s">
        <v>110</v>
      </c>
      <c r="E186" s="53">
        <v>32.33</v>
      </c>
      <c r="F186" s="107">
        <v>125</v>
      </c>
      <c r="G186" s="55">
        <f t="shared" si="131"/>
        <v>162</v>
      </c>
      <c r="H186" s="107">
        <v>135</v>
      </c>
      <c r="I186" s="77">
        <v>0.2</v>
      </c>
      <c r="J186" s="62">
        <f>38*2+25</f>
        <v>101</v>
      </c>
      <c r="K186" s="55">
        <f>(F186+G186+J186)*$K$5</f>
        <v>23.28</v>
      </c>
      <c r="L186" s="55">
        <f>(F186+G186+J186+K186)*$L$5</f>
        <v>37.0152</v>
      </c>
      <c r="M186" s="55">
        <f t="shared" si="132"/>
        <v>448.2952</v>
      </c>
      <c r="N186" s="55"/>
      <c r="O186" s="55">
        <f t="shared" si="133"/>
        <v>14493.383816</v>
      </c>
      <c r="P186" s="119"/>
      <c r="Q186" s="131"/>
    </row>
    <row r="187" s="102" customFormat="1" ht="45" outlineLevel="1" spans="1:17">
      <c r="A187" s="53">
        <v>125</v>
      </c>
      <c r="B187" s="53" t="s">
        <v>128</v>
      </c>
      <c r="C187" s="53" t="s">
        <v>299</v>
      </c>
      <c r="D187" s="53" t="s">
        <v>110</v>
      </c>
      <c r="E187" s="53">
        <v>1.5</v>
      </c>
      <c r="F187" s="105">
        <f t="shared" ref="F187:I187" si="134">F153</f>
        <v>145</v>
      </c>
      <c r="G187" s="55">
        <f t="shared" si="131"/>
        <v>236.25</v>
      </c>
      <c r="H187" s="105">
        <f t="shared" si="134"/>
        <v>225</v>
      </c>
      <c r="I187" s="65">
        <f t="shared" si="134"/>
        <v>0.05</v>
      </c>
      <c r="J187" s="62">
        <f>J153+15</f>
        <v>85</v>
      </c>
      <c r="K187" s="55">
        <f>(F187+G187+J187)*$K$5</f>
        <v>27.975</v>
      </c>
      <c r="L187" s="55">
        <f>(F187+G187+J187+K187)*$L$5</f>
        <v>44.48025</v>
      </c>
      <c r="M187" s="55">
        <f t="shared" si="132"/>
        <v>538.70525</v>
      </c>
      <c r="N187" s="55"/>
      <c r="O187" s="55">
        <f t="shared" si="133"/>
        <v>808.057875</v>
      </c>
      <c r="P187" s="119"/>
      <c r="Q187" s="131"/>
    </row>
    <row r="188" s="102" customFormat="1" ht="45" outlineLevel="1" spans="1:17">
      <c r="A188" s="53">
        <v>126</v>
      </c>
      <c r="B188" s="53" t="s">
        <v>240</v>
      </c>
      <c r="C188" s="53" t="s">
        <v>249</v>
      </c>
      <c r="D188" s="53" t="s">
        <v>144</v>
      </c>
      <c r="E188" s="53">
        <v>9.01</v>
      </c>
      <c r="F188" s="105">
        <f t="shared" ref="F188:J188" si="135">F120</f>
        <v>15</v>
      </c>
      <c r="G188" s="55">
        <f t="shared" si="131"/>
        <v>29.4</v>
      </c>
      <c r="H188" s="105">
        <f t="shared" si="135"/>
        <v>28</v>
      </c>
      <c r="I188" s="65">
        <f t="shared" si="135"/>
        <v>0.05</v>
      </c>
      <c r="J188" s="55">
        <f t="shared" si="135"/>
        <v>1</v>
      </c>
      <c r="K188" s="55">
        <f>(F188+G188+J188)*$K$5</f>
        <v>2.724</v>
      </c>
      <c r="L188" s="55">
        <f>(F188+G188+J188+K188)*$L$5</f>
        <v>4.33116</v>
      </c>
      <c r="M188" s="55">
        <f t="shared" si="132"/>
        <v>52.45516</v>
      </c>
      <c r="N188" s="55"/>
      <c r="O188" s="55">
        <f t="shared" si="133"/>
        <v>472.6209916</v>
      </c>
      <c r="P188" s="119"/>
      <c r="Q188" s="131"/>
    </row>
    <row r="189" s="102" customFormat="1" ht="67.5" outlineLevel="1" spans="1:17">
      <c r="A189" s="53">
        <v>127</v>
      </c>
      <c r="B189" s="53" t="s">
        <v>300</v>
      </c>
      <c r="C189" s="53" t="s">
        <v>301</v>
      </c>
      <c r="D189" s="53" t="s">
        <v>110</v>
      </c>
      <c r="E189" s="53">
        <v>6.49</v>
      </c>
      <c r="F189" s="107">
        <v>350</v>
      </c>
      <c r="G189" s="55">
        <f t="shared" si="131"/>
        <v>1111</v>
      </c>
      <c r="H189" s="107">
        <v>1100</v>
      </c>
      <c r="I189" s="77">
        <v>0.01</v>
      </c>
      <c r="J189" s="62">
        <v>350</v>
      </c>
      <c r="K189" s="55">
        <f>(F189+G189+J189)*$K$5</f>
        <v>108.66</v>
      </c>
      <c r="L189" s="55">
        <f>(F189+G189+J189+K189)*$L$5</f>
        <v>172.7694</v>
      </c>
      <c r="M189" s="55">
        <f t="shared" si="132"/>
        <v>2092.4294</v>
      </c>
      <c r="N189" s="55"/>
      <c r="O189" s="55">
        <f t="shared" si="133"/>
        <v>13579.866806</v>
      </c>
      <c r="P189" s="119" t="str">
        <f>P185</f>
        <v>厂家定制</v>
      </c>
      <c r="Q189" s="131"/>
    </row>
    <row r="190" s="102" customFormat="1" ht="67.5" outlineLevel="1" spans="1:17">
      <c r="A190" s="53">
        <v>128</v>
      </c>
      <c r="B190" s="53" t="s">
        <v>302</v>
      </c>
      <c r="C190" s="53" t="s">
        <v>303</v>
      </c>
      <c r="D190" s="53" t="s">
        <v>110</v>
      </c>
      <c r="E190" s="53">
        <v>1.83</v>
      </c>
      <c r="F190" s="107">
        <f>F189</f>
        <v>350</v>
      </c>
      <c r="G190" s="55">
        <f t="shared" si="131"/>
        <v>959.5</v>
      </c>
      <c r="H190" s="107">
        <v>950</v>
      </c>
      <c r="I190" s="77">
        <f>I189</f>
        <v>0.01</v>
      </c>
      <c r="J190" s="62">
        <v>260</v>
      </c>
      <c r="K190" s="55">
        <f>(F190+G190+J190)*$K$5</f>
        <v>94.17</v>
      </c>
      <c r="L190" s="55">
        <f>(F190+G190+J190+K190)*$L$5</f>
        <v>149.7303</v>
      </c>
      <c r="M190" s="55">
        <f t="shared" si="132"/>
        <v>1813.4003</v>
      </c>
      <c r="N190" s="55"/>
      <c r="O190" s="55">
        <f t="shared" si="133"/>
        <v>3318.522549</v>
      </c>
      <c r="P190" s="119"/>
      <c r="Q190" s="131"/>
    </row>
    <row r="191" s="102" customFormat="1" outlineLevel="1" spans="1:17">
      <c r="A191" s="53">
        <v>129</v>
      </c>
      <c r="B191" s="53" t="s">
        <v>251</v>
      </c>
      <c r="C191" s="53" t="s">
        <v>304</v>
      </c>
      <c r="D191" s="53" t="s">
        <v>141</v>
      </c>
      <c r="E191" s="53">
        <v>1</v>
      </c>
      <c r="F191" s="105">
        <f t="shared" ref="F191:J191" si="136">F134</f>
        <v>200</v>
      </c>
      <c r="G191" s="109">
        <f t="shared" si="131"/>
        <v>1260.48</v>
      </c>
      <c r="H191" s="105">
        <f t="shared" si="136"/>
        <v>1248</v>
      </c>
      <c r="I191" s="65">
        <f t="shared" si="136"/>
        <v>0.01</v>
      </c>
      <c r="J191" s="55">
        <f t="shared" si="136"/>
        <v>150</v>
      </c>
      <c r="K191" s="109">
        <f>(F191+G191+J191)*$K$5</f>
        <v>96.6288</v>
      </c>
      <c r="L191" s="109">
        <f>(F191+G191+J191+K191)*$L$5</f>
        <v>153.639792</v>
      </c>
      <c r="M191" s="120">
        <f t="shared" si="132"/>
        <v>1860.748592</v>
      </c>
      <c r="N191" s="121"/>
      <c r="O191" s="109">
        <f t="shared" si="133"/>
        <v>1860.748592</v>
      </c>
      <c r="P191" s="119"/>
      <c r="Q191" s="131"/>
    </row>
    <row r="192" s="102" customFormat="1" outlineLevel="1" spans="1:17">
      <c r="A192" s="53"/>
      <c r="B192" s="53"/>
      <c r="C192" s="53"/>
      <c r="D192" s="53"/>
      <c r="E192" s="53"/>
      <c r="F192" s="105"/>
      <c r="G192" s="110"/>
      <c r="H192" s="105"/>
      <c r="I192" s="65"/>
      <c r="J192" s="55"/>
      <c r="K192" s="110"/>
      <c r="L192" s="110"/>
      <c r="M192" s="122"/>
      <c r="N192" s="123"/>
      <c r="O192" s="110"/>
      <c r="P192" s="119"/>
      <c r="Q192" s="131"/>
    </row>
    <row r="193" s="102" customFormat="1" outlineLevel="1" spans="1:17">
      <c r="A193" s="53"/>
      <c r="B193" s="53"/>
      <c r="C193" s="53"/>
      <c r="D193" s="53"/>
      <c r="E193" s="53"/>
      <c r="F193" s="105"/>
      <c r="G193" s="111"/>
      <c r="H193" s="105"/>
      <c r="I193" s="65"/>
      <c r="J193" s="55"/>
      <c r="K193" s="111"/>
      <c r="L193" s="111"/>
      <c r="M193" s="124"/>
      <c r="N193" s="125"/>
      <c r="O193" s="111"/>
      <c r="P193" s="119"/>
      <c r="Q193" s="131"/>
    </row>
    <row r="194" s="102" customFormat="1" ht="22.5" spans="1:17">
      <c r="A194" s="53"/>
      <c r="B194" s="53" t="s">
        <v>305</v>
      </c>
      <c r="C194" s="53"/>
      <c r="D194" s="53"/>
      <c r="E194" s="53"/>
      <c r="F194" s="105"/>
      <c r="G194" s="55"/>
      <c r="H194" s="105"/>
      <c r="I194" s="65"/>
      <c r="J194" s="55"/>
      <c r="K194" s="55"/>
      <c r="L194" s="55"/>
      <c r="M194" s="55"/>
      <c r="N194" s="55"/>
      <c r="O194" s="55"/>
      <c r="P194" s="119"/>
      <c r="Q194" s="131"/>
    </row>
    <row r="195" s="102" customFormat="1" ht="101.25" outlineLevel="1" spans="1:17">
      <c r="A195" s="53">
        <v>130</v>
      </c>
      <c r="B195" s="53" t="s">
        <v>238</v>
      </c>
      <c r="C195" s="53" t="s">
        <v>306</v>
      </c>
      <c r="D195" s="53" t="s">
        <v>110</v>
      </c>
      <c r="E195" s="53">
        <v>74.96</v>
      </c>
      <c r="F195" s="193">
        <v>30</v>
      </c>
      <c r="G195" s="55">
        <f>H195*(1+I195)</f>
        <v>15.75</v>
      </c>
      <c r="H195" s="193">
        <v>15</v>
      </c>
      <c r="I195" s="70">
        <v>0.05</v>
      </c>
      <c r="J195" s="194">
        <v>8</v>
      </c>
      <c r="K195" s="55">
        <f>(F195+G195+J195)*$K$5</f>
        <v>3.225</v>
      </c>
      <c r="L195" s="55">
        <f>(F195+G195+J195+K195)*$L$5</f>
        <v>5.12775</v>
      </c>
      <c r="M195" s="55">
        <f t="shared" ref="M195:M199" si="137">F195+G195+J195+K195+L195</f>
        <v>62.10275</v>
      </c>
      <c r="N195" s="55"/>
      <c r="O195" s="55">
        <f t="shared" ref="O195:O199" si="138">M195*E195</f>
        <v>4655.22214</v>
      </c>
      <c r="P195" s="119" t="str">
        <f>P148</f>
        <v>立邦</v>
      </c>
      <c r="Q195" s="131"/>
    </row>
    <row r="196" s="102" customFormat="1" ht="45" outlineLevel="1" spans="1:17">
      <c r="A196" s="53">
        <v>131</v>
      </c>
      <c r="B196" s="53" t="s">
        <v>240</v>
      </c>
      <c r="C196" s="53" t="s">
        <v>249</v>
      </c>
      <c r="D196" s="53" t="s">
        <v>144</v>
      </c>
      <c r="E196" s="53">
        <v>23.32</v>
      </c>
      <c r="F196" s="105">
        <f t="shared" ref="F196:J196" si="139">F188</f>
        <v>15</v>
      </c>
      <c r="G196" s="55">
        <f t="shared" ref="G195:G199" si="140">H196*(1+I196)</f>
        <v>29.4</v>
      </c>
      <c r="H196" s="105">
        <f t="shared" si="139"/>
        <v>28</v>
      </c>
      <c r="I196" s="65">
        <f t="shared" si="139"/>
        <v>0.05</v>
      </c>
      <c r="J196" s="55">
        <f t="shared" si="139"/>
        <v>1</v>
      </c>
      <c r="K196" s="55">
        <f>(F196+G196+J196)*$K$5</f>
        <v>2.724</v>
      </c>
      <c r="L196" s="55">
        <f>(F196+G196+J196+K196)*$L$5</f>
        <v>4.33116</v>
      </c>
      <c r="M196" s="55">
        <f t="shared" si="137"/>
        <v>52.45516</v>
      </c>
      <c r="N196" s="55"/>
      <c r="O196" s="55">
        <f t="shared" si="138"/>
        <v>1223.2543312</v>
      </c>
      <c r="P196" s="119"/>
      <c r="Q196" s="131"/>
    </row>
    <row r="197" s="102" customFormat="1" ht="45" outlineLevel="1" spans="1:17">
      <c r="A197" s="53">
        <v>132</v>
      </c>
      <c r="B197" s="53" t="s">
        <v>251</v>
      </c>
      <c r="C197" s="53" t="s">
        <v>293</v>
      </c>
      <c r="D197" s="53" t="s">
        <v>110</v>
      </c>
      <c r="E197" s="53">
        <v>1.92</v>
      </c>
      <c r="F197" s="105">
        <f t="shared" ref="F197:J197" si="141">F181</f>
        <v>150</v>
      </c>
      <c r="G197" s="55">
        <f t="shared" si="140"/>
        <v>682.5</v>
      </c>
      <c r="H197" s="105">
        <f t="shared" si="141"/>
        <v>650</v>
      </c>
      <c r="I197" s="65">
        <f t="shared" si="141"/>
        <v>0.05</v>
      </c>
      <c r="J197" s="55">
        <f t="shared" si="141"/>
        <v>100</v>
      </c>
      <c r="K197" s="55">
        <f>(F197+G197+J197)*$K$5</f>
        <v>55.95</v>
      </c>
      <c r="L197" s="55">
        <f>(F197+G197+J197+K197)*$L$5</f>
        <v>88.9605</v>
      </c>
      <c r="M197" s="55">
        <f t="shared" si="137"/>
        <v>1077.4105</v>
      </c>
      <c r="N197" s="55"/>
      <c r="O197" s="55">
        <f t="shared" si="138"/>
        <v>2068.62816</v>
      </c>
      <c r="P197" s="119"/>
      <c r="Q197" s="131"/>
    </row>
    <row r="198" s="102" customFormat="1" ht="45" outlineLevel="1" spans="1:17">
      <c r="A198" s="53">
        <v>133</v>
      </c>
      <c r="B198" s="53" t="s">
        <v>128</v>
      </c>
      <c r="C198" s="53" t="s">
        <v>294</v>
      </c>
      <c r="D198" s="53" t="s">
        <v>110</v>
      </c>
      <c r="E198" s="53">
        <v>1.28</v>
      </c>
      <c r="F198" s="105">
        <f t="shared" ref="F198:J198" si="142">F182</f>
        <v>165</v>
      </c>
      <c r="G198" s="55">
        <f t="shared" si="140"/>
        <v>315</v>
      </c>
      <c r="H198" s="105">
        <f t="shared" si="142"/>
        <v>300</v>
      </c>
      <c r="I198" s="65">
        <f t="shared" si="142"/>
        <v>0.05</v>
      </c>
      <c r="J198" s="55">
        <f t="shared" si="142"/>
        <v>135</v>
      </c>
      <c r="K198" s="55">
        <f>(F198+G198+J198)*$K$5</f>
        <v>36.9</v>
      </c>
      <c r="L198" s="55">
        <f>(F198+G198+J198+K198)*$L$5</f>
        <v>58.671</v>
      </c>
      <c r="M198" s="55">
        <f t="shared" si="137"/>
        <v>710.571</v>
      </c>
      <c r="N198" s="55"/>
      <c r="O198" s="55">
        <f t="shared" si="138"/>
        <v>909.53088</v>
      </c>
      <c r="P198" s="119" t="str">
        <f>P185</f>
        <v>厂家定制</v>
      </c>
      <c r="Q198" s="131"/>
    </row>
    <row r="199" s="102" customFormat="1" ht="45" outlineLevel="1" spans="1:17">
      <c r="A199" s="53">
        <v>134</v>
      </c>
      <c r="B199" s="53" t="s">
        <v>221</v>
      </c>
      <c r="C199" s="53" t="s">
        <v>295</v>
      </c>
      <c r="D199" s="53" t="s">
        <v>141</v>
      </c>
      <c r="E199" s="53">
        <v>1</v>
      </c>
      <c r="F199" s="105">
        <f t="shared" ref="F199:J199" si="143">F183</f>
        <v>300</v>
      </c>
      <c r="G199" s="55">
        <f t="shared" si="140"/>
        <v>1111</v>
      </c>
      <c r="H199" s="105">
        <f t="shared" si="143"/>
        <v>1100</v>
      </c>
      <c r="I199" s="65">
        <f t="shared" si="143"/>
        <v>0.01</v>
      </c>
      <c r="J199" s="55">
        <f t="shared" si="143"/>
        <v>310</v>
      </c>
      <c r="K199" s="55">
        <f>(F199+G199+J199)*$K$5</f>
        <v>103.26</v>
      </c>
      <c r="L199" s="55">
        <f>(F199+G199+J199+K199)*$L$5</f>
        <v>164.1834</v>
      </c>
      <c r="M199" s="55">
        <f t="shared" si="137"/>
        <v>1988.4434</v>
      </c>
      <c r="N199" s="55"/>
      <c r="O199" s="55">
        <f t="shared" si="138"/>
        <v>1988.4434</v>
      </c>
      <c r="P199" s="119" t="str">
        <f>P185</f>
        <v>厂家定制</v>
      </c>
      <c r="Q199" s="131"/>
    </row>
    <row r="200" s="102" customFormat="1" spans="1:17">
      <c r="A200" s="53"/>
      <c r="B200" s="53" t="s">
        <v>307</v>
      </c>
      <c r="C200" s="53"/>
      <c r="D200" s="53"/>
      <c r="E200" s="53"/>
      <c r="F200" s="105"/>
      <c r="G200" s="55"/>
      <c r="H200" s="105"/>
      <c r="I200" s="65"/>
      <c r="J200" s="55"/>
      <c r="K200" s="55"/>
      <c r="L200" s="55"/>
      <c r="M200" s="55"/>
      <c r="N200" s="55"/>
      <c r="O200" s="55"/>
      <c r="P200" s="119"/>
      <c r="Q200" s="131"/>
    </row>
    <row r="201" s="102" customFormat="1" ht="101.25" outlineLevel="1" spans="1:17">
      <c r="A201" s="53">
        <v>135</v>
      </c>
      <c r="B201" s="53" t="s">
        <v>238</v>
      </c>
      <c r="C201" s="71" t="s">
        <v>306</v>
      </c>
      <c r="D201" s="53" t="s">
        <v>110</v>
      </c>
      <c r="E201" s="53">
        <v>43.37</v>
      </c>
      <c r="F201" s="105">
        <f>F195</f>
        <v>30</v>
      </c>
      <c r="G201" s="55">
        <f t="shared" ref="G201:G206" si="144">H201*(1+I201)</f>
        <v>15.75</v>
      </c>
      <c r="H201" s="105">
        <f>H195</f>
        <v>15</v>
      </c>
      <c r="I201" s="65">
        <f>I119</f>
        <v>0.05</v>
      </c>
      <c r="J201" s="55">
        <f>J195</f>
        <v>8</v>
      </c>
      <c r="K201" s="55">
        <f>(F201+G201+J201)*$K$5</f>
        <v>3.225</v>
      </c>
      <c r="L201" s="55">
        <f>(F201+G201+J201+K201)*$L$5</f>
        <v>5.12775</v>
      </c>
      <c r="M201" s="55">
        <f t="shared" ref="M201:M206" si="145">F201+G201+J201+K201+L201</f>
        <v>62.10275</v>
      </c>
      <c r="N201" s="55"/>
      <c r="O201" s="55">
        <f t="shared" ref="O201:O206" si="146">M201*E201</f>
        <v>2693.3962675</v>
      </c>
      <c r="P201" s="119" t="str">
        <f>P148</f>
        <v>立邦</v>
      </c>
      <c r="Q201" s="131"/>
    </row>
    <row r="202" s="102" customFormat="1" ht="45" outlineLevel="1" spans="1:17">
      <c r="A202" s="53">
        <v>136</v>
      </c>
      <c r="B202" s="53" t="s">
        <v>223</v>
      </c>
      <c r="C202" s="53" t="s">
        <v>224</v>
      </c>
      <c r="D202" s="53" t="s">
        <v>110</v>
      </c>
      <c r="E202" s="53">
        <v>2.3</v>
      </c>
      <c r="F202" s="105">
        <f t="shared" ref="F202:J202" si="147">F101</f>
        <v>185</v>
      </c>
      <c r="G202" s="55">
        <f t="shared" si="144"/>
        <v>336</v>
      </c>
      <c r="H202" s="105">
        <f t="shared" si="147"/>
        <v>320</v>
      </c>
      <c r="I202" s="65">
        <f t="shared" si="147"/>
        <v>0.05</v>
      </c>
      <c r="J202" s="55">
        <f t="shared" si="147"/>
        <v>35</v>
      </c>
      <c r="K202" s="55">
        <f>(F202+G202+J202)*$K$5</f>
        <v>33.36</v>
      </c>
      <c r="L202" s="55">
        <f>(F202+G202+J202+K202)*$L$5</f>
        <v>53.0424</v>
      </c>
      <c r="M202" s="55">
        <f t="shared" si="145"/>
        <v>642.4024</v>
      </c>
      <c r="N202" s="55"/>
      <c r="O202" s="55">
        <f t="shared" si="146"/>
        <v>1477.52552</v>
      </c>
      <c r="P202" s="119"/>
      <c r="Q202" s="131"/>
    </row>
    <row r="203" s="102" customFormat="1" ht="45" outlineLevel="1" spans="1:17">
      <c r="A203" s="53">
        <v>137</v>
      </c>
      <c r="B203" s="53" t="s">
        <v>240</v>
      </c>
      <c r="C203" s="53" t="s">
        <v>249</v>
      </c>
      <c r="D203" s="53" t="s">
        <v>144</v>
      </c>
      <c r="E203" s="53">
        <v>13.9</v>
      </c>
      <c r="F203" s="105">
        <f t="shared" ref="F203:J203" si="148">F188</f>
        <v>15</v>
      </c>
      <c r="G203" s="55">
        <f t="shared" si="144"/>
        <v>29.4</v>
      </c>
      <c r="H203" s="105">
        <f t="shared" si="148"/>
        <v>28</v>
      </c>
      <c r="I203" s="65">
        <f t="shared" si="148"/>
        <v>0.05</v>
      </c>
      <c r="J203" s="55">
        <f t="shared" si="148"/>
        <v>1</v>
      </c>
      <c r="K203" s="55">
        <f>(F203+G203+J203)*$K$5</f>
        <v>2.724</v>
      </c>
      <c r="L203" s="55">
        <f>(F203+G203+J203+K203)*$L$5</f>
        <v>4.33116</v>
      </c>
      <c r="M203" s="55">
        <f t="shared" si="145"/>
        <v>52.45516</v>
      </c>
      <c r="N203" s="55"/>
      <c r="O203" s="55">
        <f t="shared" si="146"/>
        <v>729.126724</v>
      </c>
      <c r="P203" s="119"/>
      <c r="Q203" s="131"/>
    </row>
    <row r="204" s="102" customFormat="1" ht="45" outlineLevel="1" spans="1:17">
      <c r="A204" s="53">
        <v>138</v>
      </c>
      <c r="B204" s="53" t="s">
        <v>251</v>
      </c>
      <c r="C204" s="53" t="s">
        <v>293</v>
      </c>
      <c r="D204" s="53" t="s">
        <v>110</v>
      </c>
      <c r="E204" s="53">
        <v>1.92</v>
      </c>
      <c r="F204" s="105">
        <f t="shared" ref="F204:J204" si="149">F181</f>
        <v>150</v>
      </c>
      <c r="G204" s="55">
        <f t="shared" si="144"/>
        <v>682.5</v>
      </c>
      <c r="H204" s="105">
        <f t="shared" si="149"/>
        <v>650</v>
      </c>
      <c r="I204" s="65">
        <f t="shared" si="149"/>
        <v>0.05</v>
      </c>
      <c r="J204" s="55">
        <f t="shared" si="149"/>
        <v>100</v>
      </c>
      <c r="K204" s="55">
        <f>(F204+G204+J204)*$K$5</f>
        <v>55.95</v>
      </c>
      <c r="L204" s="55">
        <f>(F204+G204+J204+K204)*$L$5</f>
        <v>88.9605</v>
      </c>
      <c r="M204" s="55">
        <f t="shared" si="145"/>
        <v>1077.4105</v>
      </c>
      <c r="N204" s="55"/>
      <c r="O204" s="55">
        <f t="shared" si="146"/>
        <v>2068.62816</v>
      </c>
      <c r="P204" s="119"/>
      <c r="Q204" s="131"/>
    </row>
    <row r="205" s="102" customFormat="1" ht="45" outlineLevel="1" spans="1:17">
      <c r="A205" s="53">
        <v>139</v>
      </c>
      <c r="B205" s="53" t="s">
        <v>128</v>
      </c>
      <c r="C205" s="53" t="s">
        <v>294</v>
      </c>
      <c r="D205" s="53" t="s">
        <v>110</v>
      </c>
      <c r="E205" s="53">
        <v>1.28</v>
      </c>
      <c r="F205" s="105">
        <f t="shared" ref="F205:J205" si="150">F182</f>
        <v>165</v>
      </c>
      <c r="G205" s="55">
        <f t="shared" si="144"/>
        <v>315</v>
      </c>
      <c r="H205" s="105">
        <f t="shared" si="150"/>
        <v>300</v>
      </c>
      <c r="I205" s="65">
        <f t="shared" si="150"/>
        <v>0.05</v>
      </c>
      <c r="J205" s="55">
        <f t="shared" si="150"/>
        <v>135</v>
      </c>
      <c r="K205" s="55">
        <f>(F205+G205+J205)*$K$5</f>
        <v>36.9</v>
      </c>
      <c r="L205" s="55">
        <f>(F205+G205+J205+K205)*$L$5</f>
        <v>58.671</v>
      </c>
      <c r="M205" s="55">
        <f t="shared" si="145"/>
        <v>710.571</v>
      </c>
      <c r="N205" s="55"/>
      <c r="O205" s="55">
        <f t="shared" si="146"/>
        <v>909.53088</v>
      </c>
      <c r="P205" s="119" t="str">
        <f>P185</f>
        <v>厂家定制</v>
      </c>
      <c r="Q205" s="131"/>
    </row>
    <row r="206" s="102" customFormat="1" ht="45" outlineLevel="1" spans="1:17">
      <c r="A206" s="53">
        <v>140</v>
      </c>
      <c r="B206" s="53" t="s">
        <v>221</v>
      </c>
      <c r="C206" s="53" t="s">
        <v>295</v>
      </c>
      <c r="D206" s="53" t="s">
        <v>141</v>
      </c>
      <c r="E206" s="53">
        <v>1</v>
      </c>
      <c r="F206" s="105">
        <f t="shared" ref="F206:J206" si="151">F183</f>
        <v>300</v>
      </c>
      <c r="G206" s="55">
        <f t="shared" si="144"/>
        <v>1111</v>
      </c>
      <c r="H206" s="105">
        <f t="shared" si="151"/>
        <v>1100</v>
      </c>
      <c r="I206" s="65">
        <f t="shared" si="151"/>
        <v>0.01</v>
      </c>
      <c r="J206" s="55">
        <f t="shared" si="151"/>
        <v>310</v>
      </c>
      <c r="K206" s="55">
        <f>(F206+G206+J206)*$K$5</f>
        <v>103.26</v>
      </c>
      <c r="L206" s="55">
        <f>(F206+G206+J206+K206)*$L$5</f>
        <v>164.1834</v>
      </c>
      <c r="M206" s="55">
        <f t="shared" si="145"/>
        <v>1988.4434</v>
      </c>
      <c r="N206" s="55"/>
      <c r="O206" s="55">
        <f t="shared" si="146"/>
        <v>1988.4434</v>
      </c>
      <c r="P206" s="119" t="str">
        <f>P199</f>
        <v>厂家定制</v>
      </c>
      <c r="Q206" s="131"/>
    </row>
    <row r="207" s="102" customFormat="1" ht="22.5" spans="1:17">
      <c r="A207" s="53"/>
      <c r="B207" s="53" t="s">
        <v>308</v>
      </c>
      <c r="C207" s="53"/>
      <c r="D207" s="53"/>
      <c r="E207" s="53"/>
      <c r="F207" s="105"/>
      <c r="G207" s="55"/>
      <c r="H207" s="105"/>
      <c r="I207" s="65"/>
      <c r="J207" s="55"/>
      <c r="K207" s="55"/>
      <c r="L207" s="55"/>
      <c r="M207" s="55"/>
      <c r="N207" s="55"/>
      <c r="O207" s="55"/>
      <c r="P207" s="119"/>
      <c r="Q207" s="131"/>
    </row>
    <row r="208" s="102" customFormat="1" ht="101.25" outlineLevel="1" spans="1:17">
      <c r="A208" s="53">
        <v>141</v>
      </c>
      <c r="B208" s="53" t="s">
        <v>238</v>
      </c>
      <c r="C208" s="53" t="s">
        <v>306</v>
      </c>
      <c r="D208" s="53" t="s">
        <v>110</v>
      </c>
      <c r="E208" s="53">
        <v>31.81</v>
      </c>
      <c r="F208" s="113">
        <f>F195</f>
        <v>30</v>
      </c>
      <c r="G208" s="58">
        <f t="shared" ref="G208:G213" si="152">H208*(1+I208)</f>
        <v>15.75</v>
      </c>
      <c r="H208" s="113">
        <f>H195</f>
        <v>15</v>
      </c>
      <c r="I208" s="58">
        <f>I119</f>
        <v>0.05</v>
      </c>
      <c r="J208" s="58">
        <f>J195</f>
        <v>8</v>
      </c>
      <c r="K208" s="55">
        <f>(F208+G208+J208)*$K$5</f>
        <v>3.225</v>
      </c>
      <c r="L208" s="55">
        <f>(F208+G208+J208+K208)*$L$5</f>
        <v>5.12775</v>
      </c>
      <c r="M208" s="55">
        <f t="shared" ref="M208:M213" si="153">F208+G208+J208+K208+L208</f>
        <v>62.10275</v>
      </c>
      <c r="N208" s="55"/>
      <c r="O208" s="55">
        <f t="shared" ref="O208:O213" si="154">M208*E208</f>
        <v>1975.4884775</v>
      </c>
      <c r="P208" s="119" t="str">
        <f>P148</f>
        <v>立邦</v>
      </c>
      <c r="Q208" s="131"/>
    </row>
    <row r="209" s="102" customFormat="1" ht="45" outlineLevel="1" spans="1:17">
      <c r="A209" s="53">
        <v>142</v>
      </c>
      <c r="B209" s="53" t="s">
        <v>223</v>
      </c>
      <c r="C209" s="53" t="s">
        <v>224</v>
      </c>
      <c r="D209" s="53" t="s">
        <v>110</v>
      </c>
      <c r="E209" s="53">
        <v>8.63</v>
      </c>
      <c r="F209" s="105">
        <f t="shared" ref="F209:J209" si="155">F101</f>
        <v>185</v>
      </c>
      <c r="G209" s="55">
        <f t="shared" si="152"/>
        <v>336</v>
      </c>
      <c r="H209" s="105">
        <f t="shared" si="155"/>
        <v>320</v>
      </c>
      <c r="I209" s="65">
        <f t="shared" si="155"/>
        <v>0.05</v>
      </c>
      <c r="J209" s="55">
        <f t="shared" si="155"/>
        <v>35</v>
      </c>
      <c r="K209" s="55">
        <f>(F209+G209+J209)*$K$5</f>
        <v>33.36</v>
      </c>
      <c r="L209" s="55">
        <f>(F209+G209+J209+K209)*$L$5</f>
        <v>53.0424</v>
      </c>
      <c r="M209" s="55">
        <f t="shared" si="153"/>
        <v>642.4024</v>
      </c>
      <c r="N209" s="55"/>
      <c r="O209" s="55">
        <f t="shared" si="154"/>
        <v>5543.932712</v>
      </c>
      <c r="P209" s="119"/>
      <c r="Q209" s="131"/>
    </row>
    <row r="210" s="102" customFormat="1" ht="45" outlineLevel="1" spans="1:17">
      <c r="A210" s="53">
        <v>143</v>
      </c>
      <c r="B210" s="53" t="s">
        <v>240</v>
      </c>
      <c r="C210" s="53" t="s">
        <v>249</v>
      </c>
      <c r="D210" s="53" t="s">
        <v>144</v>
      </c>
      <c r="E210" s="53">
        <v>10.2</v>
      </c>
      <c r="F210" s="105">
        <f t="shared" ref="F210:J210" si="156">F188</f>
        <v>15</v>
      </c>
      <c r="G210" s="55">
        <f t="shared" si="152"/>
        <v>29.4</v>
      </c>
      <c r="H210" s="105">
        <f t="shared" si="156"/>
        <v>28</v>
      </c>
      <c r="I210" s="65">
        <f t="shared" si="156"/>
        <v>0.05</v>
      </c>
      <c r="J210" s="55">
        <f t="shared" si="156"/>
        <v>1</v>
      </c>
      <c r="K210" s="55">
        <f>(F210+G210+J210)*$K$5</f>
        <v>2.724</v>
      </c>
      <c r="L210" s="55">
        <f>(F210+G210+J210+K210)*$L$5</f>
        <v>4.33116</v>
      </c>
      <c r="M210" s="55">
        <f t="shared" si="153"/>
        <v>52.45516</v>
      </c>
      <c r="N210" s="55"/>
      <c r="O210" s="55">
        <f t="shared" si="154"/>
        <v>535.042632</v>
      </c>
      <c r="P210" s="119"/>
      <c r="Q210" s="131"/>
    </row>
    <row r="211" s="102" customFormat="1" ht="45" outlineLevel="1" spans="1:17">
      <c r="A211" s="53">
        <v>144</v>
      </c>
      <c r="B211" s="53" t="s">
        <v>251</v>
      </c>
      <c r="C211" s="53" t="s">
        <v>293</v>
      </c>
      <c r="D211" s="53" t="s">
        <v>110</v>
      </c>
      <c r="E211" s="53">
        <v>1.92</v>
      </c>
      <c r="F211" s="105">
        <f t="shared" ref="F211:J211" si="157">F181</f>
        <v>150</v>
      </c>
      <c r="G211" s="55">
        <f t="shared" si="152"/>
        <v>682.5</v>
      </c>
      <c r="H211" s="105">
        <f t="shared" si="157"/>
        <v>650</v>
      </c>
      <c r="I211" s="65">
        <f t="shared" si="157"/>
        <v>0.05</v>
      </c>
      <c r="J211" s="55">
        <f t="shared" si="157"/>
        <v>100</v>
      </c>
      <c r="K211" s="55">
        <f>(F211+G211+J211)*$K$5</f>
        <v>55.95</v>
      </c>
      <c r="L211" s="55">
        <f>(F211+G211+J211+K211)*$L$5</f>
        <v>88.9605</v>
      </c>
      <c r="M211" s="55">
        <f t="shared" si="153"/>
        <v>1077.4105</v>
      </c>
      <c r="N211" s="55"/>
      <c r="O211" s="55">
        <f t="shared" si="154"/>
        <v>2068.62816</v>
      </c>
      <c r="P211" s="119"/>
      <c r="Q211" s="131"/>
    </row>
    <row r="212" s="102" customFormat="1" ht="45" outlineLevel="1" spans="1:17">
      <c r="A212" s="53">
        <v>145</v>
      </c>
      <c r="B212" s="53" t="s">
        <v>128</v>
      </c>
      <c r="C212" s="53" t="s">
        <v>294</v>
      </c>
      <c r="D212" s="53" t="s">
        <v>110</v>
      </c>
      <c r="E212" s="53">
        <v>1.28</v>
      </c>
      <c r="F212" s="105">
        <f t="shared" ref="F212:J212" si="158">F182</f>
        <v>165</v>
      </c>
      <c r="G212" s="55">
        <f t="shared" si="152"/>
        <v>315</v>
      </c>
      <c r="H212" s="105">
        <f t="shared" si="158"/>
        <v>300</v>
      </c>
      <c r="I212" s="65">
        <f t="shared" si="158"/>
        <v>0.05</v>
      </c>
      <c r="J212" s="55">
        <f t="shared" si="158"/>
        <v>135</v>
      </c>
      <c r="K212" s="55">
        <f>(F212+G212+J212)*$K$5</f>
        <v>36.9</v>
      </c>
      <c r="L212" s="55">
        <f>(F212+G212+J212+K212)*$L$5</f>
        <v>58.671</v>
      </c>
      <c r="M212" s="55">
        <f t="shared" si="153"/>
        <v>710.571</v>
      </c>
      <c r="N212" s="55"/>
      <c r="O212" s="55">
        <f t="shared" si="154"/>
        <v>909.53088</v>
      </c>
      <c r="P212" s="119" t="str">
        <f>P199</f>
        <v>厂家定制</v>
      </c>
      <c r="Q212" s="131"/>
    </row>
    <row r="213" s="102" customFormat="1" ht="45" outlineLevel="1" spans="1:17">
      <c r="A213" s="53">
        <v>146</v>
      </c>
      <c r="B213" s="53" t="s">
        <v>221</v>
      </c>
      <c r="C213" s="53" t="s">
        <v>295</v>
      </c>
      <c r="D213" s="53" t="s">
        <v>141</v>
      </c>
      <c r="E213" s="53">
        <v>1</v>
      </c>
      <c r="F213" s="105">
        <f t="shared" ref="F213:J213" si="159">F183</f>
        <v>300</v>
      </c>
      <c r="G213" s="55">
        <f t="shared" si="152"/>
        <v>1111</v>
      </c>
      <c r="H213" s="105">
        <f t="shared" si="159"/>
        <v>1100</v>
      </c>
      <c r="I213" s="65">
        <f t="shared" si="159"/>
        <v>0.01</v>
      </c>
      <c r="J213" s="55">
        <f t="shared" si="159"/>
        <v>310</v>
      </c>
      <c r="K213" s="55">
        <f>(F213+G213+J213)*$K$5</f>
        <v>103.26</v>
      </c>
      <c r="L213" s="55">
        <f>(F213+G213+J213+K213)*$L$5</f>
        <v>164.1834</v>
      </c>
      <c r="M213" s="55">
        <f t="shared" si="153"/>
        <v>1988.4434</v>
      </c>
      <c r="N213" s="55"/>
      <c r="O213" s="55">
        <f t="shared" si="154"/>
        <v>1988.4434</v>
      </c>
      <c r="P213" s="119" t="str">
        <f>P199</f>
        <v>厂家定制</v>
      </c>
      <c r="Q213" s="131"/>
    </row>
    <row r="214" s="102" customFormat="1" spans="1:17">
      <c r="A214" s="53"/>
      <c r="B214" s="53" t="s">
        <v>309</v>
      </c>
      <c r="C214" s="53"/>
      <c r="D214" s="53"/>
      <c r="E214" s="53"/>
      <c r="F214" s="105"/>
      <c r="G214" s="55"/>
      <c r="H214" s="105"/>
      <c r="I214" s="65"/>
      <c r="J214" s="55"/>
      <c r="K214" s="55"/>
      <c r="L214" s="55"/>
      <c r="M214" s="55"/>
      <c r="N214" s="55"/>
      <c r="O214" s="55"/>
      <c r="P214" s="119"/>
      <c r="Q214" s="131"/>
    </row>
    <row r="215" s="102" customFormat="1" ht="101.25" outlineLevel="1" spans="1:17">
      <c r="A215" s="53">
        <v>147</v>
      </c>
      <c r="B215" s="53" t="s">
        <v>238</v>
      </c>
      <c r="C215" s="53" t="s">
        <v>306</v>
      </c>
      <c r="D215" s="53" t="s">
        <v>110</v>
      </c>
      <c r="E215" s="53">
        <v>71.18</v>
      </c>
      <c r="F215" s="113">
        <f>F195</f>
        <v>30</v>
      </c>
      <c r="G215" s="58">
        <f t="shared" ref="G215:G220" si="160">H215*(1+I215)</f>
        <v>15.75</v>
      </c>
      <c r="H215" s="113">
        <f>H195</f>
        <v>15</v>
      </c>
      <c r="I215" s="68">
        <f>I119</f>
        <v>0.05</v>
      </c>
      <c r="J215" s="58">
        <f>J195</f>
        <v>8</v>
      </c>
      <c r="K215" s="55">
        <f>(F215+G215+J215)*$K$5</f>
        <v>3.225</v>
      </c>
      <c r="L215" s="55">
        <f>(F215+G215+J215+K215)*$L$5</f>
        <v>5.12775</v>
      </c>
      <c r="M215" s="55">
        <f t="shared" ref="M215:M220" si="161">F215+G215+J215+K215+L215</f>
        <v>62.10275</v>
      </c>
      <c r="N215" s="55"/>
      <c r="O215" s="55">
        <f t="shared" ref="O215:O220" si="162">M215*E215</f>
        <v>4420.473745</v>
      </c>
      <c r="P215" s="119" t="str">
        <f>P195</f>
        <v>立邦</v>
      </c>
      <c r="Q215" s="131"/>
    </row>
    <row r="216" s="102" customFormat="1" ht="45" outlineLevel="1" spans="1:17">
      <c r="A216" s="53">
        <v>148</v>
      </c>
      <c r="B216" s="53" t="s">
        <v>223</v>
      </c>
      <c r="C216" s="53" t="s">
        <v>224</v>
      </c>
      <c r="D216" s="53" t="s">
        <v>110</v>
      </c>
      <c r="E216" s="53">
        <v>9.89</v>
      </c>
      <c r="F216" s="105">
        <f t="shared" ref="F216:J216" si="163">F101</f>
        <v>185</v>
      </c>
      <c r="G216" s="55">
        <f t="shared" si="160"/>
        <v>336</v>
      </c>
      <c r="H216" s="105">
        <f t="shared" si="163"/>
        <v>320</v>
      </c>
      <c r="I216" s="65">
        <f t="shared" si="163"/>
        <v>0.05</v>
      </c>
      <c r="J216" s="55">
        <f t="shared" si="163"/>
        <v>35</v>
      </c>
      <c r="K216" s="55">
        <f>(F216+G216+J216)*$K$5</f>
        <v>33.36</v>
      </c>
      <c r="L216" s="55">
        <f>(F216+G216+J216+K216)*$L$5</f>
        <v>53.0424</v>
      </c>
      <c r="M216" s="55">
        <f t="shared" si="161"/>
        <v>642.4024</v>
      </c>
      <c r="N216" s="55"/>
      <c r="O216" s="55">
        <f t="shared" si="162"/>
        <v>6353.359736</v>
      </c>
      <c r="P216" s="119"/>
      <c r="Q216" s="131"/>
    </row>
    <row r="217" s="102" customFormat="1" ht="45" outlineLevel="1" spans="1:17">
      <c r="A217" s="53">
        <v>149</v>
      </c>
      <c r="B217" s="53" t="s">
        <v>240</v>
      </c>
      <c r="C217" s="53" t="s">
        <v>249</v>
      </c>
      <c r="D217" s="53" t="s">
        <v>144</v>
      </c>
      <c r="E217" s="53">
        <v>22.92</v>
      </c>
      <c r="F217" s="105">
        <f t="shared" ref="F217:J217" si="164">F188</f>
        <v>15</v>
      </c>
      <c r="G217" s="55">
        <f t="shared" si="160"/>
        <v>29.4</v>
      </c>
      <c r="H217" s="105">
        <f t="shared" si="164"/>
        <v>28</v>
      </c>
      <c r="I217" s="65">
        <f t="shared" si="164"/>
        <v>0.05</v>
      </c>
      <c r="J217" s="55">
        <f t="shared" si="164"/>
        <v>1</v>
      </c>
      <c r="K217" s="55">
        <f>(F217+G217+J217)*$K$5</f>
        <v>2.724</v>
      </c>
      <c r="L217" s="55">
        <f>(F217+G217+J217+K217)*$L$5</f>
        <v>4.33116</v>
      </c>
      <c r="M217" s="55">
        <f t="shared" si="161"/>
        <v>52.45516</v>
      </c>
      <c r="N217" s="55"/>
      <c r="O217" s="55">
        <f t="shared" si="162"/>
        <v>1202.2722672</v>
      </c>
      <c r="P217" s="119"/>
      <c r="Q217" s="131"/>
    </row>
    <row r="218" s="102" customFormat="1" ht="45" outlineLevel="1" spans="1:17">
      <c r="A218" s="53">
        <v>150</v>
      </c>
      <c r="B218" s="53" t="s">
        <v>251</v>
      </c>
      <c r="C218" s="53" t="s">
        <v>293</v>
      </c>
      <c r="D218" s="53" t="s">
        <v>110</v>
      </c>
      <c r="E218" s="53">
        <v>1.92</v>
      </c>
      <c r="F218" s="105">
        <f t="shared" ref="F218:J218" si="165">F181</f>
        <v>150</v>
      </c>
      <c r="G218" s="55">
        <f t="shared" si="160"/>
        <v>682.5</v>
      </c>
      <c r="H218" s="105">
        <f t="shared" si="165"/>
        <v>650</v>
      </c>
      <c r="I218" s="65">
        <f t="shared" si="165"/>
        <v>0.05</v>
      </c>
      <c r="J218" s="55">
        <f t="shared" si="165"/>
        <v>100</v>
      </c>
      <c r="K218" s="55">
        <f>(F218+G218+J218)*$K$5</f>
        <v>55.95</v>
      </c>
      <c r="L218" s="55">
        <f>(F218+G218+J218+K218)*$L$5</f>
        <v>88.9605</v>
      </c>
      <c r="M218" s="55">
        <f t="shared" si="161"/>
        <v>1077.4105</v>
      </c>
      <c r="N218" s="55"/>
      <c r="O218" s="55">
        <f t="shared" si="162"/>
        <v>2068.62816</v>
      </c>
      <c r="P218" s="119"/>
      <c r="Q218" s="131"/>
    </row>
    <row r="219" s="102" customFormat="1" ht="45" outlineLevel="1" spans="1:17">
      <c r="A219" s="53">
        <v>151</v>
      </c>
      <c r="B219" s="53" t="s">
        <v>128</v>
      </c>
      <c r="C219" s="53" t="s">
        <v>294</v>
      </c>
      <c r="D219" s="53" t="s">
        <v>110</v>
      </c>
      <c r="E219" s="53">
        <v>1.28</v>
      </c>
      <c r="F219" s="105">
        <f t="shared" ref="F219:J219" si="166">F182</f>
        <v>165</v>
      </c>
      <c r="G219" s="55">
        <f t="shared" si="160"/>
        <v>315</v>
      </c>
      <c r="H219" s="105">
        <f t="shared" si="166"/>
        <v>300</v>
      </c>
      <c r="I219" s="65">
        <f t="shared" si="166"/>
        <v>0.05</v>
      </c>
      <c r="J219" s="55">
        <f t="shared" si="166"/>
        <v>135</v>
      </c>
      <c r="K219" s="55">
        <f>(F219+G219+J219)*$K$5</f>
        <v>36.9</v>
      </c>
      <c r="L219" s="55">
        <f>(F219+G219+J219+K219)*$L$5</f>
        <v>58.671</v>
      </c>
      <c r="M219" s="55">
        <f t="shared" si="161"/>
        <v>710.571</v>
      </c>
      <c r="N219" s="55"/>
      <c r="O219" s="55">
        <f t="shared" si="162"/>
        <v>909.53088</v>
      </c>
      <c r="P219" s="119" t="str">
        <f>P212</f>
        <v>厂家定制</v>
      </c>
      <c r="Q219" s="131"/>
    </row>
    <row r="220" s="102" customFormat="1" ht="45" outlineLevel="1" spans="1:17">
      <c r="A220" s="53">
        <v>152</v>
      </c>
      <c r="B220" s="53" t="s">
        <v>221</v>
      </c>
      <c r="C220" s="53" t="s">
        <v>295</v>
      </c>
      <c r="D220" s="53" t="s">
        <v>141</v>
      </c>
      <c r="E220" s="53">
        <v>1</v>
      </c>
      <c r="F220" s="105">
        <f t="shared" ref="F220:J220" si="167">F183</f>
        <v>300</v>
      </c>
      <c r="G220" s="55">
        <f t="shared" si="160"/>
        <v>1111</v>
      </c>
      <c r="H220" s="105">
        <f t="shared" si="167"/>
        <v>1100</v>
      </c>
      <c r="I220" s="65">
        <f t="shared" si="167"/>
        <v>0.01</v>
      </c>
      <c r="J220" s="55">
        <f t="shared" si="167"/>
        <v>310</v>
      </c>
      <c r="K220" s="55">
        <f>(F220+G220+J220)*$K$5</f>
        <v>103.26</v>
      </c>
      <c r="L220" s="55">
        <f>(F220+G220+J220+K220)*$L$5</f>
        <v>164.1834</v>
      </c>
      <c r="M220" s="55">
        <f t="shared" si="161"/>
        <v>1988.4434</v>
      </c>
      <c r="N220" s="55"/>
      <c r="O220" s="55">
        <f t="shared" si="162"/>
        <v>1988.4434</v>
      </c>
      <c r="P220" s="119" t="str">
        <f>P212</f>
        <v>厂家定制</v>
      </c>
      <c r="Q220" s="131"/>
    </row>
    <row r="221" s="102" customFormat="1" spans="1:17">
      <c r="A221" s="53"/>
      <c r="B221" s="53" t="s">
        <v>310</v>
      </c>
      <c r="C221" s="53"/>
      <c r="D221" s="53"/>
      <c r="E221" s="53"/>
      <c r="F221" s="105"/>
      <c r="G221" s="55"/>
      <c r="H221" s="105"/>
      <c r="I221" s="65"/>
      <c r="J221" s="55"/>
      <c r="K221" s="55"/>
      <c r="L221" s="55"/>
      <c r="M221" s="55"/>
      <c r="N221" s="55"/>
      <c r="O221" s="55"/>
      <c r="P221" s="119"/>
      <c r="Q221" s="131"/>
    </row>
    <row r="222" s="102" customFormat="1" ht="101.25" outlineLevel="1" spans="1:17">
      <c r="A222" s="53">
        <v>153</v>
      </c>
      <c r="B222" s="53" t="s">
        <v>238</v>
      </c>
      <c r="C222" s="53" t="s">
        <v>306</v>
      </c>
      <c r="D222" s="53" t="s">
        <v>110</v>
      </c>
      <c r="E222" s="53">
        <v>37.66</v>
      </c>
      <c r="F222" s="113">
        <f>F195</f>
        <v>30</v>
      </c>
      <c r="G222" s="58">
        <f t="shared" ref="G222:G226" si="168">H222*(1+I222)</f>
        <v>15.75</v>
      </c>
      <c r="H222" s="113">
        <f>H195</f>
        <v>15</v>
      </c>
      <c r="I222" s="68">
        <f>I119</f>
        <v>0.05</v>
      </c>
      <c r="J222" s="58">
        <f>J195</f>
        <v>8</v>
      </c>
      <c r="K222" s="55">
        <f>(F222+G222+J222)*$K$5</f>
        <v>3.225</v>
      </c>
      <c r="L222" s="55">
        <f>(F222+G222+J222+K222)*$L$5</f>
        <v>5.12775</v>
      </c>
      <c r="M222" s="55">
        <f t="shared" ref="M222:M226" si="169">F222+G222+J222+K222+L222</f>
        <v>62.10275</v>
      </c>
      <c r="N222" s="55"/>
      <c r="O222" s="55">
        <f t="shared" ref="O222:O226" si="170">M222*E222</f>
        <v>2338.789565</v>
      </c>
      <c r="P222" s="119" t="str">
        <f>P195</f>
        <v>立邦</v>
      </c>
      <c r="Q222" s="131"/>
    </row>
    <row r="223" s="102" customFormat="1" ht="45" outlineLevel="1" spans="1:17">
      <c r="A223" s="53">
        <v>154</v>
      </c>
      <c r="B223" s="53" t="s">
        <v>240</v>
      </c>
      <c r="C223" s="53" t="s">
        <v>249</v>
      </c>
      <c r="D223" s="53" t="s">
        <v>144</v>
      </c>
      <c r="E223" s="53">
        <v>12.27</v>
      </c>
      <c r="F223" s="105">
        <f t="shared" ref="F223:J223" si="171">F196</f>
        <v>15</v>
      </c>
      <c r="G223" s="55">
        <f t="shared" si="168"/>
        <v>29.4</v>
      </c>
      <c r="H223" s="105">
        <f t="shared" si="171"/>
        <v>28</v>
      </c>
      <c r="I223" s="65">
        <f t="shared" si="171"/>
        <v>0.05</v>
      </c>
      <c r="J223" s="55">
        <f t="shared" si="171"/>
        <v>1</v>
      </c>
      <c r="K223" s="55">
        <f>(F223+G223+J223)*$K$5</f>
        <v>2.724</v>
      </c>
      <c r="L223" s="55">
        <f>(F223+G223+J223+K223)*$L$5</f>
        <v>4.33116</v>
      </c>
      <c r="M223" s="55">
        <f t="shared" si="169"/>
        <v>52.45516</v>
      </c>
      <c r="N223" s="55"/>
      <c r="O223" s="55">
        <f t="shared" si="170"/>
        <v>643.6248132</v>
      </c>
      <c r="P223" s="119"/>
      <c r="Q223" s="131"/>
    </row>
    <row r="224" s="102" customFormat="1" ht="45" outlineLevel="1" spans="1:17">
      <c r="A224" s="53">
        <v>155</v>
      </c>
      <c r="B224" s="53" t="s">
        <v>251</v>
      </c>
      <c r="C224" s="53" t="s">
        <v>293</v>
      </c>
      <c r="D224" s="53" t="s">
        <v>110</v>
      </c>
      <c r="E224" s="53">
        <v>1.92</v>
      </c>
      <c r="F224" s="105">
        <f t="shared" ref="F224:J224" si="172">F181</f>
        <v>150</v>
      </c>
      <c r="G224" s="55">
        <f t="shared" si="168"/>
        <v>682.5</v>
      </c>
      <c r="H224" s="105">
        <f t="shared" si="172"/>
        <v>650</v>
      </c>
      <c r="I224" s="65">
        <f t="shared" si="172"/>
        <v>0.05</v>
      </c>
      <c r="J224" s="55">
        <f t="shared" si="172"/>
        <v>100</v>
      </c>
      <c r="K224" s="55">
        <f>(F224+G224+J224)*$K$5</f>
        <v>55.95</v>
      </c>
      <c r="L224" s="55">
        <f>(F224+G224+J224+K224)*$L$5</f>
        <v>88.9605</v>
      </c>
      <c r="M224" s="55">
        <f t="shared" si="169"/>
        <v>1077.4105</v>
      </c>
      <c r="N224" s="55"/>
      <c r="O224" s="55">
        <f t="shared" si="170"/>
        <v>2068.62816</v>
      </c>
      <c r="P224" s="119"/>
      <c r="Q224" s="131"/>
    </row>
    <row r="225" s="102" customFormat="1" ht="45" outlineLevel="1" spans="1:17">
      <c r="A225" s="53">
        <v>156</v>
      </c>
      <c r="B225" s="53" t="s">
        <v>128</v>
      </c>
      <c r="C225" s="53" t="s">
        <v>294</v>
      </c>
      <c r="D225" s="53" t="s">
        <v>110</v>
      </c>
      <c r="E225" s="53">
        <v>1.28</v>
      </c>
      <c r="F225" s="105">
        <f t="shared" ref="F225:J225" si="173">F182</f>
        <v>165</v>
      </c>
      <c r="G225" s="55">
        <f t="shared" si="168"/>
        <v>315</v>
      </c>
      <c r="H225" s="105">
        <f t="shared" si="173"/>
        <v>300</v>
      </c>
      <c r="I225" s="65">
        <f t="shared" si="173"/>
        <v>0.05</v>
      </c>
      <c r="J225" s="55">
        <f t="shared" si="173"/>
        <v>135</v>
      </c>
      <c r="K225" s="55">
        <f>(F225+G225+J225)*$K$5</f>
        <v>36.9</v>
      </c>
      <c r="L225" s="55">
        <f>(F225+G225+J225+K225)*$L$5</f>
        <v>58.671</v>
      </c>
      <c r="M225" s="55">
        <f t="shared" si="169"/>
        <v>710.571</v>
      </c>
      <c r="N225" s="55"/>
      <c r="O225" s="55">
        <f t="shared" si="170"/>
        <v>909.53088</v>
      </c>
      <c r="P225" s="119" t="str">
        <f>P212</f>
        <v>厂家定制</v>
      </c>
      <c r="Q225" s="131"/>
    </row>
    <row r="226" s="102" customFormat="1" ht="45" outlineLevel="1" spans="1:17">
      <c r="A226" s="53">
        <v>157</v>
      </c>
      <c r="B226" s="53" t="s">
        <v>221</v>
      </c>
      <c r="C226" s="53" t="s">
        <v>295</v>
      </c>
      <c r="D226" s="53" t="s">
        <v>141</v>
      </c>
      <c r="E226" s="53">
        <v>1</v>
      </c>
      <c r="F226" s="105">
        <f t="shared" ref="F226:J226" si="174">F183</f>
        <v>300</v>
      </c>
      <c r="G226" s="55">
        <f t="shared" si="168"/>
        <v>1111</v>
      </c>
      <c r="H226" s="105">
        <f t="shared" si="174"/>
        <v>1100</v>
      </c>
      <c r="I226" s="65">
        <f t="shared" si="174"/>
        <v>0.01</v>
      </c>
      <c r="J226" s="55">
        <f t="shared" si="174"/>
        <v>310</v>
      </c>
      <c r="K226" s="55">
        <f>(F226+G226+J226)*$K$5</f>
        <v>103.26</v>
      </c>
      <c r="L226" s="55">
        <f>(F226+G226+J226+K226)*$L$5</f>
        <v>164.1834</v>
      </c>
      <c r="M226" s="55">
        <f t="shared" si="169"/>
        <v>1988.4434</v>
      </c>
      <c r="N226" s="55"/>
      <c r="O226" s="55">
        <f t="shared" si="170"/>
        <v>1988.4434</v>
      </c>
      <c r="P226" s="119" t="str">
        <f>P212</f>
        <v>厂家定制</v>
      </c>
      <c r="Q226" s="131"/>
    </row>
    <row r="227" s="102" customFormat="1" spans="1:17">
      <c r="A227" s="53"/>
      <c r="B227" s="53" t="s">
        <v>311</v>
      </c>
      <c r="C227" s="53"/>
      <c r="D227" s="53"/>
      <c r="E227" s="53"/>
      <c r="F227" s="105"/>
      <c r="G227" s="55"/>
      <c r="H227" s="105"/>
      <c r="I227" s="65"/>
      <c r="J227" s="55"/>
      <c r="K227" s="55"/>
      <c r="L227" s="55"/>
      <c r="M227" s="55"/>
      <c r="N227" s="55"/>
      <c r="O227" s="55"/>
      <c r="P227" s="119"/>
      <c r="Q227" s="131"/>
    </row>
    <row r="228" s="102" customFormat="1" ht="101.25" outlineLevel="1" spans="1:17">
      <c r="A228" s="53">
        <v>158</v>
      </c>
      <c r="B228" s="53" t="s">
        <v>238</v>
      </c>
      <c r="C228" s="53" t="s">
        <v>306</v>
      </c>
      <c r="D228" s="53" t="s">
        <v>110</v>
      </c>
      <c r="E228" s="53">
        <v>38.28</v>
      </c>
      <c r="F228" s="105">
        <f>F195</f>
        <v>30</v>
      </c>
      <c r="G228" s="55">
        <f t="shared" ref="G228:G232" si="175">H228*(1+I228)</f>
        <v>15.75</v>
      </c>
      <c r="H228" s="105">
        <f>H195</f>
        <v>15</v>
      </c>
      <c r="I228" s="65">
        <f>I119</f>
        <v>0.05</v>
      </c>
      <c r="J228" s="55">
        <f>J195</f>
        <v>8</v>
      </c>
      <c r="K228" s="55">
        <f>(F228+G228+J228)*$K$5</f>
        <v>3.225</v>
      </c>
      <c r="L228" s="55">
        <f>(F228+G228+J228+K228)*$L$5</f>
        <v>5.12775</v>
      </c>
      <c r="M228" s="55">
        <f t="shared" ref="M228:M232" si="176">F228+G228+J228+K228+L228</f>
        <v>62.10275</v>
      </c>
      <c r="N228" s="55"/>
      <c r="O228" s="55">
        <f t="shared" ref="O228:O232" si="177">M228*E228</f>
        <v>2377.29327</v>
      </c>
      <c r="P228" s="119" t="str">
        <f>P195</f>
        <v>立邦</v>
      </c>
      <c r="Q228" s="131"/>
    </row>
    <row r="229" s="102" customFormat="1" ht="45" outlineLevel="1" spans="1:17">
      <c r="A229" s="53">
        <v>159</v>
      </c>
      <c r="B229" s="53" t="s">
        <v>240</v>
      </c>
      <c r="C229" s="53" t="s">
        <v>249</v>
      </c>
      <c r="D229" s="53" t="s">
        <v>144</v>
      </c>
      <c r="E229" s="53">
        <v>12.07</v>
      </c>
      <c r="F229" s="105">
        <f t="shared" ref="F229:J229" si="178">F203</f>
        <v>15</v>
      </c>
      <c r="G229" s="55">
        <f t="shared" si="175"/>
        <v>29.4</v>
      </c>
      <c r="H229" s="105">
        <f t="shared" si="178"/>
        <v>28</v>
      </c>
      <c r="I229" s="65">
        <f t="shared" si="178"/>
        <v>0.05</v>
      </c>
      <c r="J229" s="55">
        <f t="shared" si="178"/>
        <v>1</v>
      </c>
      <c r="K229" s="55">
        <f>(F229+G229+J229)*$K$5</f>
        <v>2.724</v>
      </c>
      <c r="L229" s="55">
        <f>(F229+G229+J229+K229)*$L$5</f>
        <v>4.33116</v>
      </c>
      <c r="M229" s="55">
        <f t="shared" si="176"/>
        <v>52.45516</v>
      </c>
      <c r="N229" s="55"/>
      <c r="O229" s="55">
        <f t="shared" si="177"/>
        <v>633.1337812</v>
      </c>
      <c r="P229" s="119"/>
      <c r="Q229" s="131"/>
    </row>
    <row r="230" s="102" customFormat="1" ht="45" outlineLevel="1" spans="1:17">
      <c r="A230" s="53">
        <v>160</v>
      </c>
      <c r="B230" s="53" t="s">
        <v>251</v>
      </c>
      <c r="C230" s="53" t="s">
        <v>293</v>
      </c>
      <c r="D230" s="53" t="s">
        <v>110</v>
      </c>
      <c r="E230" s="53">
        <v>1.92</v>
      </c>
      <c r="F230" s="105">
        <f t="shared" ref="F230:J230" si="179">F181</f>
        <v>150</v>
      </c>
      <c r="G230" s="55">
        <f t="shared" si="175"/>
        <v>682.5</v>
      </c>
      <c r="H230" s="105">
        <f t="shared" si="179"/>
        <v>650</v>
      </c>
      <c r="I230" s="65">
        <f t="shared" si="179"/>
        <v>0.05</v>
      </c>
      <c r="J230" s="55">
        <f t="shared" si="179"/>
        <v>100</v>
      </c>
      <c r="K230" s="55">
        <f>(F230+G230+J230)*$K$5</f>
        <v>55.95</v>
      </c>
      <c r="L230" s="55">
        <f>(F230+G230+J230+K230)*$L$5</f>
        <v>88.9605</v>
      </c>
      <c r="M230" s="55">
        <f t="shared" si="176"/>
        <v>1077.4105</v>
      </c>
      <c r="N230" s="55"/>
      <c r="O230" s="55">
        <f t="shared" si="177"/>
        <v>2068.62816</v>
      </c>
      <c r="P230" s="119"/>
      <c r="Q230" s="131"/>
    </row>
    <row r="231" s="102" customFormat="1" ht="45" outlineLevel="1" spans="1:17">
      <c r="A231" s="53">
        <v>161</v>
      </c>
      <c r="B231" s="53" t="s">
        <v>128</v>
      </c>
      <c r="C231" s="53" t="s">
        <v>294</v>
      </c>
      <c r="D231" s="53" t="s">
        <v>110</v>
      </c>
      <c r="E231" s="53">
        <v>1.28</v>
      </c>
      <c r="F231" s="105">
        <f t="shared" ref="F231:J231" si="180">F182</f>
        <v>165</v>
      </c>
      <c r="G231" s="55">
        <f t="shared" si="175"/>
        <v>315</v>
      </c>
      <c r="H231" s="105">
        <f t="shared" si="180"/>
        <v>300</v>
      </c>
      <c r="I231" s="65">
        <f t="shared" si="180"/>
        <v>0.05</v>
      </c>
      <c r="J231" s="55">
        <f t="shared" si="180"/>
        <v>135</v>
      </c>
      <c r="K231" s="55">
        <f>(F231+G231+J231)*$K$5</f>
        <v>36.9</v>
      </c>
      <c r="L231" s="55">
        <f>(F231+G231+J231+K231)*$L$5</f>
        <v>58.671</v>
      </c>
      <c r="M231" s="55">
        <f t="shared" si="176"/>
        <v>710.571</v>
      </c>
      <c r="N231" s="55"/>
      <c r="O231" s="55">
        <f t="shared" si="177"/>
        <v>909.53088</v>
      </c>
      <c r="P231" s="119" t="str">
        <f>P212</f>
        <v>厂家定制</v>
      </c>
      <c r="Q231" s="131"/>
    </row>
    <row r="232" s="102" customFormat="1" ht="45" outlineLevel="1" spans="1:17">
      <c r="A232" s="53">
        <v>162</v>
      </c>
      <c r="B232" s="53" t="s">
        <v>221</v>
      </c>
      <c r="C232" s="53" t="s">
        <v>295</v>
      </c>
      <c r="D232" s="53" t="s">
        <v>141</v>
      </c>
      <c r="E232" s="53">
        <v>1</v>
      </c>
      <c r="F232" s="105">
        <f t="shared" ref="F232:J232" si="181">F183</f>
        <v>300</v>
      </c>
      <c r="G232" s="55">
        <f t="shared" si="175"/>
        <v>1111</v>
      </c>
      <c r="H232" s="105">
        <f t="shared" si="181"/>
        <v>1100</v>
      </c>
      <c r="I232" s="65">
        <f t="shared" si="181"/>
        <v>0.01</v>
      </c>
      <c r="J232" s="55">
        <f t="shared" si="181"/>
        <v>310</v>
      </c>
      <c r="K232" s="55">
        <f>(F232+G232+J232)*$K$5</f>
        <v>103.26</v>
      </c>
      <c r="L232" s="55">
        <f>(F232+G232+J232+K232)*$L$5</f>
        <v>164.1834</v>
      </c>
      <c r="M232" s="55">
        <f t="shared" si="176"/>
        <v>1988.4434</v>
      </c>
      <c r="N232" s="55"/>
      <c r="O232" s="55">
        <f t="shared" si="177"/>
        <v>1988.4434</v>
      </c>
      <c r="P232" s="119" t="str">
        <f>P213</f>
        <v>厂家定制</v>
      </c>
      <c r="Q232" s="131"/>
    </row>
    <row r="233" s="102" customFormat="1" spans="1:17">
      <c r="A233" s="53"/>
      <c r="B233" s="53" t="s">
        <v>312</v>
      </c>
      <c r="C233" s="53"/>
      <c r="D233" s="53"/>
      <c r="E233" s="53"/>
      <c r="F233" s="105"/>
      <c r="G233" s="55"/>
      <c r="H233" s="105"/>
      <c r="I233" s="65"/>
      <c r="J233" s="55"/>
      <c r="K233" s="55"/>
      <c r="L233" s="55"/>
      <c r="M233" s="55"/>
      <c r="N233" s="55"/>
      <c r="O233" s="55"/>
      <c r="P233" s="119"/>
      <c r="Q233" s="131"/>
    </row>
    <row r="234" s="102" customFormat="1" ht="78.75" outlineLevel="1" spans="1:17">
      <c r="A234" s="53">
        <v>163</v>
      </c>
      <c r="B234" s="53" t="s">
        <v>238</v>
      </c>
      <c r="C234" s="106" t="s">
        <v>255</v>
      </c>
      <c r="D234" s="53" t="s">
        <v>110</v>
      </c>
      <c r="E234" s="53">
        <v>64.69</v>
      </c>
      <c r="F234" s="105">
        <f t="shared" ref="F234:J234" si="182">F119</f>
        <v>35</v>
      </c>
      <c r="G234" s="55">
        <f t="shared" ref="G234:G238" si="183">H234*(1+I234)</f>
        <v>26.25</v>
      </c>
      <c r="H234" s="105">
        <f t="shared" si="182"/>
        <v>25</v>
      </c>
      <c r="I234" s="65">
        <f t="shared" si="182"/>
        <v>0.05</v>
      </c>
      <c r="J234" s="55">
        <f t="shared" si="182"/>
        <v>15</v>
      </c>
      <c r="K234" s="55">
        <f>(F234+G234+J234)*$K$5</f>
        <v>4.575</v>
      </c>
      <c r="L234" s="55">
        <f>(F234+G234+J234+K234)*$L$5</f>
        <v>7.27425</v>
      </c>
      <c r="M234" s="55">
        <f t="shared" ref="M234:M238" si="184">F234+G234+J234+K234+L234</f>
        <v>88.09925</v>
      </c>
      <c r="N234" s="55"/>
      <c r="O234" s="55">
        <f t="shared" ref="O234:O238" si="185">M234*E234</f>
        <v>5699.1404825</v>
      </c>
      <c r="P234" s="119"/>
      <c r="Q234" s="131"/>
    </row>
    <row r="235" s="102" customFormat="1" ht="45" outlineLevel="1" spans="1:17">
      <c r="A235" s="53">
        <v>164</v>
      </c>
      <c r="B235" s="53" t="s">
        <v>240</v>
      </c>
      <c r="C235" s="53" t="s">
        <v>249</v>
      </c>
      <c r="D235" s="53" t="s">
        <v>144</v>
      </c>
      <c r="E235" s="53">
        <v>21.62</v>
      </c>
      <c r="F235" s="105">
        <f t="shared" ref="F235:J235" si="186">F210</f>
        <v>15</v>
      </c>
      <c r="G235" s="55">
        <f t="shared" si="183"/>
        <v>29.4</v>
      </c>
      <c r="H235" s="105">
        <f t="shared" si="186"/>
        <v>28</v>
      </c>
      <c r="I235" s="65">
        <f t="shared" si="186"/>
        <v>0.05</v>
      </c>
      <c r="J235" s="55">
        <f t="shared" si="186"/>
        <v>1</v>
      </c>
      <c r="K235" s="55">
        <f>(F235+G235+J235)*$K$5</f>
        <v>2.724</v>
      </c>
      <c r="L235" s="55">
        <f>(F235+G235+J235+K235)*$L$5</f>
        <v>4.33116</v>
      </c>
      <c r="M235" s="55">
        <f t="shared" si="184"/>
        <v>52.45516</v>
      </c>
      <c r="N235" s="55"/>
      <c r="O235" s="55">
        <f t="shared" si="185"/>
        <v>1134.0805592</v>
      </c>
      <c r="P235" s="119"/>
      <c r="Q235" s="131"/>
    </row>
    <row r="236" s="102" customFormat="1" ht="56.25" outlineLevel="1" spans="1:17">
      <c r="A236" s="53">
        <v>165</v>
      </c>
      <c r="B236" s="53" t="s">
        <v>223</v>
      </c>
      <c r="C236" s="53" t="s">
        <v>313</v>
      </c>
      <c r="D236" s="53" t="s">
        <v>110</v>
      </c>
      <c r="E236" s="53">
        <v>3.07</v>
      </c>
      <c r="F236" s="105">
        <f t="shared" ref="F236:J236" si="187">F101</f>
        <v>185</v>
      </c>
      <c r="G236" s="55">
        <f t="shared" si="183"/>
        <v>336</v>
      </c>
      <c r="H236" s="105">
        <f t="shared" si="187"/>
        <v>320</v>
      </c>
      <c r="I236" s="65">
        <f t="shared" si="187"/>
        <v>0.05</v>
      </c>
      <c r="J236" s="55">
        <f t="shared" si="187"/>
        <v>35</v>
      </c>
      <c r="K236" s="55">
        <f>(F236+G236+J236)*$K$5</f>
        <v>33.36</v>
      </c>
      <c r="L236" s="55">
        <f>(F236+G236+J236+K236)*$L$5</f>
        <v>53.0424</v>
      </c>
      <c r="M236" s="55">
        <f t="shared" si="184"/>
        <v>642.4024</v>
      </c>
      <c r="N236" s="55"/>
      <c r="O236" s="55">
        <f t="shared" si="185"/>
        <v>1972.175368</v>
      </c>
      <c r="P236" s="119"/>
      <c r="Q236" s="131"/>
    </row>
    <row r="237" s="102" customFormat="1" ht="67.5" outlineLevel="1" spans="1:17">
      <c r="A237" s="53">
        <v>166</v>
      </c>
      <c r="B237" s="53" t="s">
        <v>280</v>
      </c>
      <c r="C237" s="141" t="s">
        <v>314</v>
      </c>
      <c r="D237" s="53" t="s">
        <v>110</v>
      </c>
      <c r="E237" s="53">
        <v>2.76</v>
      </c>
      <c r="F237" s="105">
        <f t="shared" ref="F237:J237" si="188">F168</f>
        <v>150</v>
      </c>
      <c r="G237" s="55">
        <f t="shared" si="183"/>
        <v>141.75</v>
      </c>
      <c r="H237" s="105">
        <f t="shared" si="188"/>
        <v>135</v>
      </c>
      <c r="I237" s="65">
        <f t="shared" si="188"/>
        <v>0.05</v>
      </c>
      <c r="J237" s="55">
        <f t="shared" si="188"/>
        <v>85</v>
      </c>
      <c r="K237" s="55">
        <f>(F237+G237+J237)*$K$5</f>
        <v>22.605</v>
      </c>
      <c r="L237" s="55">
        <f>(F237+G237+J237+K237)*$L$5</f>
        <v>35.94195</v>
      </c>
      <c r="M237" s="55">
        <f t="shared" si="184"/>
        <v>435.29695</v>
      </c>
      <c r="N237" s="55"/>
      <c r="O237" s="55">
        <f t="shared" si="185"/>
        <v>1201.419582</v>
      </c>
      <c r="P237" s="119"/>
      <c r="Q237" s="131"/>
    </row>
    <row r="238" s="103" customFormat="1" ht="45" outlineLevel="1" spans="1:21">
      <c r="A238" s="57">
        <v>167</v>
      </c>
      <c r="B238" s="57" t="s">
        <v>315</v>
      </c>
      <c r="C238" s="57" t="s">
        <v>316</v>
      </c>
      <c r="D238" s="57" t="s">
        <v>317</v>
      </c>
      <c r="E238" s="57">
        <v>1</v>
      </c>
      <c r="F238" s="107">
        <v>10000</v>
      </c>
      <c r="G238" s="61">
        <f t="shared" si="183"/>
        <v>191900</v>
      </c>
      <c r="H238" s="107">
        <v>190000</v>
      </c>
      <c r="I238" s="77">
        <v>0.01</v>
      </c>
      <c r="J238" s="62">
        <v>50</v>
      </c>
      <c r="K238" s="176">
        <f>(F238+G238+J238)*$K$5</f>
        <v>12117</v>
      </c>
      <c r="L238" s="176">
        <f>(F238+G238+J238+K238)*$L$5</f>
        <v>19266.03</v>
      </c>
      <c r="M238" s="176">
        <f t="shared" si="184"/>
        <v>233333.03</v>
      </c>
      <c r="N238" s="176"/>
      <c r="O238" s="176">
        <f t="shared" si="185"/>
        <v>233333.03</v>
      </c>
      <c r="P238" s="187"/>
      <c r="Q238" s="192"/>
      <c r="R238" s="102"/>
      <c r="S238" s="102"/>
      <c r="T238" s="102"/>
      <c r="U238" s="102"/>
    </row>
    <row r="239" s="102" customFormat="1" spans="1:17">
      <c r="A239" s="53"/>
      <c r="B239" s="53" t="s">
        <v>318</v>
      </c>
      <c r="C239" s="53"/>
      <c r="D239" s="53"/>
      <c r="E239" s="53"/>
      <c r="F239" s="105"/>
      <c r="G239" s="55"/>
      <c r="H239" s="105"/>
      <c r="I239" s="65"/>
      <c r="J239" s="55"/>
      <c r="K239" s="55"/>
      <c r="L239" s="55"/>
      <c r="M239" s="55"/>
      <c r="N239" s="55"/>
      <c r="O239" s="55"/>
      <c r="P239" s="119"/>
      <c r="Q239" s="131"/>
    </row>
    <row r="240" s="102" customFormat="1" ht="78.75" outlineLevel="1" spans="1:17">
      <c r="A240" s="53">
        <v>168</v>
      </c>
      <c r="B240" s="53" t="s">
        <v>238</v>
      </c>
      <c r="C240" s="106" t="s">
        <v>319</v>
      </c>
      <c r="D240" s="53" t="s">
        <v>110</v>
      </c>
      <c r="E240" s="53">
        <v>43.65</v>
      </c>
      <c r="F240" s="105">
        <f>F119</f>
        <v>35</v>
      </c>
      <c r="G240" s="55">
        <f t="shared" ref="G240:G242" si="189">H240*(1+I240)</f>
        <v>26.25</v>
      </c>
      <c r="H240" s="105">
        <f t="shared" ref="F240:J240" si="190">H119</f>
        <v>25</v>
      </c>
      <c r="I240" s="65">
        <f t="shared" si="190"/>
        <v>0.05</v>
      </c>
      <c r="J240" s="55">
        <f t="shared" si="190"/>
        <v>15</v>
      </c>
      <c r="K240" s="55">
        <f>(F240+G240+J240)*$K$5</f>
        <v>4.575</v>
      </c>
      <c r="L240" s="55">
        <f>(F240+G240+J240+K240)*$L$5</f>
        <v>7.27425</v>
      </c>
      <c r="M240" s="55">
        <f t="shared" ref="M240:M242" si="191">F240+G240+J240+K240+L240</f>
        <v>88.09925</v>
      </c>
      <c r="N240" s="55"/>
      <c r="O240" s="55">
        <f t="shared" ref="O240:O242" si="192">M240*E240</f>
        <v>3845.5322625</v>
      </c>
      <c r="P240" s="119"/>
      <c r="Q240" s="131"/>
    </row>
    <row r="241" s="102" customFormat="1" ht="45" outlineLevel="1" spans="1:17">
      <c r="A241" s="53">
        <v>169</v>
      </c>
      <c r="B241" s="53" t="s">
        <v>240</v>
      </c>
      <c r="C241" s="53" t="s">
        <v>249</v>
      </c>
      <c r="D241" s="53" t="s">
        <v>144</v>
      </c>
      <c r="E241" s="53">
        <v>13.99</v>
      </c>
      <c r="F241" s="105">
        <f t="shared" ref="F241:J241" si="193">F217</f>
        <v>15</v>
      </c>
      <c r="G241" s="55">
        <f t="shared" si="189"/>
        <v>29.4</v>
      </c>
      <c r="H241" s="105">
        <f t="shared" si="193"/>
        <v>28</v>
      </c>
      <c r="I241" s="65">
        <f t="shared" si="193"/>
        <v>0.05</v>
      </c>
      <c r="J241" s="55">
        <f t="shared" si="193"/>
        <v>1</v>
      </c>
      <c r="K241" s="55">
        <f>(F241+G241+J241)*$K$5</f>
        <v>2.724</v>
      </c>
      <c r="L241" s="55">
        <f>(F241+G241+J241+K241)*$L$5</f>
        <v>4.33116</v>
      </c>
      <c r="M241" s="55">
        <f t="shared" si="191"/>
        <v>52.45516</v>
      </c>
      <c r="N241" s="55"/>
      <c r="O241" s="55">
        <f t="shared" si="192"/>
        <v>733.8476884</v>
      </c>
      <c r="P241" s="119"/>
      <c r="Q241" s="131"/>
    </row>
    <row r="242" s="102" customFormat="1" ht="45" outlineLevel="1" spans="1:17">
      <c r="A242" s="53">
        <v>170</v>
      </c>
      <c r="B242" s="53" t="s">
        <v>320</v>
      </c>
      <c r="C242" s="53" t="s">
        <v>321</v>
      </c>
      <c r="D242" s="53" t="s">
        <v>110</v>
      </c>
      <c r="E242" s="53">
        <v>20.4</v>
      </c>
      <c r="F242" s="105">
        <f t="shared" ref="F242:J242" si="194">F282</f>
        <v>150</v>
      </c>
      <c r="G242" s="55">
        <f t="shared" si="189"/>
        <v>472.5</v>
      </c>
      <c r="H242" s="105">
        <f t="shared" si="194"/>
        <v>450</v>
      </c>
      <c r="I242" s="65">
        <f t="shared" si="194"/>
        <v>0.05</v>
      </c>
      <c r="J242" s="55">
        <f t="shared" si="194"/>
        <v>75</v>
      </c>
      <c r="K242" s="55">
        <f>(F242+G242+J242)*$K$5</f>
        <v>41.85</v>
      </c>
      <c r="L242" s="55">
        <f>(F242+G242+J242+K242)*$L$5</f>
        <v>66.5415</v>
      </c>
      <c r="M242" s="55">
        <f t="shared" si="191"/>
        <v>805.8915</v>
      </c>
      <c r="N242" s="55"/>
      <c r="O242" s="55">
        <f t="shared" si="192"/>
        <v>16440.1866</v>
      </c>
      <c r="P242" s="119"/>
      <c r="Q242" s="131"/>
    </row>
    <row r="243" s="102" customFormat="1" spans="1:17">
      <c r="A243" s="53"/>
      <c r="B243" s="53" t="s">
        <v>322</v>
      </c>
      <c r="C243" s="53"/>
      <c r="D243" s="53"/>
      <c r="E243" s="53"/>
      <c r="F243" s="105"/>
      <c r="G243" s="55"/>
      <c r="H243" s="105"/>
      <c r="I243" s="65"/>
      <c r="J243" s="55"/>
      <c r="K243" s="55"/>
      <c r="L243" s="55"/>
      <c r="M243" s="55"/>
      <c r="N243" s="55"/>
      <c r="O243" s="55"/>
      <c r="P243" s="119"/>
      <c r="Q243" s="131"/>
    </row>
    <row r="244" s="102" customFormat="1" ht="78.75" outlineLevel="1" spans="1:17">
      <c r="A244" s="53">
        <v>171</v>
      </c>
      <c r="B244" s="53" t="s">
        <v>238</v>
      </c>
      <c r="C244" s="106" t="s">
        <v>255</v>
      </c>
      <c r="D244" s="53" t="s">
        <v>110</v>
      </c>
      <c r="E244" s="53">
        <v>44.41</v>
      </c>
      <c r="F244" s="105">
        <f t="shared" ref="F244:J244" si="195">F119</f>
        <v>35</v>
      </c>
      <c r="G244" s="55">
        <f t="shared" ref="G244:G246" si="196">H244*(1+I244)</f>
        <v>26.25</v>
      </c>
      <c r="H244" s="105">
        <f t="shared" si="195"/>
        <v>25</v>
      </c>
      <c r="I244" s="65">
        <f t="shared" si="195"/>
        <v>0.05</v>
      </c>
      <c r="J244" s="55">
        <f t="shared" si="195"/>
        <v>15</v>
      </c>
      <c r="K244" s="55">
        <f>(F244+G244+J244)*$K$5</f>
        <v>4.575</v>
      </c>
      <c r="L244" s="55">
        <f>(F244+G244+J244+K244)*$L$5</f>
        <v>7.27425</v>
      </c>
      <c r="M244" s="55">
        <f t="shared" ref="M244:M246" si="197">F244+G244+J244+K244+L244</f>
        <v>88.09925</v>
      </c>
      <c r="N244" s="55"/>
      <c r="O244" s="55">
        <f t="shared" ref="O244:O246" si="198">M244*E244</f>
        <v>3912.4876925</v>
      </c>
      <c r="P244" s="119"/>
      <c r="Q244" s="131"/>
    </row>
    <row r="245" s="102" customFormat="1" ht="45" outlineLevel="1" spans="1:17">
      <c r="A245" s="53">
        <v>172</v>
      </c>
      <c r="B245" s="53" t="s">
        <v>240</v>
      </c>
      <c r="C245" s="53" t="s">
        <v>249</v>
      </c>
      <c r="D245" s="53" t="s">
        <v>144</v>
      </c>
      <c r="E245" s="53">
        <v>14.24</v>
      </c>
      <c r="F245" s="105">
        <f t="shared" ref="F245:J245" si="199">F223</f>
        <v>15</v>
      </c>
      <c r="G245" s="55">
        <f t="shared" si="196"/>
        <v>29.4</v>
      </c>
      <c r="H245" s="105">
        <f t="shared" si="199"/>
        <v>28</v>
      </c>
      <c r="I245" s="65">
        <f t="shared" si="199"/>
        <v>0.05</v>
      </c>
      <c r="J245" s="55">
        <f t="shared" si="199"/>
        <v>1</v>
      </c>
      <c r="K245" s="55">
        <f>(F245+G245+J245)*$K$5</f>
        <v>2.724</v>
      </c>
      <c r="L245" s="55">
        <f>(F245+G245+J245+K245)*$L$5</f>
        <v>4.33116</v>
      </c>
      <c r="M245" s="55">
        <f t="shared" si="197"/>
        <v>52.45516</v>
      </c>
      <c r="N245" s="55"/>
      <c r="O245" s="55">
        <f t="shared" si="198"/>
        <v>746.9614784</v>
      </c>
      <c r="P245" s="119"/>
      <c r="Q245" s="131"/>
    </row>
    <row r="246" s="102" customFormat="1" outlineLevel="1" spans="1:17">
      <c r="A246" s="53">
        <v>173</v>
      </c>
      <c r="B246" s="53" t="s">
        <v>251</v>
      </c>
      <c r="C246" s="53" t="s">
        <v>323</v>
      </c>
      <c r="D246" s="53" t="s">
        <v>141</v>
      </c>
      <c r="E246" s="53">
        <v>1</v>
      </c>
      <c r="F246" s="107">
        <v>300</v>
      </c>
      <c r="G246" s="55">
        <f t="shared" si="196"/>
        <v>3383.5</v>
      </c>
      <c r="H246" s="107">
        <v>3350</v>
      </c>
      <c r="I246" s="77">
        <v>0.01</v>
      </c>
      <c r="J246" s="62">
        <v>265</v>
      </c>
      <c r="K246" s="55">
        <f>(F246+G246+J246)*$K$5</f>
        <v>236.91</v>
      </c>
      <c r="L246" s="55">
        <f>(F246+G246+J246+K246)*$L$5</f>
        <v>376.6869</v>
      </c>
      <c r="M246" s="160">
        <f t="shared" si="197"/>
        <v>4562.0969</v>
      </c>
      <c r="N246" s="161"/>
      <c r="O246" s="55">
        <f t="shared" si="198"/>
        <v>4562.0969</v>
      </c>
      <c r="P246" s="119"/>
      <c r="Q246" s="131"/>
    </row>
    <row r="247" s="102" customFormat="1" outlineLevel="1" spans="1:17">
      <c r="A247" s="53"/>
      <c r="B247" s="53"/>
      <c r="C247" s="53"/>
      <c r="D247" s="53"/>
      <c r="E247" s="53"/>
      <c r="F247" s="107"/>
      <c r="G247" s="55"/>
      <c r="H247" s="107"/>
      <c r="I247" s="77"/>
      <c r="J247" s="62"/>
      <c r="K247" s="55"/>
      <c r="L247" s="55"/>
      <c r="M247" s="162"/>
      <c r="N247" s="163"/>
      <c r="O247" s="55"/>
      <c r="P247" s="119"/>
      <c r="Q247" s="131"/>
    </row>
    <row r="248" s="102" customFormat="1" spans="1:17">
      <c r="A248" s="53"/>
      <c r="B248" s="53" t="s">
        <v>324</v>
      </c>
      <c r="C248" s="53"/>
      <c r="D248" s="53"/>
      <c r="E248" s="53"/>
      <c r="F248" s="105"/>
      <c r="G248" s="55"/>
      <c r="H248" s="105"/>
      <c r="I248" s="65"/>
      <c r="J248" s="55"/>
      <c r="K248" s="55"/>
      <c r="L248" s="55"/>
      <c r="M248" s="55"/>
      <c r="N248" s="55"/>
      <c r="O248" s="55"/>
      <c r="P248" s="119"/>
      <c r="Q248" s="131"/>
    </row>
    <row r="249" s="102" customFormat="1" ht="78.75" outlineLevel="1" spans="1:17">
      <c r="A249" s="53">
        <v>174</v>
      </c>
      <c r="B249" s="53" t="s">
        <v>238</v>
      </c>
      <c r="C249" s="106" t="s">
        <v>255</v>
      </c>
      <c r="D249" s="53" t="s">
        <v>110</v>
      </c>
      <c r="E249" s="53">
        <v>28.11</v>
      </c>
      <c r="F249" s="105">
        <f t="shared" ref="F249:J249" si="200">F119</f>
        <v>35</v>
      </c>
      <c r="G249" s="55">
        <f t="shared" ref="G249:G252" si="201">H249*(1+I249)</f>
        <v>26.25</v>
      </c>
      <c r="H249" s="105">
        <f t="shared" si="200"/>
        <v>25</v>
      </c>
      <c r="I249" s="65">
        <f t="shared" si="200"/>
        <v>0.05</v>
      </c>
      <c r="J249" s="55">
        <f t="shared" si="200"/>
        <v>15</v>
      </c>
      <c r="K249" s="55">
        <f>(F249+G249+J249)*$K$5</f>
        <v>4.575</v>
      </c>
      <c r="L249" s="55">
        <f>(F249+G249+J249+K249)*$L$5</f>
        <v>7.27425</v>
      </c>
      <c r="M249" s="55">
        <f t="shared" ref="M249:M252" si="202">F249+G249+J249+K249+L249</f>
        <v>88.09925</v>
      </c>
      <c r="N249" s="55"/>
      <c r="O249" s="55">
        <f t="shared" ref="O249:O252" si="203">M249*E249</f>
        <v>2476.4699175</v>
      </c>
      <c r="P249" s="119"/>
      <c r="Q249" s="131"/>
    </row>
    <row r="250" s="102" customFormat="1" ht="45" outlineLevel="1" spans="1:17">
      <c r="A250" s="53">
        <v>175</v>
      </c>
      <c r="B250" s="53" t="s">
        <v>223</v>
      </c>
      <c r="C250" s="53" t="s">
        <v>325</v>
      </c>
      <c r="D250" s="53" t="s">
        <v>110</v>
      </c>
      <c r="E250" s="53">
        <v>8.88</v>
      </c>
      <c r="F250" s="105">
        <f t="shared" ref="F250:J250" si="204">F101</f>
        <v>185</v>
      </c>
      <c r="G250" s="55">
        <f t="shared" si="201"/>
        <v>336</v>
      </c>
      <c r="H250" s="105">
        <f t="shared" si="204"/>
        <v>320</v>
      </c>
      <c r="I250" s="65">
        <f t="shared" si="204"/>
        <v>0.05</v>
      </c>
      <c r="J250" s="55">
        <f t="shared" si="204"/>
        <v>35</v>
      </c>
      <c r="K250" s="55">
        <f>(F250+G250+J250)*$K$5</f>
        <v>33.36</v>
      </c>
      <c r="L250" s="55">
        <f>(F250+G250+J250+K250)*$L$5</f>
        <v>53.0424</v>
      </c>
      <c r="M250" s="55">
        <f t="shared" si="202"/>
        <v>642.4024</v>
      </c>
      <c r="N250" s="55"/>
      <c r="O250" s="55">
        <f t="shared" si="203"/>
        <v>5704.533312</v>
      </c>
      <c r="P250" s="119"/>
      <c r="Q250" s="131"/>
    </row>
    <row r="251" s="102" customFormat="1" ht="45" outlineLevel="1" spans="1:17">
      <c r="A251" s="53">
        <v>176</v>
      </c>
      <c r="B251" s="53" t="s">
        <v>240</v>
      </c>
      <c r="C251" s="53" t="s">
        <v>249</v>
      </c>
      <c r="D251" s="53" t="s">
        <v>144</v>
      </c>
      <c r="E251" s="53">
        <v>9.01</v>
      </c>
      <c r="F251" s="105">
        <f t="shared" ref="F251:J251" si="205">F229</f>
        <v>15</v>
      </c>
      <c r="G251" s="55">
        <f t="shared" si="201"/>
        <v>29.4</v>
      </c>
      <c r="H251" s="105">
        <f t="shared" si="205"/>
        <v>28</v>
      </c>
      <c r="I251" s="65">
        <f t="shared" si="205"/>
        <v>0.05</v>
      </c>
      <c r="J251" s="55">
        <f t="shared" si="205"/>
        <v>1</v>
      </c>
      <c r="K251" s="55">
        <f>(F251+G251+J251)*$K$5</f>
        <v>2.724</v>
      </c>
      <c r="L251" s="55">
        <f>(F251+G251+J251+K251)*$L$5</f>
        <v>4.33116</v>
      </c>
      <c r="M251" s="55">
        <f t="shared" si="202"/>
        <v>52.45516</v>
      </c>
      <c r="N251" s="55"/>
      <c r="O251" s="55">
        <f t="shared" si="203"/>
        <v>472.6209916</v>
      </c>
      <c r="P251" s="119"/>
      <c r="Q251" s="131"/>
    </row>
    <row r="252" s="102" customFormat="1" outlineLevel="1" spans="1:17">
      <c r="A252" s="53">
        <v>177</v>
      </c>
      <c r="B252" s="53" t="s">
        <v>251</v>
      </c>
      <c r="C252" s="53" t="s">
        <v>323</v>
      </c>
      <c r="D252" s="53" t="s">
        <v>141</v>
      </c>
      <c r="E252" s="53">
        <v>1</v>
      </c>
      <c r="F252" s="105">
        <f t="shared" ref="F252:J252" si="206">F246</f>
        <v>300</v>
      </c>
      <c r="G252" s="109">
        <f t="shared" si="201"/>
        <v>3383.5</v>
      </c>
      <c r="H252" s="116">
        <f t="shared" si="206"/>
        <v>3350</v>
      </c>
      <c r="I252" s="89">
        <f t="shared" si="206"/>
        <v>0.01</v>
      </c>
      <c r="J252" s="109">
        <f t="shared" si="206"/>
        <v>265</v>
      </c>
      <c r="K252" s="109">
        <f>(F252+G252+J252)*$K$5</f>
        <v>236.91</v>
      </c>
      <c r="L252" s="109">
        <f>(F252+G252+J252+K252)*$L$5</f>
        <v>376.6869</v>
      </c>
      <c r="M252" s="120">
        <f t="shared" si="202"/>
        <v>4562.0969</v>
      </c>
      <c r="N252" s="121"/>
      <c r="O252" s="109">
        <f t="shared" si="203"/>
        <v>4562.0969</v>
      </c>
      <c r="P252" s="119"/>
      <c r="Q252" s="131"/>
    </row>
    <row r="253" s="102" customFormat="1" outlineLevel="1" spans="1:17">
      <c r="A253" s="53"/>
      <c r="B253" s="53"/>
      <c r="C253" s="53"/>
      <c r="D253" s="53"/>
      <c r="E253" s="53"/>
      <c r="F253" s="105"/>
      <c r="G253" s="111"/>
      <c r="H253" s="159"/>
      <c r="I253" s="90"/>
      <c r="J253" s="111"/>
      <c r="K253" s="111"/>
      <c r="L253" s="111"/>
      <c r="M253" s="124"/>
      <c r="N253" s="125"/>
      <c r="O253" s="111"/>
      <c r="P253" s="119"/>
      <c r="Q253" s="131"/>
    </row>
    <row r="254" s="102" customFormat="1" spans="1:17">
      <c r="A254" s="53"/>
      <c r="B254" s="53" t="s">
        <v>326</v>
      </c>
      <c r="C254" s="53"/>
      <c r="D254" s="53"/>
      <c r="E254" s="53"/>
      <c r="F254" s="105"/>
      <c r="G254" s="55"/>
      <c r="H254" s="105"/>
      <c r="I254" s="65"/>
      <c r="J254" s="55"/>
      <c r="K254" s="55"/>
      <c r="L254" s="55"/>
      <c r="M254" s="55"/>
      <c r="N254" s="55"/>
      <c r="O254" s="55"/>
      <c r="P254" s="119"/>
      <c r="Q254" s="131"/>
    </row>
    <row r="255" s="102" customFormat="1" ht="101.25" outlineLevel="1" spans="1:17">
      <c r="A255" s="53">
        <v>178</v>
      </c>
      <c r="B255" s="53" t="s">
        <v>238</v>
      </c>
      <c r="C255" s="53" t="s">
        <v>306</v>
      </c>
      <c r="D255" s="53" t="s">
        <v>110</v>
      </c>
      <c r="E255" s="53">
        <v>29.86</v>
      </c>
      <c r="F255" s="105">
        <f>F195</f>
        <v>30</v>
      </c>
      <c r="G255" s="55">
        <f t="shared" ref="G255:G259" si="207">H255*(1+I255)</f>
        <v>15.75</v>
      </c>
      <c r="H255" s="105">
        <f>H195</f>
        <v>15</v>
      </c>
      <c r="I255" s="65">
        <f>I119</f>
        <v>0.05</v>
      </c>
      <c r="J255" s="55">
        <f>J195</f>
        <v>8</v>
      </c>
      <c r="K255" s="55">
        <f>(F255+G255+J255)*$K$5</f>
        <v>3.225</v>
      </c>
      <c r="L255" s="55">
        <f>(F255+G255+J255+K255)*$L$5</f>
        <v>5.12775</v>
      </c>
      <c r="M255" s="55">
        <f t="shared" ref="M255:M259" si="208">F255+G255+J255+K255+L255</f>
        <v>62.10275</v>
      </c>
      <c r="N255" s="55"/>
      <c r="O255" s="55">
        <f t="shared" ref="O255:O259" si="209">M255*E255</f>
        <v>1854.388115</v>
      </c>
      <c r="P255" s="119" t="str">
        <f>P208</f>
        <v>立邦</v>
      </c>
      <c r="Q255" s="131"/>
    </row>
    <row r="256" s="102" customFormat="1" ht="45" outlineLevel="1" spans="1:17">
      <c r="A256" s="53">
        <v>179</v>
      </c>
      <c r="B256" s="53" t="s">
        <v>240</v>
      </c>
      <c r="C256" s="53" t="s">
        <v>249</v>
      </c>
      <c r="D256" s="53" t="s">
        <v>144</v>
      </c>
      <c r="E256" s="53">
        <v>9.57</v>
      </c>
      <c r="F256" s="105">
        <f t="shared" ref="F256:J256" si="210">F235</f>
        <v>15</v>
      </c>
      <c r="G256" s="55">
        <f t="shared" si="207"/>
        <v>29.4</v>
      </c>
      <c r="H256" s="105">
        <f t="shared" si="210"/>
        <v>28</v>
      </c>
      <c r="I256" s="65">
        <f t="shared" si="210"/>
        <v>0.05</v>
      </c>
      <c r="J256" s="55">
        <f t="shared" si="210"/>
        <v>1</v>
      </c>
      <c r="K256" s="55">
        <f>(F256+G256+J256)*$K$5</f>
        <v>2.724</v>
      </c>
      <c r="L256" s="55">
        <f>(F256+G256+J256+K256)*$L$5</f>
        <v>4.33116</v>
      </c>
      <c r="M256" s="55">
        <f t="shared" si="208"/>
        <v>52.45516</v>
      </c>
      <c r="N256" s="55"/>
      <c r="O256" s="55">
        <f t="shared" si="209"/>
        <v>501.9958812</v>
      </c>
      <c r="P256" s="119"/>
      <c r="Q256" s="131"/>
    </row>
    <row r="257" s="102" customFormat="1" ht="45" outlineLevel="1" spans="1:17">
      <c r="A257" s="53">
        <v>180</v>
      </c>
      <c r="B257" s="53" t="s">
        <v>251</v>
      </c>
      <c r="C257" s="53" t="s">
        <v>293</v>
      </c>
      <c r="D257" s="53" t="s">
        <v>110</v>
      </c>
      <c r="E257" s="53">
        <v>1.92</v>
      </c>
      <c r="F257" s="105">
        <f t="shared" ref="F257:J257" si="211">F181</f>
        <v>150</v>
      </c>
      <c r="G257" s="55">
        <f t="shared" si="207"/>
        <v>682.5</v>
      </c>
      <c r="H257" s="105">
        <f t="shared" si="211"/>
        <v>650</v>
      </c>
      <c r="I257" s="65">
        <f t="shared" si="211"/>
        <v>0.05</v>
      </c>
      <c r="J257" s="55">
        <f t="shared" si="211"/>
        <v>100</v>
      </c>
      <c r="K257" s="55">
        <f>(F257+G257+J257)*$K$5</f>
        <v>55.95</v>
      </c>
      <c r="L257" s="55">
        <f>(F257+G257+J257+K257)*$L$5</f>
        <v>88.9605</v>
      </c>
      <c r="M257" s="55">
        <f t="shared" si="208"/>
        <v>1077.4105</v>
      </c>
      <c r="N257" s="55"/>
      <c r="O257" s="55">
        <f t="shared" si="209"/>
        <v>2068.62816</v>
      </c>
      <c r="P257" s="119"/>
      <c r="Q257" s="131"/>
    </row>
    <row r="258" s="102" customFormat="1" ht="45" outlineLevel="1" spans="1:17">
      <c r="A258" s="53">
        <v>181</v>
      </c>
      <c r="B258" s="53" t="s">
        <v>128</v>
      </c>
      <c r="C258" s="53" t="s">
        <v>294</v>
      </c>
      <c r="D258" s="53" t="s">
        <v>110</v>
      </c>
      <c r="E258" s="53">
        <v>1.28</v>
      </c>
      <c r="F258" s="105">
        <f t="shared" ref="F258:J258" si="212">F182</f>
        <v>165</v>
      </c>
      <c r="G258" s="55">
        <f t="shared" si="207"/>
        <v>315</v>
      </c>
      <c r="H258" s="105">
        <f t="shared" si="212"/>
        <v>300</v>
      </c>
      <c r="I258" s="65">
        <f t="shared" si="212"/>
        <v>0.05</v>
      </c>
      <c r="J258" s="55">
        <f t="shared" si="212"/>
        <v>135</v>
      </c>
      <c r="K258" s="55">
        <f>(F258+G258+J258)*$K$5</f>
        <v>36.9</v>
      </c>
      <c r="L258" s="55">
        <f>(F258+G258+J258+K258)*$L$5</f>
        <v>58.671</v>
      </c>
      <c r="M258" s="55">
        <f t="shared" si="208"/>
        <v>710.571</v>
      </c>
      <c r="N258" s="55"/>
      <c r="O258" s="55">
        <f t="shared" si="209"/>
        <v>909.53088</v>
      </c>
      <c r="P258" s="119" t="str">
        <f>P219</f>
        <v>厂家定制</v>
      </c>
      <c r="Q258" s="131"/>
    </row>
    <row r="259" s="102" customFormat="1" ht="45" outlineLevel="1" spans="1:17">
      <c r="A259" s="53">
        <v>182</v>
      </c>
      <c r="B259" s="53" t="s">
        <v>221</v>
      </c>
      <c r="C259" s="53" t="s">
        <v>295</v>
      </c>
      <c r="D259" s="53" t="s">
        <v>141</v>
      </c>
      <c r="E259" s="53">
        <v>1</v>
      </c>
      <c r="F259" s="105">
        <f t="shared" ref="F259:J259" si="213">F183</f>
        <v>300</v>
      </c>
      <c r="G259" s="55">
        <f t="shared" si="207"/>
        <v>1111</v>
      </c>
      <c r="H259" s="105">
        <f t="shared" si="213"/>
        <v>1100</v>
      </c>
      <c r="I259" s="65">
        <f t="shared" si="213"/>
        <v>0.01</v>
      </c>
      <c r="J259" s="55">
        <f t="shared" si="213"/>
        <v>310</v>
      </c>
      <c r="K259" s="55">
        <f>(F259+G259+J259)*$K$5</f>
        <v>103.26</v>
      </c>
      <c r="L259" s="55">
        <f>(F259+G259+J259+K259)*$L$5</f>
        <v>164.1834</v>
      </c>
      <c r="M259" s="55">
        <f t="shared" si="208"/>
        <v>1988.4434</v>
      </c>
      <c r="N259" s="55"/>
      <c r="O259" s="55">
        <f t="shared" si="209"/>
        <v>1988.4434</v>
      </c>
      <c r="P259" s="119" t="str">
        <f>P220</f>
        <v>厂家定制</v>
      </c>
      <c r="Q259" s="131"/>
    </row>
    <row r="260" s="102" customFormat="1" spans="1:17">
      <c r="A260" s="53"/>
      <c r="B260" s="53" t="s">
        <v>327</v>
      </c>
      <c r="C260" s="53"/>
      <c r="D260" s="53"/>
      <c r="E260" s="53"/>
      <c r="F260" s="105"/>
      <c r="G260" s="55"/>
      <c r="H260" s="105"/>
      <c r="I260" s="65"/>
      <c r="J260" s="55"/>
      <c r="K260" s="55"/>
      <c r="L260" s="55"/>
      <c r="M260" s="55"/>
      <c r="N260" s="55"/>
      <c r="O260" s="55"/>
      <c r="P260" s="119"/>
      <c r="Q260" s="131"/>
    </row>
    <row r="261" s="102" customFormat="1" ht="101.25" outlineLevel="1" spans="1:17">
      <c r="A261" s="53">
        <v>183</v>
      </c>
      <c r="B261" s="53" t="s">
        <v>238</v>
      </c>
      <c r="C261" s="53" t="s">
        <v>306</v>
      </c>
      <c r="D261" s="53" t="s">
        <v>110</v>
      </c>
      <c r="E261" s="53">
        <v>25.27</v>
      </c>
      <c r="F261" s="105">
        <f>F195</f>
        <v>30</v>
      </c>
      <c r="G261" s="55">
        <f t="shared" ref="G261:G266" si="214">H261*(1+I261)</f>
        <v>15.75</v>
      </c>
      <c r="H261" s="105">
        <f>H195</f>
        <v>15</v>
      </c>
      <c r="I261" s="65">
        <f>I119</f>
        <v>0.05</v>
      </c>
      <c r="J261" s="55">
        <f>J195</f>
        <v>8</v>
      </c>
      <c r="K261" s="55">
        <f>(F261+G261+J261)*$K$5</f>
        <v>3.225</v>
      </c>
      <c r="L261" s="55">
        <f>(F261+G261+J261+K261)*$L$5</f>
        <v>5.12775</v>
      </c>
      <c r="M261" s="55">
        <f t="shared" ref="M261:M266" si="215">F261+G261+J261+K261+L261</f>
        <v>62.10275</v>
      </c>
      <c r="N261" s="55"/>
      <c r="O261" s="55">
        <f t="shared" ref="O261:O266" si="216">M261*E261</f>
        <v>1569.3364925</v>
      </c>
      <c r="P261" s="119" t="str">
        <f>P215</f>
        <v>立邦</v>
      </c>
      <c r="Q261" s="131"/>
    </row>
    <row r="262" s="102" customFormat="1" ht="45" outlineLevel="1" spans="1:17">
      <c r="A262" s="53">
        <v>184</v>
      </c>
      <c r="B262" s="53" t="s">
        <v>223</v>
      </c>
      <c r="C262" s="53" t="s">
        <v>325</v>
      </c>
      <c r="D262" s="53" t="s">
        <v>110</v>
      </c>
      <c r="E262" s="53">
        <v>2.96</v>
      </c>
      <c r="F262" s="105">
        <f t="shared" ref="F262:J262" si="217">F101</f>
        <v>185</v>
      </c>
      <c r="G262" s="55">
        <f t="shared" si="214"/>
        <v>336</v>
      </c>
      <c r="H262" s="105">
        <f t="shared" si="217"/>
        <v>320</v>
      </c>
      <c r="I262" s="65">
        <f t="shared" si="217"/>
        <v>0.05</v>
      </c>
      <c r="J262" s="55">
        <f t="shared" si="217"/>
        <v>35</v>
      </c>
      <c r="K262" s="55">
        <f>(F262+G262+J262)*$K$5</f>
        <v>33.36</v>
      </c>
      <c r="L262" s="55">
        <f>(F262+G262+J262+K262)*$L$5</f>
        <v>53.0424</v>
      </c>
      <c r="M262" s="55">
        <f t="shared" si="215"/>
        <v>642.4024</v>
      </c>
      <c r="N262" s="55"/>
      <c r="O262" s="55">
        <f t="shared" si="216"/>
        <v>1901.511104</v>
      </c>
      <c r="P262" s="119"/>
      <c r="Q262" s="131"/>
    </row>
    <row r="263" s="102" customFormat="1" ht="45" outlineLevel="1" spans="1:17">
      <c r="A263" s="53">
        <v>185</v>
      </c>
      <c r="B263" s="53" t="s">
        <v>240</v>
      </c>
      <c r="C263" s="53" t="s">
        <v>249</v>
      </c>
      <c r="D263" s="53" t="s">
        <v>144</v>
      </c>
      <c r="E263" s="53">
        <v>8.1</v>
      </c>
      <c r="F263" s="105">
        <f t="shared" ref="F263:J263" si="218">F241</f>
        <v>15</v>
      </c>
      <c r="G263" s="55">
        <f t="shared" si="214"/>
        <v>29.4</v>
      </c>
      <c r="H263" s="105">
        <f t="shared" si="218"/>
        <v>28</v>
      </c>
      <c r="I263" s="65">
        <f t="shared" si="218"/>
        <v>0.05</v>
      </c>
      <c r="J263" s="55">
        <f t="shared" si="218"/>
        <v>1</v>
      </c>
      <c r="K263" s="55">
        <f>(F263+G263+J263)*$K$5</f>
        <v>2.724</v>
      </c>
      <c r="L263" s="55">
        <f>(F263+G263+J263+K263)*$L$5</f>
        <v>4.33116</v>
      </c>
      <c r="M263" s="55">
        <f t="shared" si="215"/>
        <v>52.45516</v>
      </c>
      <c r="N263" s="55"/>
      <c r="O263" s="55">
        <f t="shared" si="216"/>
        <v>424.886796</v>
      </c>
      <c r="P263" s="119"/>
      <c r="Q263" s="131"/>
    </row>
    <row r="264" s="102" customFormat="1" ht="45" outlineLevel="1" spans="1:17">
      <c r="A264" s="53">
        <v>186</v>
      </c>
      <c r="B264" s="53" t="s">
        <v>251</v>
      </c>
      <c r="C264" s="53" t="s">
        <v>293</v>
      </c>
      <c r="D264" s="53" t="s">
        <v>110</v>
      </c>
      <c r="E264" s="53">
        <v>1.92</v>
      </c>
      <c r="F264" s="105">
        <f t="shared" ref="F264:J264" si="219">F181</f>
        <v>150</v>
      </c>
      <c r="G264" s="55">
        <f t="shared" si="214"/>
        <v>682.5</v>
      </c>
      <c r="H264" s="105">
        <f t="shared" si="219"/>
        <v>650</v>
      </c>
      <c r="I264" s="65">
        <f t="shared" si="219"/>
        <v>0.05</v>
      </c>
      <c r="J264" s="55">
        <f t="shared" si="219"/>
        <v>100</v>
      </c>
      <c r="K264" s="55">
        <f>(F264+G264+J264)*$K$5</f>
        <v>55.95</v>
      </c>
      <c r="L264" s="55">
        <f>(F264+G264+J264+K264)*$L$5</f>
        <v>88.9605</v>
      </c>
      <c r="M264" s="55">
        <f t="shared" si="215"/>
        <v>1077.4105</v>
      </c>
      <c r="N264" s="55"/>
      <c r="O264" s="55">
        <f t="shared" si="216"/>
        <v>2068.62816</v>
      </c>
      <c r="P264" s="119"/>
      <c r="Q264" s="131"/>
    </row>
    <row r="265" s="102" customFormat="1" ht="45" outlineLevel="1" spans="1:17">
      <c r="A265" s="53">
        <v>187</v>
      </c>
      <c r="B265" s="53" t="s">
        <v>128</v>
      </c>
      <c r="C265" s="53" t="s">
        <v>328</v>
      </c>
      <c r="D265" s="53" t="s">
        <v>110</v>
      </c>
      <c r="E265" s="53">
        <v>1.28</v>
      </c>
      <c r="F265" s="105">
        <f t="shared" ref="F265:J265" si="220">F182</f>
        <v>165</v>
      </c>
      <c r="G265" s="55">
        <f t="shared" si="214"/>
        <v>315</v>
      </c>
      <c r="H265" s="105">
        <f t="shared" si="220"/>
        <v>300</v>
      </c>
      <c r="I265" s="65">
        <f t="shared" si="220"/>
        <v>0.05</v>
      </c>
      <c r="J265" s="55">
        <f t="shared" si="220"/>
        <v>135</v>
      </c>
      <c r="K265" s="55">
        <f>(F265+G265+J265)*$K$5</f>
        <v>36.9</v>
      </c>
      <c r="L265" s="55">
        <f>(F265+G265+J265+K265)*$L$5</f>
        <v>58.671</v>
      </c>
      <c r="M265" s="55">
        <f t="shared" si="215"/>
        <v>710.571</v>
      </c>
      <c r="N265" s="55"/>
      <c r="O265" s="55">
        <f t="shared" si="216"/>
        <v>909.53088</v>
      </c>
      <c r="P265" s="119" t="str">
        <f>P225</f>
        <v>厂家定制</v>
      </c>
      <c r="Q265" s="131"/>
    </row>
    <row r="266" s="102" customFormat="1" ht="45" outlineLevel="1" spans="1:17">
      <c r="A266" s="53">
        <v>188</v>
      </c>
      <c r="B266" s="53" t="s">
        <v>221</v>
      </c>
      <c r="C266" s="53" t="s">
        <v>295</v>
      </c>
      <c r="D266" s="53" t="s">
        <v>141</v>
      </c>
      <c r="E266" s="53">
        <v>1</v>
      </c>
      <c r="F266" s="105">
        <f t="shared" ref="F266:J266" si="221">F183</f>
        <v>300</v>
      </c>
      <c r="G266" s="55">
        <f t="shared" si="214"/>
        <v>1111</v>
      </c>
      <c r="H266" s="105">
        <f t="shared" si="221"/>
        <v>1100</v>
      </c>
      <c r="I266" s="65">
        <f t="shared" si="221"/>
        <v>0.01</v>
      </c>
      <c r="J266" s="55">
        <f t="shared" si="221"/>
        <v>310</v>
      </c>
      <c r="K266" s="55">
        <f>(F266+G266+J266)*$K$5</f>
        <v>103.26</v>
      </c>
      <c r="L266" s="55">
        <f>(F266+G266+J266+K266)*$L$5</f>
        <v>164.1834</v>
      </c>
      <c r="M266" s="55">
        <f t="shared" si="215"/>
        <v>1988.4434</v>
      </c>
      <c r="N266" s="55"/>
      <c r="O266" s="55">
        <f t="shared" si="216"/>
        <v>1988.4434</v>
      </c>
      <c r="P266" s="119" t="str">
        <f>P226</f>
        <v>厂家定制</v>
      </c>
      <c r="Q266" s="131"/>
    </row>
    <row r="267" s="102" customFormat="1" spans="1:17">
      <c r="A267" s="53"/>
      <c r="B267" s="53" t="s">
        <v>329</v>
      </c>
      <c r="C267" s="53"/>
      <c r="D267" s="53"/>
      <c r="E267" s="53"/>
      <c r="F267" s="105"/>
      <c r="G267" s="55"/>
      <c r="H267" s="105"/>
      <c r="I267" s="65"/>
      <c r="J267" s="55"/>
      <c r="K267" s="55"/>
      <c r="L267" s="55"/>
      <c r="M267" s="55"/>
      <c r="N267" s="55"/>
      <c r="O267" s="55"/>
      <c r="P267" s="119"/>
      <c r="Q267" s="131"/>
    </row>
    <row r="268" s="102" customFormat="1" ht="101.25" outlineLevel="1" spans="1:17">
      <c r="A268" s="53">
        <v>189</v>
      </c>
      <c r="B268" s="53" t="s">
        <v>238</v>
      </c>
      <c r="C268" s="53" t="s">
        <v>330</v>
      </c>
      <c r="D268" s="53" t="s">
        <v>110</v>
      </c>
      <c r="E268" s="53">
        <v>16.47</v>
      </c>
      <c r="F268" s="105">
        <f t="shared" ref="F268:J268" si="222">F255</f>
        <v>30</v>
      </c>
      <c r="G268" s="55">
        <f t="shared" ref="G268:G275" si="223">H268*(1+I268)</f>
        <v>15.75</v>
      </c>
      <c r="H268" s="105">
        <f t="shared" si="222"/>
        <v>15</v>
      </c>
      <c r="I268" s="65">
        <f>I119</f>
        <v>0.05</v>
      </c>
      <c r="J268" s="55">
        <f>J195</f>
        <v>8</v>
      </c>
      <c r="K268" s="55">
        <f>(F268+G268+J268)*$K$5</f>
        <v>3.225</v>
      </c>
      <c r="L268" s="55">
        <f>(F268+G268+J268+K268)*$L$5</f>
        <v>5.12775</v>
      </c>
      <c r="M268" s="55">
        <f t="shared" ref="M268:M275" si="224">F268+G268+J268+K268+L268</f>
        <v>62.10275</v>
      </c>
      <c r="N268" s="55"/>
      <c r="O268" s="55">
        <f t="shared" ref="O268:O275" si="225">M268*E268</f>
        <v>1022.8322925</v>
      </c>
      <c r="P268" s="119" t="str">
        <f>P222</f>
        <v>立邦</v>
      </c>
      <c r="Q268" s="131"/>
    </row>
    <row r="269" s="102" customFormat="1" ht="45" outlineLevel="1" spans="1:17">
      <c r="A269" s="53">
        <v>190</v>
      </c>
      <c r="B269" s="53" t="s">
        <v>331</v>
      </c>
      <c r="C269" s="53" t="s">
        <v>332</v>
      </c>
      <c r="D269" s="53" t="s">
        <v>110</v>
      </c>
      <c r="E269" s="53">
        <v>0.57</v>
      </c>
      <c r="F269" s="107">
        <v>150</v>
      </c>
      <c r="G269" s="55">
        <f t="shared" si="223"/>
        <v>71.5</v>
      </c>
      <c r="H269" s="105">
        <f>H72</f>
        <v>65</v>
      </c>
      <c r="I269" s="77">
        <v>0.1</v>
      </c>
      <c r="J269" s="55">
        <v>50</v>
      </c>
      <c r="K269" s="55">
        <f>(F269+G269+J269)*$K$5</f>
        <v>16.29</v>
      </c>
      <c r="L269" s="55">
        <f>(F269+G269+J269+K269)*$L$5</f>
        <v>25.9011</v>
      </c>
      <c r="M269" s="55">
        <f t="shared" si="224"/>
        <v>313.6911</v>
      </c>
      <c r="N269" s="55"/>
      <c r="O269" s="55">
        <f t="shared" si="225"/>
        <v>178.803927</v>
      </c>
      <c r="P269" s="119" t="str">
        <f>P70</f>
        <v>广东产</v>
      </c>
      <c r="Q269" s="131"/>
    </row>
    <row r="270" s="102" customFormat="1" spans="1:17">
      <c r="A270" s="53"/>
      <c r="B270" s="53" t="s">
        <v>333</v>
      </c>
      <c r="C270" s="53"/>
      <c r="D270" s="53"/>
      <c r="E270" s="53"/>
      <c r="F270" s="105"/>
      <c r="G270" s="55"/>
      <c r="H270" s="105"/>
      <c r="I270" s="65"/>
      <c r="J270" s="55"/>
      <c r="K270" s="55"/>
      <c r="L270" s="55"/>
      <c r="M270" s="55"/>
      <c r="N270" s="55"/>
      <c r="O270" s="55"/>
      <c r="P270" s="119"/>
      <c r="Q270" s="131"/>
    </row>
    <row r="271" s="102" customFormat="1" ht="123.75" outlineLevel="1" spans="1:17">
      <c r="A271" s="53">
        <v>191</v>
      </c>
      <c r="B271" s="53" t="s">
        <v>334</v>
      </c>
      <c r="C271" s="53" t="s">
        <v>335</v>
      </c>
      <c r="D271" s="53" t="s">
        <v>110</v>
      </c>
      <c r="E271" s="53">
        <v>48.51</v>
      </c>
      <c r="F271" s="107">
        <f t="shared" ref="F271:J271" si="226">F72</f>
        <v>85</v>
      </c>
      <c r="G271" s="55">
        <f t="shared" si="223"/>
        <v>126</v>
      </c>
      <c r="H271" s="107">
        <v>120</v>
      </c>
      <c r="I271" s="77">
        <f t="shared" si="226"/>
        <v>0.05</v>
      </c>
      <c r="J271" s="62">
        <f t="shared" si="226"/>
        <v>70</v>
      </c>
      <c r="K271" s="55">
        <f>(F271+G271+J271)*$K$5</f>
        <v>16.86</v>
      </c>
      <c r="L271" s="55">
        <f>(F271+G271+J271+K271)*$L$5</f>
        <v>26.8074</v>
      </c>
      <c r="M271" s="55">
        <f t="shared" si="224"/>
        <v>324.6674</v>
      </c>
      <c r="N271" s="55"/>
      <c r="O271" s="55">
        <f t="shared" si="225"/>
        <v>15749.615574</v>
      </c>
      <c r="P271" s="119" t="str">
        <f>P71</f>
        <v>广东产</v>
      </c>
      <c r="Q271" s="131"/>
    </row>
    <row r="272" s="102" customFormat="1" ht="33.75" outlineLevel="1" spans="1:17">
      <c r="A272" s="53">
        <v>192</v>
      </c>
      <c r="B272" s="53" t="s">
        <v>336</v>
      </c>
      <c r="C272" s="53" t="s">
        <v>337</v>
      </c>
      <c r="D272" s="53" t="s">
        <v>110</v>
      </c>
      <c r="E272" s="53">
        <v>16.57</v>
      </c>
      <c r="F272" s="107">
        <v>125</v>
      </c>
      <c r="G272" s="55">
        <f t="shared" si="223"/>
        <v>577.5</v>
      </c>
      <c r="H272" s="107">
        <v>550</v>
      </c>
      <c r="I272" s="77">
        <v>0.05</v>
      </c>
      <c r="J272" s="62">
        <v>125</v>
      </c>
      <c r="K272" s="55">
        <f>(F272+G272+J272)*$K$5</f>
        <v>49.65</v>
      </c>
      <c r="L272" s="55">
        <f>(F272+G272+J272+K272)*$L$5</f>
        <v>78.9435</v>
      </c>
      <c r="M272" s="55">
        <f t="shared" si="224"/>
        <v>956.0935</v>
      </c>
      <c r="N272" s="55"/>
      <c r="O272" s="55">
        <f t="shared" si="225"/>
        <v>15842.469295</v>
      </c>
      <c r="P272" s="119"/>
      <c r="Q272" s="131"/>
    </row>
    <row r="273" s="102" customFormat="1" ht="67.5" outlineLevel="1" spans="1:17">
      <c r="A273" s="53">
        <v>193</v>
      </c>
      <c r="B273" s="53" t="s">
        <v>169</v>
      </c>
      <c r="C273" s="53" t="s">
        <v>338</v>
      </c>
      <c r="D273" s="53" t="s">
        <v>110</v>
      </c>
      <c r="E273" s="53">
        <v>4.89</v>
      </c>
      <c r="F273" s="107">
        <v>185</v>
      </c>
      <c r="G273" s="61">
        <f t="shared" si="223"/>
        <v>441</v>
      </c>
      <c r="H273" s="107">
        <v>420</v>
      </c>
      <c r="I273" s="77">
        <f>I55</f>
        <v>0.05</v>
      </c>
      <c r="J273" s="62">
        <v>165</v>
      </c>
      <c r="K273" s="55">
        <f>(F273+G273+J273)*$K$5</f>
        <v>47.46</v>
      </c>
      <c r="L273" s="55">
        <f>(F273+G273+J273+K273)*$L$5</f>
        <v>75.4614</v>
      </c>
      <c r="M273" s="55">
        <f t="shared" si="224"/>
        <v>913.9214</v>
      </c>
      <c r="N273" s="55"/>
      <c r="O273" s="55">
        <f t="shared" si="225"/>
        <v>4469.075646</v>
      </c>
      <c r="P273" s="119"/>
      <c r="Q273" s="131"/>
    </row>
    <row r="274" s="102" customFormat="1" ht="67.5" outlineLevel="1" spans="1:17">
      <c r="A274" s="53">
        <v>194</v>
      </c>
      <c r="B274" s="53" t="s">
        <v>169</v>
      </c>
      <c r="C274" s="53" t="s">
        <v>339</v>
      </c>
      <c r="D274" s="53" t="s">
        <v>110</v>
      </c>
      <c r="E274" s="53">
        <v>5.68</v>
      </c>
      <c r="F274" s="105">
        <f t="shared" ref="F274:J274" si="227">F273</f>
        <v>185</v>
      </c>
      <c r="G274" s="55">
        <f t="shared" si="223"/>
        <v>441</v>
      </c>
      <c r="H274" s="105">
        <f t="shared" si="227"/>
        <v>420</v>
      </c>
      <c r="I274" s="65">
        <f t="shared" si="227"/>
        <v>0.05</v>
      </c>
      <c r="J274" s="55">
        <f t="shared" si="227"/>
        <v>165</v>
      </c>
      <c r="K274" s="55">
        <f>(F274+G274+J274)*$K$5</f>
        <v>47.46</v>
      </c>
      <c r="L274" s="55">
        <f>(F274+G274+J274+K274)*$L$5</f>
        <v>75.4614</v>
      </c>
      <c r="M274" s="55">
        <f t="shared" si="224"/>
        <v>913.9214</v>
      </c>
      <c r="N274" s="55"/>
      <c r="O274" s="55">
        <f t="shared" si="225"/>
        <v>5191.073552</v>
      </c>
      <c r="P274" s="119"/>
      <c r="Q274" s="131"/>
    </row>
    <row r="275" s="102" customFormat="1" outlineLevel="1" spans="1:17">
      <c r="A275" s="53">
        <v>195</v>
      </c>
      <c r="B275" s="53" t="s">
        <v>340</v>
      </c>
      <c r="C275" s="53" t="s">
        <v>341</v>
      </c>
      <c r="D275" s="53" t="s">
        <v>110</v>
      </c>
      <c r="E275" s="53">
        <v>2.33</v>
      </c>
      <c r="F275" s="107">
        <v>220</v>
      </c>
      <c r="G275" s="55">
        <f t="shared" si="223"/>
        <v>399</v>
      </c>
      <c r="H275" s="107">
        <v>380</v>
      </c>
      <c r="I275" s="77">
        <v>0.05</v>
      </c>
      <c r="J275" s="62">
        <f>40*2+85+25</f>
        <v>190</v>
      </c>
      <c r="K275" s="55">
        <f>(F275+G275+J275)*$K$5</f>
        <v>48.54</v>
      </c>
      <c r="L275" s="55">
        <f>(F275+G275+J275+K275)*$L$5</f>
        <v>77.1786</v>
      </c>
      <c r="M275" s="120">
        <f t="shared" si="224"/>
        <v>934.7186</v>
      </c>
      <c r="N275" s="121"/>
      <c r="O275" s="55">
        <f t="shared" si="225"/>
        <v>2177.894338</v>
      </c>
      <c r="P275" s="119"/>
      <c r="Q275" s="131"/>
    </row>
    <row r="276" s="102" customFormat="1" outlineLevel="1" spans="1:17">
      <c r="A276" s="53"/>
      <c r="B276" s="53"/>
      <c r="C276" s="53"/>
      <c r="D276" s="53"/>
      <c r="E276" s="53"/>
      <c r="F276" s="107"/>
      <c r="G276" s="55"/>
      <c r="H276" s="107"/>
      <c r="I276" s="77"/>
      <c r="J276" s="62"/>
      <c r="K276" s="55"/>
      <c r="L276" s="55"/>
      <c r="M276" s="124"/>
      <c r="N276" s="125"/>
      <c r="O276" s="55"/>
      <c r="P276" s="119"/>
      <c r="Q276" s="131"/>
    </row>
    <row r="277" s="102" customFormat="1" ht="45" outlineLevel="1" spans="1:17">
      <c r="A277" s="53">
        <v>196</v>
      </c>
      <c r="B277" s="53" t="s">
        <v>342</v>
      </c>
      <c r="C277" s="53" t="s">
        <v>343</v>
      </c>
      <c r="D277" s="53" t="s">
        <v>110</v>
      </c>
      <c r="E277" s="53">
        <v>63.41</v>
      </c>
      <c r="F277" s="107">
        <v>20</v>
      </c>
      <c r="G277" s="55">
        <f t="shared" ref="G277:G282" si="228">H277*(1+I277)</f>
        <v>36.75</v>
      </c>
      <c r="H277" s="107">
        <v>35</v>
      </c>
      <c r="I277" s="77">
        <v>0.05</v>
      </c>
      <c r="J277" s="62">
        <v>8</v>
      </c>
      <c r="K277" s="55">
        <f>(F277+G277+J277)*$K$5</f>
        <v>3.885</v>
      </c>
      <c r="L277" s="55">
        <f>(F277+G277+J277+K277)*$L$5</f>
        <v>6.17715</v>
      </c>
      <c r="M277" s="55">
        <f t="shared" ref="M277:M282" si="229">F277+G277+J277+K277+L277</f>
        <v>74.81215</v>
      </c>
      <c r="N277" s="55"/>
      <c r="O277" s="55">
        <f t="shared" ref="O277:O282" si="230">M277*E277</f>
        <v>4743.8384315</v>
      </c>
      <c r="P277" s="119"/>
      <c r="Q277" s="131"/>
    </row>
    <row r="278" s="102" customFormat="1" ht="45" outlineLevel="1" spans="1:17">
      <c r="A278" s="53">
        <v>197</v>
      </c>
      <c r="B278" s="53" t="s">
        <v>344</v>
      </c>
      <c r="C278" s="53" t="s">
        <v>345</v>
      </c>
      <c r="D278" s="53" t="s">
        <v>110</v>
      </c>
      <c r="E278" s="53">
        <v>12.46</v>
      </c>
      <c r="F278" s="107">
        <v>220</v>
      </c>
      <c r="G278" s="55">
        <f t="shared" si="228"/>
        <v>181.5</v>
      </c>
      <c r="H278" s="107">
        <v>165</v>
      </c>
      <c r="I278" s="77">
        <v>0.1</v>
      </c>
      <c r="J278" s="62">
        <v>50</v>
      </c>
      <c r="K278" s="55">
        <f>(F278+G278+J278)*$K$5</f>
        <v>27.09</v>
      </c>
      <c r="L278" s="55">
        <f>(F278+G278+J278+K278)*$L$5</f>
        <v>43.0731</v>
      </c>
      <c r="M278" s="55">
        <f t="shared" si="229"/>
        <v>521.6631</v>
      </c>
      <c r="N278" s="55"/>
      <c r="O278" s="55">
        <f t="shared" si="230"/>
        <v>6499.922226</v>
      </c>
      <c r="P278" s="119" t="str">
        <f>P228</f>
        <v>立邦</v>
      </c>
      <c r="Q278" s="131"/>
    </row>
    <row r="279" s="102" customFormat="1" ht="45" outlineLevel="1" spans="1:17">
      <c r="A279" s="53">
        <v>198</v>
      </c>
      <c r="B279" s="53" t="s">
        <v>251</v>
      </c>
      <c r="C279" s="53" t="s">
        <v>293</v>
      </c>
      <c r="D279" s="53" t="s">
        <v>110</v>
      </c>
      <c r="E279" s="53">
        <v>1.92</v>
      </c>
      <c r="F279" s="105">
        <f t="shared" ref="F279:J279" si="231">F181</f>
        <v>150</v>
      </c>
      <c r="G279" s="55">
        <f t="shared" si="228"/>
        <v>682.5</v>
      </c>
      <c r="H279" s="105">
        <f t="shared" si="231"/>
        <v>650</v>
      </c>
      <c r="I279" s="65">
        <f t="shared" si="231"/>
        <v>0.05</v>
      </c>
      <c r="J279" s="55">
        <f t="shared" si="231"/>
        <v>100</v>
      </c>
      <c r="K279" s="55">
        <f>(F279+G279+J279)*$K$5</f>
        <v>55.95</v>
      </c>
      <c r="L279" s="55">
        <f>(F279+G279+J279+K279)*$L$5</f>
        <v>88.9605</v>
      </c>
      <c r="M279" s="55">
        <f t="shared" si="229"/>
        <v>1077.4105</v>
      </c>
      <c r="N279" s="55"/>
      <c r="O279" s="55">
        <f t="shared" si="230"/>
        <v>2068.62816</v>
      </c>
      <c r="P279" s="119"/>
      <c r="Q279" s="131"/>
    </row>
    <row r="280" s="102" customFormat="1" ht="45" outlineLevel="1" spans="1:17">
      <c r="A280" s="53">
        <v>199</v>
      </c>
      <c r="B280" s="53" t="s">
        <v>128</v>
      </c>
      <c r="C280" s="53" t="s">
        <v>346</v>
      </c>
      <c r="D280" s="53" t="s">
        <v>110</v>
      </c>
      <c r="E280" s="53">
        <v>1.28</v>
      </c>
      <c r="F280" s="105">
        <f t="shared" ref="F280:J280" si="232">F182</f>
        <v>165</v>
      </c>
      <c r="G280" s="55">
        <f t="shared" si="228"/>
        <v>315</v>
      </c>
      <c r="H280" s="105">
        <f t="shared" si="232"/>
        <v>300</v>
      </c>
      <c r="I280" s="65">
        <f t="shared" si="232"/>
        <v>0.05</v>
      </c>
      <c r="J280" s="55">
        <f t="shared" si="232"/>
        <v>135</v>
      </c>
      <c r="K280" s="55">
        <f>(F280+G280+J280)*$K$5</f>
        <v>36.9</v>
      </c>
      <c r="L280" s="55">
        <f>(F280+G280+J280+K280)*$L$5</f>
        <v>58.671</v>
      </c>
      <c r="M280" s="55">
        <f t="shared" si="229"/>
        <v>710.571</v>
      </c>
      <c r="N280" s="55"/>
      <c r="O280" s="55">
        <f t="shared" si="230"/>
        <v>909.53088</v>
      </c>
      <c r="P280" s="119" t="str">
        <f>P231</f>
        <v>厂家定制</v>
      </c>
      <c r="Q280" s="131"/>
    </row>
    <row r="281" s="102" customFormat="1" ht="45" outlineLevel="1" spans="1:17">
      <c r="A281" s="53">
        <v>200</v>
      </c>
      <c r="B281" s="53" t="s">
        <v>221</v>
      </c>
      <c r="C281" s="53" t="s">
        <v>347</v>
      </c>
      <c r="D281" s="53" t="s">
        <v>141</v>
      </c>
      <c r="E281" s="53">
        <v>1</v>
      </c>
      <c r="F281" s="105">
        <f t="shared" ref="F281:J281" si="233">F183</f>
        <v>300</v>
      </c>
      <c r="G281" s="55">
        <f t="shared" si="228"/>
        <v>1111</v>
      </c>
      <c r="H281" s="105">
        <f t="shared" si="233"/>
        <v>1100</v>
      </c>
      <c r="I281" s="65">
        <f t="shared" si="233"/>
        <v>0.01</v>
      </c>
      <c r="J281" s="55">
        <f t="shared" si="233"/>
        <v>310</v>
      </c>
      <c r="K281" s="55">
        <f>(F281+G281+J281)*$K$5</f>
        <v>103.26</v>
      </c>
      <c r="L281" s="55">
        <f>(F281+G281+J281+K281)*$L$5</f>
        <v>164.1834</v>
      </c>
      <c r="M281" s="55">
        <f t="shared" si="229"/>
        <v>1988.4434</v>
      </c>
      <c r="N281" s="55"/>
      <c r="O281" s="55">
        <f t="shared" si="230"/>
        <v>1988.4434</v>
      </c>
      <c r="P281" s="119" t="str">
        <f>P232</f>
        <v>厂家定制</v>
      </c>
      <c r="Q281" s="131"/>
    </row>
    <row r="282" s="102" customFormat="1" ht="45" outlineLevel="1" spans="1:17">
      <c r="A282" s="53">
        <v>201</v>
      </c>
      <c r="B282" s="53" t="s">
        <v>320</v>
      </c>
      <c r="C282" s="53" t="s">
        <v>348</v>
      </c>
      <c r="D282" s="53" t="s">
        <v>110</v>
      </c>
      <c r="E282" s="53">
        <v>3.28</v>
      </c>
      <c r="F282" s="105">
        <f t="shared" ref="F282:J282" si="234">F43</f>
        <v>150</v>
      </c>
      <c r="G282" s="55">
        <f t="shared" si="228"/>
        <v>472.5</v>
      </c>
      <c r="H282" s="105">
        <f t="shared" si="234"/>
        <v>450</v>
      </c>
      <c r="I282" s="65">
        <f t="shared" si="234"/>
        <v>0.05</v>
      </c>
      <c r="J282" s="55">
        <f t="shared" si="234"/>
        <v>75</v>
      </c>
      <c r="K282" s="55">
        <f>(F282+G282+J282)*$K$5</f>
        <v>41.85</v>
      </c>
      <c r="L282" s="55">
        <f>(F282+G282+J282+K282)*$L$5</f>
        <v>66.5415</v>
      </c>
      <c r="M282" s="55">
        <f t="shared" si="229"/>
        <v>805.8915</v>
      </c>
      <c r="N282" s="55"/>
      <c r="O282" s="55">
        <f t="shared" si="230"/>
        <v>2643.32412</v>
      </c>
      <c r="P282" s="119" t="str">
        <f>P258</f>
        <v>厂家定制</v>
      </c>
      <c r="Q282" s="131"/>
    </row>
    <row r="283" s="102" customFormat="1" spans="1:17">
      <c r="A283" s="53"/>
      <c r="B283" s="53" t="s">
        <v>349</v>
      </c>
      <c r="C283" s="53"/>
      <c r="D283" s="53"/>
      <c r="E283" s="53"/>
      <c r="F283" s="105"/>
      <c r="G283" s="55"/>
      <c r="H283" s="105"/>
      <c r="I283" s="65"/>
      <c r="J283" s="55"/>
      <c r="K283" s="55"/>
      <c r="L283" s="55"/>
      <c r="M283" s="55"/>
      <c r="N283" s="55"/>
      <c r="O283" s="55"/>
      <c r="P283" s="119"/>
      <c r="Q283" s="131"/>
    </row>
    <row r="284" s="102" customFormat="1" ht="123.75" outlineLevel="1" spans="1:17">
      <c r="A284" s="53">
        <v>202</v>
      </c>
      <c r="B284" s="53" t="s">
        <v>334</v>
      </c>
      <c r="C284" s="53" t="s">
        <v>335</v>
      </c>
      <c r="D284" s="53" t="s">
        <v>110</v>
      </c>
      <c r="E284" s="53">
        <v>31.38</v>
      </c>
      <c r="F284" s="105">
        <f t="shared" ref="F284:J284" si="235">F271</f>
        <v>85</v>
      </c>
      <c r="G284" s="55">
        <f t="shared" ref="G284:G288" si="236">H284*(1+I284)</f>
        <v>126</v>
      </c>
      <c r="H284" s="105">
        <f t="shared" si="235"/>
        <v>120</v>
      </c>
      <c r="I284" s="65">
        <f t="shared" si="235"/>
        <v>0.05</v>
      </c>
      <c r="J284" s="55">
        <f t="shared" si="235"/>
        <v>70</v>
      </c>
      <c r="K284" s="55">
        <f>(F284+G284+J284)*$K$5</f>
        <v>16.86</v>
      </c>
      <c r="L284" s="55">
        <f>(F284+G284+J284+K284)*$L$5</f>
        <v>26.8074</v>
      </c>
      <c r="M284" s="55">
        <f t="shared" ref="M284:M288" si="237">F284+G284+J284+K284+L284</f>
        <v>324.6674</v>
      </c>
      <c r="N284" s="55"/>
      <c r="O284" s="55">
        <f t="shared" ref="O284:O288" si="238">M284*E284</f>
        <v>10188.063012</v>
      </c>
      <c r="P284" s="119" t="str">
        <f>P72</f>
        <v>广东产</v>
      </c>
      <c r="Q284" s="131"/>
    </row>
    <row r="285" s="102" customFormat="1" ht="33.75" outlineLevel="1" spans="1:17">
      <c r="A285" s="53">
        <v>203</v>
      </c>
      <c r="B285" s="53" t="s">
        <v>336</v>
      </c>
      <c r="C285" s="53" t="s">
        <v>337</v>
      </c>
      <c r="D285" s="53" t="s">
        <v>110</v>
      </c>
      <c r="E285" s="53">
        <v>16.57</v>
      </c>
      <c r="F285" s="105">
        <f t="shared" ref="F285:J285" si="239">F272</f>
        <v>125</v>
      </c>
      <c r="G285" s="55">
        <f t="shared" si="236"/>
        <v>577.5</v>
      </c>
      <c r="H285" s="105">
        <f t="shared" si="239"/>
        <v>550</v>
      </c>
      <c r="I285" s="65">
        <f t="shared" si="239"/>
        <v>0.05</v>
      </c>
      <c r="J285" s="55">
        <f t="shared" si="239"/>
        <v>125</v>
      </c>
      <c r="K285" s="55">
        <f>(F285+G285+J285)*$K$5</f>
        <v>49.65</v>
      </c>
      <c r="L285" s="55">
        <f>(F285+G285+J285+K285)*$L$5</f>
        <v>78.9435</v>
      </c>
      <c r="M285" s="55">
        <f t="shared" si="237"/>
        <v>956.0935</v>
      </c>
      <c r="N285" s="55"/>
      <c r="O285" s="55">
        <f t="shared" si="238"/>
        <v>15842.469295</v>
      </c>
      <c r="P285" s="119"/>
      <c r="Q285" s="131"/>
    </row>
    <row r="286" s="102" customFormat="1" ht="67.5" outlineLevel="1" spans="1:17">
      <c r="A286" s="53">
        <v>204</v>
      </c>
      <c r="B286" s="53" t="s">
        <v>169</v>
      </c>
      <c r="C286" s="53" t="s">
        <v>338</v>
      </c>
      <c r="D286" s="53" t="s">
        <v>110</v>
      </c>
      <c r="E286" s="53">
        <v>4.89</v>
      </c>
      <c r="F286" s="105">
        <f t="shared" ref="F286:J286" si="240">F273</f>
        <v>185</v>
      </c>
      <c r="G286" s="55">
        <f t="shared" si="236"/>
        <v>441</v>
      </c>
      <c r="H286" s="105">
        <f t="shared" si="240"/>
        <v>420</v>
      </c>
      <c r="I286" s="65">
        <f t="shared" si="240"/>
        <v>0.05</v>
      </c>
      <c r="J286" s="55">
        <f t="shared" si="240"/>
        <v>165</v>
      </c>
      <c r="K286" s="55">
        <f>(F286+G286+J286)*$K$5</f>
        <v>47.46</v>
      </c>
      <c r="L286" s="55">
        <f>(F286+G286+J286+K286)*$L$5</f>
        <v>75.4614</v>
      </c>
      <c r="M286" s="55">
        <f t="shared" si="237"/>
        <v>913.9214</v>
      </c>
      <c r="N286" s="55"/>
      <c r="O286" s="55">
        <f t="shared" si="238"/>
        <v>4469.075646</v>
      </c>
      <c r="P286" s="119"/>
      <c r="Q286" s="131"/>
    </row>
    <row r="287" s="102" customFormat="1" ht="67.5" outlineLevel="1" spans="1:17">
      <c r="A287" s="53">
        <v>205</v>
      </c>
      <c r="B287" s="53" t="s">
        <v>169</v>
      </c>
      <c r="C287" s="53" t="s">
        <v>339</v>
      </c>
      <c r="D287" s="53" t="s">
        <v>110</v>
      </c>
      <c r="E287" s="53">
        <v>5.68</v>
      </c>
      <c r="F287" s="105">
        <f t="shared" ref="F287:J287" si="241">F273</f>
        <v>185</v>
      </c>
      <c r="G287" s="55">
        <f t="shared" si="236"/>
        <v>441</v>
      </c>
      <c r="H287" s="105">
        <f t="shared" si="241"/>
        <v>420</v>
      </c>
      <c r="I287" s="65">
        <f t="shared" si="241"/>
        <v>0.05</v>
      </c>
      <c r="J287" s="55">
        <f t="shared" si="241"/>
        <v>165</v>
      </c>
      <c r="K287" s="55">
        <f>(F287+G287+J287)*$K$5</f>
        <v>47.46</v>
      </c>
      <c r="L287" s="55">
        <f>(F287+G287+J287+K287)*$L$5</f>
        <v>75.4614</v>
      </c>
      <c r="M287" s="55">
        <f t="shared" si="237"/>
        <v>913.9214</v>
      </c>
      <c r="N287" s="55"/>
      <c r="O287" s="55">
        <f t="shared" si="238"/>
        <v>5191.073552</v>
      </c>
      <c r="P287" s="119"/>
      <c r="Q287" s="131"/>
    </row>
    <row r="288" s="102" customFormat="1" outlineLevel="1" spans="1:17">
      <c r="A288" s="53">
        <v>206</v>
      </c>
      <c r="B288" s="53" t="s">
        <v>340</v>
      </c>
      <c r="C288" s="53" t="s">
        <v>341</v>
      </c>
      <c r="D288" s="53" t="s">
        <v>110</v>
      </c>
      <c r="E288" s="53">
        <v>2.33</v>
      </c>
      <c r="F288" s="105">
        <f t="shared" ref="F288:J288" si="242">F275</f>
        <v>220</v>
      </c>
      <c r="G288" s="55">
        <f t="shared" si="236"/>
        <v>399</v>
      </c>
      <c r="H288" s="105">
        <f t="shared" si="242"/>
        <v>380</v>
      </c>
      <c r="I288" s="65">
        <f t="shared" si="242"/>
        <v>0.05</v>
      </c>
      <c r="J288" s="55">
        <f t="shared" si="242"/>
        <v>190</v>
      </c>
      <c r="K288" s="55">
        <f>(F288+G288+J288)*$K$5</f>
        <v>48.54</v>
      </c>
      <c r="L288" s="55">
        <f>(F288+G288+J288+K288)*$L$5</f>
        <v>77.1786</v>
      </c>
      <c r="M288" s="120">
        <f t="shared" si="237"/>
        <v>934.7186</v>
      </c>
      <c r="N288" s="121"/>
      <c r="O288" s="55">
        <f t="shared" si="238"/>
        <v>2177.894338</v>
      </c>
      <c r="P288" s="119"/>
      <c r="Q288" s="131"/>
    </row>
    <row r="289" s="102" customFormat="1" outlineLevel="1" spans="1:17">
      <c r="A289" s="53"/>
      <c r="B289" s="53"/>
      <c r="C289" s="53"/>
      <c r="D289" s="53"/>
      <c r="E289" s="53"/>
      <c r="F289" s="105"/>
      <c r="G289" s="55"/>
      <c r="H289" s="105"/>
      <c r="I289" s="65"/>
      <c r="J289" s="55"/>
      <c r="K289" s="55"/>
      <c r="L289" s="55"/>
      <c r="M289" s="124"/>
      <c r="N289" s="125"/>
      <c r="O289" s="55"/>
      <c r="P289" s="119"/>
      <c r="Q289" s="131"/>
    </row>
    <row r="290" s="102" customFormat="1" ht="45" outlineLevel="1" spans="1:17">
      <c r="A290" s="53">
        <v>207</v>
      </c>
      <c r="B290" s="53" t="s">
        <v>342</v>
      </c>
      <c r="C290" s="53" t="s">
        <v>343</v>
      </c>
      <c r="D290" s="53" t="s">
        <v>110</v>
      </c>
      <c r="E290" s="53">
        <v>56.38</v>
      </c>
      <c r="F290" s="105">
        <f t="shared" ref="F290:J290" si="243">F277</f>
        <v>20</v>
      </c>
      <c r="G290" s="55">
        <f t="shared" ref="G290:G294" si="244">H290*(1+I290)</f>
        <v>36.75</v>
      </c>
      <c r="H290" s="105">
        <f t="shared" si="243"/>
        <v>35</v>
      </c>
      <c r="I290" s="65">
        <f t="shared" si="243"/>
        <v>0.05</v>
      </c>
      <c r="J290" s="55">
        <f t="shared" si="243"/>
        <v>8</v>
      </c>
      <c r="K290" s="55">
        <f>(F290+G290+J290)*$K$5</f>
        <v>3.885</v>
      </c>
      <c r="L290" s="55">
        <f>(F290+G290+J290+K290)*$L$5</f>
        <v>6.17715</v>
      </c>
      <c r="M290" s="55">
        <f t="shared" ref="M290:M294" si="245">F290+G290+J290+K290+L290</f>
        <v>74.81215</v>
      </c>
      <c r="N290" s="55"/>
      <c r="O290" s="55">
        <f t="shared" ref="O290:O294" si="246">M290*E290</f>
        <v>4217.909017</v>
      </c>
      <c r="P290" s="119"/>
      <c r="Q290" s="131"/>
    </row>
    <row r="291" s="102" customFormat="1" ht="45" outlineLevel="1" spans="1:17">
      <c r="A291" s="53">
        <v>208</v>
      </c>
      <c r="B291" s="53" t="s">
        <v>344</v>
      </c>
      <c r="C291" s="53" t="s">
        <v>345</v>
      </c>
      <c r="D291" s="53" t="s">
        <v>110</v>
      </c>
      <c r="E291" s="53">
        <v>12.46</v>
      </c>
      <c r="F291" s="105">
        <f t="shared" ref="F291:J291" si="247">F278</f>
        <v>220</v>
      </c>
      <c r="G291" s="55">
        <f t="shared" si="244"/>
        <v>181.5</v>
      </c>
      <c r="H291" s="105">
        <f t="shared" si="247"/>
        <v>165</v>
      </c>
      <c r="I291" s="65">
        <f t="shared" si="247"/>
        <v>0.1</v>
      </c>
      <c r="J291" s="55">
        <f t="shared" si="247"/>
        <v>50</v>
      </c>
      <c r="K291" s="55">
        <f>(F291+G291+J291)*$K$5</f>
        <v>27.09</v>
      </c>
      <c r="L291" s="55">
        <f>(F291+G291+J291+K291)*$L$5</f>
        <v>43.0731</v>
      </c>
      <c r="M291" s="55">
        <f t="shared" si="245"/>
        <v>521.6631</v>
      </c>
      <c r="N291" s="55"/>
      <c r="O291" s="55">
        <f t="shared" si="246"/>
        <v>6499.922226</v>
      </c>
      <c r="P291" s="119" t="str">
        <f>P228</f>
        <v>立邦</v>
      </c>
      <c r="Q291" s="131"/>
    </row>
    <row r="292" s="102" customFormat="1" ht="45" outlineLevel="1" spans="1:17">
      <c r="A292" s="53">
        <v>209</v>
      </c>
      <c r="B292" s="53" t="s">
        <v>251</v>
      </c>
      <c r="C292" s="53" t="s">
        <v>293</v>
      </c>
      <c r="D292" s="53" t="s">
        <v>110</v>
      </c>
      <c r="E292" s="53">
        <v>3.84</v>
      </c>
      <c r="F292" s="105">
        <f t="shared" ref="F292:J292" si="248">F181</f>
        <v>150</v>
      </c>
      <c r="G292" s="55">
        <f t="shared" si="244"/>
        <v>682.5</v>
      </c>
      <c r="H292" s="105">
        <f t="shared" si="248"/>
        <v>650</v>
      </c>
      <c r="I292" s="65">
        <f t="shared" si="248"/>
        <v>0.05</v>
      </c>
      <c r="J292" s="55">
        <f t="shared" si="248"/>
        <v>100</v>
      </c>
      <c r="K292" s="55">
        <f>(F292+G292+J292)*$K$5</f>
        <v>55.95</v>
      </c>
      <c r="L292" s="55">
        <f>(F292+G292+J292+K292)*$L$5</f>
        <v>88.9605</v>
      </c>
      <c r="M292" s="55">
        <f t="shared" si="245"/>
        <v>1077.4105</v>
      </c>
      <c r="N292" s="55"/>
      <c r="O292" s="55">
        <f t="shared" si="246"/>
        <v>4137.25632</v>
      </c>
      <c r="P292" s="119"/>
      <c r="Q292" s="131"/>
    </row>
    <row r="293" s="102" customFormat="1" ht="45" outlineLevel="1" spans="1:17">
      <c r="A293" s="53">
        <v>210</v>
      </c>
      <c r="B293" s="53" t="s">
        <v>128</v>
      </c>
      <c r="C293" s="53" t="s">
        <v>347</v>
      </c>
      <c r="D293" s="53" t="s">
        <v>110</v>
      </c>
      <c r="E293" s="53">
        <v>2.56</v>
      </c>
      <c r="F293" s="105">
        <f t="shared" ref="F293:J293" si="249">F182</f>
        <v>165</v>
      </c>
      <c r="G293" s="55">
        <f t="shared" si="244"/>
        <v>315</v>
      </c>
      <c r="H293" s="105">
        <f t="shared" si="249"/>
        <v>300</v>
      </c>
      <c r="I293" s="65">
        <f t="shared" si="249"/>
        <v>0.05</v>
      </c>
      <c r="J293" s="55">
        <f t="shared" si="249"/>
        <v>135</v>
      </c>
      <c r="K293" s="55">
        <f>(F293+G293+J293)*$K$5</f>
        <v>36.9</v>
      </c>
      <c r="L293" s="55">
        <f>(F293+G293+J293+K293)*$L$5</f>
        <v>58.671</v>
      </c>
      <c r="M293" s="55">
        <f t="shared" si="245"/>
        <v>710.571</v>
      </c>
      <c r="N293" s="55"/>
      <c r="O293" s="55">
        <f t="shared" si="246"/>
        <v>1819.06176</v>
      </c>
      <c r="P293" s="119" t="str">
        <f>P259</f>
        <v>厂家定制</v>
      </c>
      <c r="Q293" s="131"/>
    </row>
    <row r="294" s="102" customFormat="1" ht="45" outlineLevel="1" spans="1:17">
      <c r="A294" s="53">
        <v>211</v>
      </c>
      <c r="B294" s="53" t="s">
        <v>221</v>
      </c>
      <c r="C294" s="53" t="s">
        <v>346</v>
      </c>
      <c r="D294" s="53" t="s">
        <v>141</v>
      </c>
      <c r="E294" s="53">
        <v>2</v>
      </c>
      <c r="F294" s="105">
        <f t="shared" ref="F294:J294" si="250">F183</f>
        <v>300</v>
      </c>
      <c r="G294" s="55">
        <f t="shared" si="244"/>
        <v>1111</v>
      </c>
      <c r="H294" s="105">
        <f t="shared" si="250"/>
        <v>1100</v>
      </c>
      <c r="I294" s="65">
        <f t="shared" si="250"/>
        <v>0.01</v>
      </c>
      <c r="J294" s="55">
        <f t="shared" si="250"/>
        <v>310</v>
      </c>
      <c r="K294" s="55">
        <f>(F294+G294+J294)*$K$5</f>
        <v>103.26</v>
      </c>
      <c r="L294" s="55">
        <f>(F294+G294+J294+K294)*$L$5</f>
        <v>164.1834</v>
      </c>
      <c r="M294" s="55">
        <f t="shared" si="245"/>
        <v>1988.4434</v>
      </c>
      <c r="N294" s="55"/>
      <c r="O294" s="55">
        <f t="shared" si="246"/>
        <v>3976.8868</v>
      </c>
      <c r="P294" s="119" t="str">
        <f>P265</f>
        <v>厂家定制</v>
      </c>
      <c r="Q294" s="131"/>
    </row>
    <row r="295" s="102" customFormat="1" spans="1:17">
      <c r="A295" s="53"/>
      <c r="B295" s="53" t="s">
        <v>350</v>
      </c>
      <c r="C295" s="53"/>
      <c r="D295" s="53"/>
      <c r="E295" s="53"/>
      <c r="F295" s="105"/>
      <c r="G295" s="55"/>
      <c r="H295" s="105"/>
      <c r="I295" s="65"/>
      <c r="J295" s="55"/>
      <c r="K295" s="55"/>
      <c r="L295" s="55"/>
      <c r="M295" s="55"/>
      <c r="N295" s="55"/>
      <c r="O295" s="55"/>
      <c r="P295" s="119"/>
      <c r="Q295" s="131"/>
    </row>
    <row r="296" s="102" customFormat="1" ht="56.25" outlineLevel="1" spans="1:17">
      <c r="A296" s="53">
        <v>212</v>
      </c>
      <c r="B296" s="53" t="s">
        <v>128</v>
      </c>
      <c r="C296" s="53" t="s">
        <v>351</v>
      </c>
      <c r="D296" s="53" t="s">
        <v>110</v>
      </c>
      <c r="E296" s="53">
        <v>57.13</v>
      </c>
      <c r="F296" s="105">
        <f t="shared" ref="F296:J296" si="251">F144</f>
        <v>155</v>
      </c>
      <c r="G296" s="55">
        <f t="shared" ref="G296:G298" si="252">H296*(1+I296)</f>
        <v>315</v>
      </c>
      <c r="H296" s="105">
        <f t="shared" si="251"/>
        <v>300</v>
      </c>
      <c r="I296" s="65">
        <f>I182</f>
        <v>0.05</v>
      </c>
      <c r="J296" s="105">
        <f t="shared" si="251"/>
        <v>80</v>
      </c>
      <c r="K296" s="55">
        <f>(F296+G296+J296)*$K$5</f>
        <v>33</v>
      </c>
      <c r="L296" s="55">
        <f>(F296+G296+J296+K296)*$L$5</f>
        <v>52.47</v>
      </c>
      <c r="M296" s="55">
        <f t="shared" ref="M296:M298" si="253">F296+G296+J296+K296+L296</f>
        <v>635.47</v>
      </c>
      <c r="N296" s="55"/>
      <c r="O296" s="55">
        <f t="shared" ref="O296:O298" si="254">M296*E296</f>
        <v>36304.4011</v>
      </c>
      <c r="P296" s="119" t="str">
        <f>P266</f>
        <v>厂家定制</v>
      </c>
      <c r="Q296" s="131"/>
    </row>
    <row r="297" s="102" customFormat="1" ht="56.25" outlineLevel="1" spans="1:17">
      <c r="A297" s="53">
        <v>213</v>
      </c>
      <c r="B297" s="53" t="s">
        <v>128</v>
      </c>
      <c r="C297" s="53" t="s">
        <v>352</v>
      </c>
      <c r="D297" s="53" t="s">
        <v>110</v>
      </c>
      <c r="E297" s="53">
        <v>67.63</v>
      </c>
      <c r="F297" s="105">
        <f t="shared" ref="F297:J297" si="255">F153</f>
        <v>145</v>
      </c>
      <c r="G297" s="55">
        <f t="shared" si="252"/>
        <v>236.25</v>
      </c>
      <c r="H297" s="105">
        <f t="shared" si="255"/>
        <v>225</v>
      </c>
      <c r="I297" s="65">
        <f t="shared" si="255"/>
        <v>0.05</v>
      </c>
      <c r="J297" s="55">
        <f t="shared" si="255"/>
        <v>70</v>
      </c>
      <c r="K297" s="55">
        <f>(F297+G297+J297)*$K$5</f>
        <v>27.075</v>
      </c>
      <c r="L297" s="55">
        <f>(F297+G297+J297+K297)*$L$5</f>
        <v>43.04925</v>
      </c>
      <c r="M297" s="55">
        <f t="shared" si="253"/>
        <v>521.37425</v>
      </c>
      <c r="N297" s="55"/>
      <c r="O297" s="55">
        <f t="shared" si="254"/>
        <v>35260.5405275</v>
      </c>
      <c r="P297" s="119"/>
      <c r="Q297" s="131"/>
    </row>
    <row r="298" s="102" customFormat="1" ht="45" outlineLevel="1" spans="1:17">
      <c r="A298" s="53">
        <v>214</v>
      </c>
      <c r="B298" s="53" t="s">
        <v>240</v>
      </c>
      <c r="C298" s="53" t="s">
        <v>249</v>
      </c>
      <c r="D298" s="53" t="s">
        <v>144</v>
      </c>
      <c r="E298" s="53">
        <v>2.83</v>
      </c>
      <c r="F298" s="105">
        <f t="shared" ref="F298:J298" si="256">F245</f>
        <v>15</v>
      </c>
      <c r="G298" s="55">
        <f t="shared" si="252"/>
        <v>29.4</v>
      </c>
      <c r="H298" s="105">
        <f t="shared" si="256"/>
        <v>28</v>
      </c>
      <c r="I298" s="65">
        <f t="shared" si="256"/>
        <v>0.05</v>
      </c>
      <c r="J298" s="55">
        <f t="shared" si="256"/>
        <v>1</v>
      </c>
      <c r="K298" s="55">
        <f>(F298+G298+J298)*$K$5</f>
        <v>2.724</v>
      </c>
      <c r="L298" s="55">
        <f>(F298+G298+J298+K298)*$L$5</f>
        <v>4.33116</v>
      </c>
      <c r="M298" s="55">
        <f t="shared" si="253"/>
        <v>52.45516</v>
      </c>
      <c r="N298" s="55"/>
      <c r="O298" s="55">
        <f t="shared" si="254"/>
        <v>148.4481028</v>
      </c>
      <c r="P298" s="119"/>
      <c r="Q298" s="131"/>
    </row>
    <row r="299" s="102" customFormat="1" spans="1:17">
      <c r="A299" s="53"/>
      <c r="B299" s="53" t="s">
        <v>353</v>
      </c>
      <c r="C299" s="53"/>
      <c r="D299" s="53"/>
      <c r="E299" s="53"/>
      <c r="F299" s="105"/>
      <c r="G299" s="55"/>
      <c r="H299" s="105"/>
      <c r="I299" s="65"/>
      <c r="J299" s="55"/>
      <c r="K299" s="55"/>
      <c r="L299" s="55"/>
      <c r="M299" s="55"/>
      <c r="N299" s="55"/>
      <c r="O299" s="55"/>
      <c r="P299" s="119"/>
      <c r="Q299" s="131"/>
    </row>
    <row r="300" s="102" customFormat="1" ht="22.5" outlineLevel="1" spans="1:17">
      <c r="A300" s="53"/>
      <c r="B300" s="53" t="s">
        <v>354</v>
      </c>
      <c r="C300" s="53"/>
      <c r="D300" s="53"/>
      <c r="E300" s="53"/>
      <c r="F300" s="105"/>
      <c r="G300" s="55"/>
      <c r="H300" s="105"/>
      <c r="I300" s="65"/>
      <c r="J300" s="55"/>
      <c r="K300" s="55"/>
      <c r="L300" s="55"/>
      <c r="M300" s="55"/>
      <c r="N300" s="55"/>
      <c r="O300" s="55"/>
      <c r="P300" s="119"/>
      <c r="Q300" s="131"/>
    </row>
    <row r="301" s="102" customFormat="1" ht="33.75" outlineLevel="1" spans="1:17">
      <c r="A301" s="53">
        <v>215</v>
      </c>
      <c r="B301" s="53" t="s">
        <v>355</v>
      </c>
      <c r="C301" s="53" t="s">
        <v>356</v>
      </c>
      <c r="D301" s="53" t="s">
        <v>138</v>
      </c>
      <c r="E301" s="53">
        <v>2</v>
      </c>
      <c r="F301" s="107">
        <f>4.48*2.7*300</f>
        <v>3628.8</v>
      </c>
      <c r="G301" s="55">
        <f>H301*(1+I301)</f>
        <v>17816.4</v>
      </c>
      <c r="H301" s="107">
        <f>4.5*2.8*1400</f>
        <v>17640</v>
      </c>
      <c r="I301" s="118">
        <v>0.01</v>
      </c>
      <c r="J301" s="62">
        <f>4.48*2.8*100</f>
        <v>1254.4</v>
      </c>
      <c r="K301" s="55">
        <f>(F301+G301+J301)*$K$5</f>
        <v>1361.976</v>
      </c>
      <c r="L301" s="55">
        <f>(F301+G301+J301+K301)*$L$5</f>
        <v>2165.54184</v>
      </c>
      <c r="M301" s="55">
        <f>F301+G301+J301+K301+L301</f>
        <v>26227.11784</v>
      </c>
      <c r="N301" s="55"/>
      <c r="O301" s="55">
        <f>M301*E301</f>
        <v>52454.23568</v>
      </c>
      <c r="P301" s="119"/>
      <c r="Q301" s="131"/>
    </row>
    <row r="302" s="102" customFormat="1" outlineLevel="1" spans="1:17">
      <c r="A302" s="53"/>
      <c r="B302" s="53" t="s">
        <v>272</v>
      </c>
      <c r="C302" s="53"/>
      <c r="D302" s="53"/>
      <c r="E302" s="53"/>
      <c r="F302" s="105"/>
      <c r="G302" s="55"/>
      <c r="H302" s="105"/>
      <c r="I302" s="65"/>
      <c r="J302" s="55"/>
      <c r="K302" s="55"/>
      <c r="L302" s="55"/>
      <c r="M302" s="55"/>
      <c r="N302" s="55"/>
      <c r="O302" s="55"/>
      <c r="P302" s="119"/>
      <c r="Q302" s="131"/>
    </row>
    <row r="303" s="102" customFormat="1" outlineLevel="1" spans="1:17">
      <c r="A303" s="53">
        <v>216</v>
      </c>
      <c r="B303" s="53" t="s">
        <v>357</v>
      </c>
      <c r="C303" s="141" t="s">
        <v>358</v>
      </c>
      <c r="D303" s="53" t="s">
        <v>138</v>
      </c>
      <c r="E303" s="53">
        <v>1</v>
      </c>
      <c r="F303" s="105">
        <v>13000</v>
      </c>
      <c r="G303" s="109">
        <f>H303*(1+I303)</f>
        <v>23230</v>
      </c>
      <c r="H303" s="116">
        <v>23000</v>
      </c>
      <c r="I303" s="89">
        <v>0.01</v>
      </c>
      <c r="J303" s="109">
        <v>3500</v>
      </c>
      <c r="K303" s="109">
        <f>(F303+G303+J303)*$K$5</f>
        <v>2383.8</v>
      </c>
      <c r="L303" s="109">
        <f>(F303+G303+J303+K303)*$L$5</f>
        <v>3790.242</v>
      </c>
      <c r="M303" s="120">
        <f>F303+G303+J303+K303+L303</f>
        <v>45904.042</v>
      </c>
      <c r="N303" s="121"/>
      <c r="O303" s="109">
        <f>M303*E303</f>
        <v>45904.042</v>
      </c>
      <c r="P303" s="119"/>
      <c r="Q303" s="131"/>
    </row>
    <row r="304" s="102" customFormat="1" outlineLevel="1" spans="1:17">
      <c r="A304" s="53"/>
      <c r="B304" s="53"/>
      <c r="C304" s="141"/>
      <c r="D304" s="53"/>
      <c r="E304" s="53"/>
      <c r="F304" s="105"/>
      <c r="G304" s="110"/>
      <c r="H304" s="156"/>
      <c r="I304" s="94"/>
      <c r="J304" s="110"/>
      <c r="K304" s="110"/>
      <c r="L304" s="110"/>
      <c r="M304" s="122"/>
      <c r="N304" s="123"/>
      <c r="O304" s="110"/>
      <c r="P304" s="119"/>
      <c r="Q304" s="131"/>
    </row>
    <row r="305" s="102" customFormat="1" outlineLevel="1" spans="1:17">
      <c r="A305" s="53"/>
      <c r="B305" s="53"/>
      <c r="C305" s="141"/>
      <c r="D305" s="53"/>
      <c r="E305" s="53"/>
      <c r="F305" s="105"/>
      <c r="G305" s="110"/>
      <c r="H305" s="156"/>
      <c r="I305" s="94"/>
      <c r="J305" s="110"/>
      <c r="K305" s="110"/>
      <c r="L305" s="110"/>
      <c r="M305" s="122"/>
      <c r="N305" s="123"/>
      <c r="O305" s="110"/>
      <c r="P305" s="119"/>
      <c r="Q305" s="131"/>
    </row>
    <row r="306" s="102" customFormat="1" outlineLevel="1" spans="1:17">
      <c r="A306" s="53"/>
      <c r="B306" s="53"/>
      <c r="C306" s="141"/>
      <c r="D306" s="53"/>
      <c r="E306" s="53"/>
      <c r="F306" s="105"/>
      <c r="G306" s="111"/>
      <c r="H306" s="159"/>
      <c r="I306" s="90"/>
      <c r="J306" s="111"/>
      <c r="K306" s="111"/>
      <c r="L306" s="111"/>
      <c r="M306" s="124"/>
      <c r="N306" s="125"/>
      <c r="O306" s="111"/>
      <c r="P306" s="119"/>
      <c r="Q306" s="131"/>
    </row>
    <row r="307" s="102" customFormat="1" ht="33.75" outlineLevel="1" spans="1:17">
      <c r="A307" s="53"/>
      <c r="B307" s="53" t="s">
        <v>359</v>
      </c>
      <c r="C307" s="53"/>
      <c r="D307" s="53"/>
      <c r="E307" s="53"/>
      <c r="F307" s="105"/>
      <c r="G307" s="55"/>
      <c r="H307" s="105"/>
      <c r="I307" s="65"/>
      <c r="J307" s="55"/>
      <c r="K307" s="55"/>
      <c r="L307" s="55"/>
      <c r="M307" s="55"/>
      <c r="N307" s="55"/>
      <c r="O307" s="55"/>
      <c r="P307" s="119"/>
      <c r="Q307" s="131"/>
    </row>
    <row r="308" s="102" customFormat="1" outlineLevel="1" spans="1:17">
      <c r="A308" s="53">
        <v>217</v>
      </c>
      <c r="B308" s="53" t="s">
        <v>360</v>
      </c>
      <c r="C308" s="141" t="s">
        <v>361</v>
      </c>
      <c r="D308" s="53" t="s">
        <v>138</v>
      </c>
      <c r="E308" s="53">
        <v>4</v>
      </c>
      <c r="F308" s="107">
        <v>1500</v>
      </c>
      <c r="G308" s="109">
        <f>H308*(1+I308)</f>
        <v>3232</v>
      </c>
      <c r="H308" s="107">
        <v>3200</v>
      </c>
      <c r="I308" s="77">
        <v>0.01</v>
      </c>
      <c r="J308" s="62">
        <v>550</v>
      </c>
      <c r="K308" s="109">
        <f>(F308+G308+J308)*$K$5</f>
        <v>316.92</v>
      </c>
      <c r="L308" s="109">
        <f>(F308+G308+J308+K308)*$L$5</f>
        <v>503.9028</v>
      </c>
      <c r="M308" s="120">
        <f>F308+G308+J308+K308+L308</f>
        <v>6102.8228</v>
      </c>
      <c r="N308" s="121"/>
      <c r="O308" s="109">
        <f>M308*E308</f>
        <v>24411.2912</v>
      </c>
      <c r="P308" s="119"/>
      <c r="Q308" s="131"/>
    </row>
    <row r="309" s="102" customFormat="1" outlineLevel="1" spans="1:17">
      <c r="A309" s="53"/>
      <c r="B309" s="53"/>
      <c r="C309" s="141"/>
      <c r="D309" s="53"/>
      <c r="E309" s="53"/>
      <c r="F309" s="107"/>
      <c r="G309" s="110"/>
      <c r="H309" s="107"/>
      <c r="I309" s="77"/>
      <c r="J309" s="62"/>
      <c r="K309" s="110"/>
      <c r="L309" s="110"/>
      <c r="M309" s="122"/>
      <c r="N309" s="123"/>
      <c r="O309" s="110"/>
      <c r="P309" s="119"/>
      <c r="Q309" s="131"/>
    </row>
    <row r="310" s="102" customFormat="1" outlineLevel="1" spans="1:17">
      <c r="A310" s="53"/>
      <c r="B310" s="53"/>
      <c r="C310" s="141"/>
      <c r="D310" s="53"/>
      <c r="E310" s="53"/>
      <c r="F310" s="107"/>
      <c r="G310" s="110"/>
      <c r="H310" s="107"/>
      <c r="I310" s="77"/>
      <c r="J310" s="62"/>
      <c r="K310" s="110"/>
      <c r="L310" s="110"/>
      <c r="M310" s="122"/>
      <c r="N310" s="123"/>
      <c r="O310" s="110"/>
      <c r="P310" s="119"/>
      <c r="Q310" s="131"/>
    </row>
    <row r="311" s="102" customFormat="1" outlineLevel="1" spans="1:17">
      <c r="A311" s="53"/>
      <c r="B311" s="53"/>
      <c r="C311" s="141"/>
      <c r="D311" s="53"/>
      <c r="E311" s="53"/>
      <c r="F311" s="107"/>
      <c r="G311" s="110"/>
      <c r="H311" s="107"/>
      <c r="I311" s="77"/>
      <c r="J311" s="62"/>
      <c r="K311" s="110"/>
      <c r="L311" s="110"/>
      <c r="M311" s="122"/>
      <c r="N311" s="123"/>
      <c r="O311" s="110"/>
      <c r="P311" s="119"/>
      <c r="Q311" s="131"/>
    </row>
    <row r="312" s="102" customFormat="1" outlineLevel="1" spans="1:17">
      <c r="A312" s="53"/>
      <c r="B312" s="53"/>
      <c r="C312" s="141"/>
      <c r="D312" s="53"/>
      <c r="E312" s="53"/>
      <c r="F312" s="107"/>
      <c r="G312" s="110"/>
      <c r="H312" s="107"/>
      <c r="I312" s="77"/>
      <c r="J312" s="62"/>
      <c r="K312" s="110"/>
      <c r="L312" s="110"/>
      <c r="M312" s="122"/>
      <c r="N312" s="123"/>
      <c r="O312" s="110"/>
      <c r="P312" s="119"/>
      <c r="Q312" s="131"/>
    </row>
    <row r="313" s="102" customFormat="1" outlineLevel="1" spans="1:17">
      <c r="A313" s="53"/>
      <c r="B313" s="53"/>
      <c r="C313" s="141"/>
      <c r="D313" s="53"/>
      <c r="E313" s="53"/>
      <c r="F313" s="107"/>
      <c r="G313" s="110"/>
      <c r="H313" s="107"/>
      <c r="I313" s="77"/>
      <c r="J313" s="62"/>
      <c r="K313" s="110"/>
      <c r="L313" s="110"/>
      <c r="M313" s="122"/>
      <c r="N313" s="123"/>
      <c r="O313" s="110"/>
      <c r="P313" s="119"/>
      <c r="Q313" s="131"/>
    </row>
    <row r="314" s="102" customFormat="1" outlineLevel="1" spans="1:17">
      <c r="A314" s="53"/>
      <c r="B314" s="53"/>
      <c r="C314" s="141"/>
      <c r="D314" s="53"/>
      <c r="E314" s="53"/>
      <c r="F314" s="107"/>
      <c r="G314" s="111"/>
      <c r="H314" s="107"/>
      <c r="I314" s="77"/>
      <c r="J314" s="62"/>
      <c r="K314" s="111"/>
      <c r="L314" s="111"/>
      <c r="M314" s="124"/>
      <c r="N314" s="125"/>
      <c r="O314" s="111"/>
      <c r="P314" s="119"/>
      <c r="Q314" s="131"/>
    </row>
    <row r="315" s="102" customFormat="1" ht="33.75" outlineLevel="1" spans="1:17">
      <c r="A315" s="53"/>
      <c r="B315" s="53" t="s">
        <v>362</v>
      </c>
      <c r="C315" s="53"/>
      <c r="D315" s="53"/>
      <c r="E315" s="53"/>
      <c r="F315" s="105"/>
      <c r="G315" s="55"/>
      <c r="H315" s="105"/>
      <c r="I315" s="65"/>
      <c r="J315" s="55"/>
      <c r="K315" s="55"/>
      <c r="L315" s="55"/>
      <c r="M315" s="55"/>
      <c r="N315" s="55"/>
      <c r="O315" s="55"/>
      <c r="P315" s="119"/>
      <c r="Q315" s="131"/>
    </row>
    <row r="316" s="102" customFormat="1" outlineLevel="1" spans="1:17">
      <c r="A316" s="53">
        <v>218</v>
      </c>
      <c r="B316" s="53" t="s">
        <v>360</v>
      </c>
      <c r="C316" s="53" t="s">
        <v>363</v>
      </c>
      <c r="D316" s="53" t="s">
        <v>138</v>
      </c>
      <c r="E316" s="53">
        <v>6</v>
      </c>
      <c r="F316" s="105">
        <f t="shared" ref="F316:J316" si="257">F308</f>
        <v>1500</v>
      </c>
      <c r="G316" s="109">
        <f>H316*(1+I316)</f>
        <v>2424</v>
      </c>
      <c r="H316" s="114">
        <f>H308-800</f>
        <v>2400</v>
      </c>
      <c r="I316" s="89">
        <f t="shared" si="257"/>
        <v>0.01</v>
      </c>
      <c r="J316" s="109">
        <f t="shared" si="257"/>
        <v>550</v>
      </c>
      <c r="K316" s="109">
        <f>(F316+G316+J316)*$K$5</f>
        <v>268.44</v>
      </c>
      <c r="L316" s="109">
        <f>(F316+G316+J316+K316)*$L$5</f>
        <v>426.8196</v>
      </c>
      <c r="M316" s="120">
        <f>F316+G316+J316+K316+L316</f>
        <v>5169.2596</v>
      </c>
      <c r="N316" s="121"/>
      <c r="O316" s="109">
        <f>M316*E316</f>
        <v>31015.5576</v>
      </c>
      <c r="P316" s="119"/>
      <c r="Q316" s="131"/>
    </row>
    <row r="317" s="102" customFormat="1" outlineLevel="1" spans="1:17">
      <c r="A317" s="53"/>
      <c r="B317" s="53"/>
      <c r="C317" s="53"/>
      <c r="D317" s="53"/>
      <c r="E317" s="53"/>
      <c r="F317" s="105"/>
      <c r="G317" s="110"/>
      <c r="H317" s="117"/>
      <c r="I317" s="94"/>
      <c r="J317" s="110"/>
      <c r="K317" s="110"/>
      <c r="L317" s="110"/>
      <c r="M317" s="122"/>
      <c r="N317" s="123"/>
      <c r="O317" s="110"/>
      <c r="P317" s="119"/>
      <c r="Q317" s="131"/>
    </row>
    <row r="318" s="102" customFormat="1" outlineLevel="1" spans="1:17">
      <c r="A318" s="53"/>
      <c r="B318" s="53"/>
      <c r="C318" s="53"/>
      <c r="D318" s="53"/>
      <c r="E318" s="53"/>
      <c r="F318" s="105"/>
      <c r="G318" s="110"/>
      <c r="H318" s="117"/>
      <c r="I318" s="94"/>
      <c r="J318" s="110"/>
      <c r="K318" s="110"/>
      <c r="L318" s="110"/>
      <c r="M318" s="122"/>
      <c r="N318" s="123"/>
      <c r="O318" s="110"/>
      <c r="P318" s="119"/>
      <c r="Q318" s="131"/>
    </row>
    <row r="319" s="102" customFormat="1" outlineLevel="1" spans="1:17">
      <c r="A319" s="53"/>
      <c r="B319" s="53"/>
      <c r="C319" s="53"/>
      <c r="D319" s="53"/>
      <c r="E319" s="53"/>
      <c r="F319" s="105"/>
      <c r="G319" s="110"/>
      <c r="H319" s="117"/>
      <c r="I319" s="94"/>
      <c r="J319" s="110"/>
      <c r="K319" s="110"/>
      <c r="L319" s="110"/>
      <c r="M319" s="122"/>
      <c r="N319" s="123"/>
      <c r="O319" s="110"/>
      <c r="P319" s="119"/>
      <c r="Q319" s="131"/>
    </row>
    <row r="320" s="102" customFormat="1" outlineLevel="1" spans="1:17">
      <c r="A320" s="53"/>
      <c r="B320" s="53"/>
      <c r="C320" s="53"/>
      <c r="D320" s="53"/>
      <c r="E320" s="53"/>
      <c r="F320" s="105"/>
      <c r="G320" s="111"/>
      <c r="H320" s="115"/>
      <c r="I320" s="90"/>
      <c r="J320" s="111"/>
      <c r="K320" s="111"/>
      <c r="L320" s="111"/>
      <c r="M320" s="124"/>
      <c r="N320" s="125"/>
      <c r="O320" s="111"/>
      <c r="P320" s="119"/>
      <c r="Q320" s="131"/>
    </row>
    <row r="321" s="102" customFormat="1" ht="22" customHeight="1" outlineLevel="1" spans="1:17">
      <c r="A321" s="53"/>
      <c r="B321" s="53" t="s">
        <v>364</v>
      </c>
      <c r="C321" s="53"/>
      <c r="D321" s="53"/>
      <c r="E321" s="53"/>
      <c r="F321" s="105"/>
      <c r="G321" s="55"/>
      <c r="H321" s="105"/>
      <c r="I321" s="65"/>
      <c r="J321" s="55"/>
      <c r="K321" s="55"/>
      <c r="L321" s="55"/>
      <c r="M321" s="55"/>
      <c r="N321" s="55"/>
      <c r="O321" s="55"/>
      <c r="P321" s="119"/>
      <c r="Q321" s="131"/>
    </row>
    <row r="322" s="102" customFormat="1" outlineLevel="1" spans="1:17">
      <c r="A322" s="72">
        <v>219</v>
      </c>
      <c r="B322" s="72" t="s">
        <v>360</v>
      </c>
      <c r="C322" s="72" t="s">
        <v>365</v>
      </c>
      <c r="D322" s="72" t="s">
        <v>138</v>
      </c>
      <c r="E322" s="72">
        <v>1</v>
      </c>
      <c r="F322" s="114">
        <f t="shared" ref="F322:J322" si="258">F308</f>
        <v>1500</v>
      </c>
      <c r="G322" s="109">
        <f>H322*(1+I322)</f>
        <v>3232</v>
      </c>
      <c r="H322" s="114">
        <f t="shared" si="258"/>
        <v>3200</v>
      </c>
      <c r="I322" s="83">
        <f t="shared" si="258"/>
        <v>0.01</v>
      </c>
      <c r="J322" s="127">
        <f t="shared" si="258"/>
        <v>550</v>
      </c>
      <c r="K322" s="109">
        <f>(F322+G322+J322)*$K$5</f>
        <v>316.92</v>
      </c>
      <c r="L322" s="109">
        <f>(F322+G322+J322+K322)*$L$5</f>
        <v>503.9028</v>
      </c>
      <c r="M322" s="120">
        <f>F322+G322+J322+K322+L322</f>
        <v>6102.8228</v>
      </c>
      <c r="N322" s="121"/>
      <c r="O322" s="109">
        <f>M322*E322</f>
        <v>6102.8228</v>
      </c>
      <c r="P322" s="165"/>
      <c r="Q322" s="131"/>
    </row>
    <row r="323" s="102" customFormat="1" outlineLevel="1" spans="1:17">
      <c r="A323" s="92"/>
      <c r="B323" s="92"/>
      <c r="C323" s="92"/>
      <c r="D323" s="92"/>
      <c r="E323" s="92"/>
      <c r="F323" s="117"/>
      <c r="G323" s="110"/>
      <c r="H323" s="117"/>
      <c r="I323" s="129"/>
      <c r="J323" s="130"/>
      <c r="K323" s="110"/>
      <c r="L323" s="110"/>
      <c r="M323" s="122"/>
      <c r="N323" s="123"/>
      <c r="O323" s="110"/>
      <c r="P323" s="166"/>
      <c r="Q323" s="131"/>
    </row>
    <row r="324" s="102" customFormat="1" outlineLevel="1" spans="1:17">
      <c r="A324" s="92"/>
      <c r="B324" s="92"/>
      <c r="C324" s="92"/>
      <c r="D324" s="92"/>
      <c r="E324" s="92"/>
      <c r="F324" s="117"/>
      <c r="G324" s="110"/>
      <c r="H324" s="117"/>
      <c r="I324" s="129"/>
      <c r="J324" s="130"/>
      <c r="K324" s="110"/>
      <c r="L324" s="110"/>
      <c r="M324" s="122"/>
      <c r="N324" s="123"/>
      <c r="O324" s="110"/>
      <c r="P324" s="166"/>
      <c r="Q324" s="131"/>
    </row>
    <row r="325" s="102" customFormat="1" outlineLevel="1" spans="1:17">
      <c r="A325" s="92"/>
      <c r="B325" s="92"/>
      <c r="C325" s="92"/>
      <c r="D325" s="92"/>
      <c r="E325" s="92"/>
      <c r="F325" s="117"/>
      <c r="G325" s="110"/>
      <c r="H325" s="117"/>
      <c r="I325" s="129"/>
      <c r="J325" s="130"/>
      <c r="K325" s="110"/>
      <c r="L325" s="110"/>
      <c r="M325" s="122"/>
      <c r="N325" s="123"/>
      <c r="O325" s="110"/>
      <c r="P325" s="166"/>
      <c r="Q325" s="131"/>
    </row>
    <row r="326" s="102" customFormat="1" outlineLevel="1" spans="1:17">
      <c r="A326" s="92"/>
      <c r="B326" s="92"/>
      <c r="C326" s="92"/>
      <c r="D326" s="92"/>
      <c r="E326" s="92"/>
      <c r="F326" s="117"/>
      <c r="G326" s="110"/>
      <c r="H326" s="117"/>
      <c r="I326" s="129"/>
      <c r="J326" s="130"/>
      <c r="K326" s="110"/>
      <c r="L326" s="110"/>
      <c r="M326" s="122"/>
      <c r="N326" s="123"/>
      <c r="O326" s="110"/>
      <c r="P326" s="166"/>
      <c r="Q326" s="131"/>
    </row>
    <row r="327" s="102" customFormat="1" outlineLevel="1" spans="1:17">
      <c r="A327" s="74"/>
      <c r="B327" s="74"/>
      <c r="C327" s="74"/>
      <c r="D327" s="74"/>
      <c r="E327" s="74"/>
      <c r="F327" s="115"/>
      <c r="G327" s="111"/>
      <c r="H327" s="115"/>
      <c r="I327" s="86"/>
      <c r="J327" s="128"/>
      <c r="K327" s="111"/>
      <c r="L327" s="111"/>
      <c r="M327" s="124"/>
      <c r="N327" s="125"/>
      <c r="O327" s="111"/>
      <c r="P327" s="167"/>
      <c r="Q327" s="131"/>
    </row>
    <row r="328" s="102" customFormat="1" ht="22" customHeight="1" outlineLevel="1" spans="1:17">
      <c r="A328" s="53"/>
      <c r="B328" s="53" t="s">
        <v>366</v>
      </c>
      <c r="C328" s="53"/>
      <c r="D328" s="53"/>
      <c r="E328" s="53"/>
      <c r="F328" s="105"/>
      <c r="G328" s="55"/>
      <c r="H328" s="105"/>
      <c r="I328" s="65"/>
      <c r="J328" s="55"/>
      <c r="K328" s="55"/>
      <c r="L328" s="55"/>
      <c r="M328" s="55"/>
      <c r="N328" s="55"/>
      <c r="O328" s="55"/>
      <c r="P328" s="119"/>
      <c r="Q328" s="131"/>
    </row>
    <row r="329" s="21" customFormat="1" outlineLevel="1" spans="1:21">
      <c r="A329" s="72">
        <v>220</v>
      </c>
      <c r="B329" s="72" t="s">
        <v>360</v>
      </c>
      <c r="C329" s="72" t="s">
        <v>367</v>
      </c>
      <c r="D329" s="72" t="s">
        <v>138</v>
      </c>
      <c r="E329" s="72">
        <v>1</v>
      </c>
      <c r="F329" s="105">
        <f>F322*1.65</f>
        <v>2475</v>
      </c>
      <c r="G329" s="55">
        <f>H329*(1+I329)</f>
        <v>5332.8</v>
      </c>
      <c r="H329" s="105">
        <f>H322*1.65</f>
        <v>5280</v>
      </c>
      <c r="I329" s="65">
        <f>I322</f>
        <v>0.01</v>
      </c>
      <c r="J329" s="55">
        <f>J322*1.6</f>
        <v>880</v>
      </c>
      <c r="K329" s="55">
        <f>(F329+G329+J329)*$K$5</f>
        <v>521.268</v>
      </c>
      <c r="L329" s="55">
        <f>(F329+G329+J329+K329)*$L$5</f>
        <v>828.81612</v>
      </c>
      <c r="M329" s="55">
        <f>F329+G329+J329+K329+L329</f>
        <v>10037.88412</v>
      </c>
      <c r="N329" s="55"/>
      <c r="O329" s="55">
        <f>M329*E329</f>
        <v>10037.88412</v>
      </c>
      <c r="P329" s="119"/>
      <c r="Q329" s="104"/>
      <c r="R329" s="102"/>
      <c r="S329" s="102"/>
      <c r="T329" s="102"/>
      <c r="U329" s="102"/>
    </row>
    <row r="330" s="21" customFormat="1" outlineLevel="1" spans="1:21">
      <c r="A330" s="92"/>
      <c r="B330" s="92"/>
      <c r="C330" s="92"/>
      <c r="D330" s="92"/>
      <c r="E330" s="92"/>
      <c r="F330" s="105"/>
      <c r="G330" s="55"/>
      <c r="H330" s="105"/>
      <c r="I330" s="65"/>
      <c r="J330" s="55"/>
      <c r="K330" s="55"/>
      <c r="L330" s="55"/>
      <c r="M330" s="55"/>
      <c r="N330" s="55"/>
      <c r="O330" s="55"/>
      <c r="P330" s="119"/>
      <c r="Q330" s="104"/>
      <c r="R330" s="102"/>
      <c r="S330" s="102"/>
      <c r="T330" s="102"/>
      <c r="U330" s="102"/>
    </row>
    <row r="331" s="21" customFormat="1" outlineLevel="1" spans="1:21">
      <c r="A331" s="92"/>
      <c r="B331" s="92"/>
      <c r="C331" s="92"/>
      <c r="D331" s="92"/>
      <c r="E331" s="92"/>
      <c r="F331" s="105"/>
      <c r="G331" s="55"/>
      <c r="H331" s="105"/>
      <c r="I331" s="65"/>
      <c r="J331" s="55"/>
      <c r="K331" s="55"/>
      <c r="L331" s="55"/>
      <c r="M331" s="55"/>
      <c r="N331" s="55"/>
      <c r="O331" s="55"/>
      <c r="P331" s="119"/>
      <c r="Q331" s="104"/>
      <c r="R331" s="102"/>
      <c r="S331" s="102"/>
      <c r="T331" s="102"/>
      <c r="U331" s="102"/>
    </row>
    <row r="332" s="21" customFormat="1" outlineLevel="1" spans="1:21">
      <c r="A332" s="92"/>
      <c r="B332" s="92"/>
      <c r="C332" s="92"/>
      <c r="D332" s="92"/>
      <c r="E332" s="92"/>
      <c r="F332" s="105"/>
      <c r="G332" s="55"/>
      <c r="H332" s="105"/>
      <c r="I332" s="65"/>
      <c r="J332" s="55"/>
      <c r="K332" s="55"/>
      <c r="L332" s="55"/>
      <c r="M332" s="55"/>
      <c r="N332" s="55"/>
      <c r="O332" s="55"/>
      <c r="P332" s="119"/>
      <c r="Q332" s="104"/>
      <c r="R332" s="102"/>
      <c r="S332" s="102"/>
      <c r="T332" s="102"/>
      <c r="U332" s="102"/>
    </row>
    <row r="333" s="21" customFormat="1" outlineLevel="1" spans="1:21">
      <c r="A333" s="92"/>
      <c r="B333" s="92"/>
      <c r="C333" s="92"/>
      <c r="D333" s="92"/>
      <c r="E333" s="92"/>
      <c r="F333" s="105"/>
      <c r="G333" s="55"/>
      <c r="H333" s="105"/>
      <c r="I333" s="65"/>
      <c r="J333" s="55"/>
      <c r="K333" s="55"/>
      <c r="L333" s="55"/>
      <c r="M333" s="55"/>
      <c r="N333" s="55"/>
      <c r="O333" s="55"/>
      <c r="P333" s="119"/>
      <c r="Q333" s="104"/>
      <c r="R333" s="102"/>
      <c r="S333" s="102"/>
      <c r="T333" s="102"/>
      <c r="U333" s="102"/>
    </row>
    <row r="334" s="21" customFormat="1" outlineLevel="1" spans="1:21">
      <c r="A334" s="74"/>
      <c r="B334" s="74"/>
      <c r="C334" s="74"/>
      <c r="D334" s="74"/>
      <c r="E334" s="74"/>
      <c r="F334" s="105"/>
      <c r="G334" s="55"/>
      <c r="H334" s="105"/>
      <c r="I334" s="65"/>
      <c r="J334" s="55"/>
      <c r="K334" s="55"/>
      <c r="L334" s="55"/>
      <c r="M334" s="55"/>
      <c r="N334" s="55"/>
      <c r="O334" s="55"/>
      <c r="P334" s="119"/>
      <c r="Q334" s="104"/>
      <c r="R334" s="102"/>
      <c r="S334" s="102"/>
      <c r="T334" s="102"/>
      <c r="U334" s="102"/>
    </row>
    <row r="335" s="21" customFormat="1" outlineLevel="1" spans="1:21">
      <c r="A335" s="53"/>
      <c r="B335" s="53" t="s">
        <v>179</v>
      </c>
      <c r="C335" s="53"/>
      <c r="D335" s="53"/>
      <c r="E335" s="53"/>
      <c r="F335" s="105"/>
      <c r="G335" s="55"/>
      <c r="H335" s="105"/>
      <c r="I335" s="65"/>
      <c r="J335" s="55"/>
      <c r="K335" s="55"/>
      <c r="L335" s="55"/>
      <c r="M335" s="55"/>
      <c r="N335" s="55"/>
      <c r="O335" s="55"/>
      <c r="P335" s="119"/>
      <c r="Q335" s="104"/>
      <c r="R335" s="102"/>
      <c r="S335" s="102"/>
      <c r="T335" s="102"/>
      <c r="U335" s="102"/>
    </row>
    <row r="336" s="21" customFormat="1" outlineLevel="1" spans="1:21">
      <c r="A336" s="152">
        <v>221</v>
      </c>
      <c r="B336" s="152" t="s">
        <v>179</v>
      </c>
      <c r="C336" s="153" t="s">
        <v>368</v>
      </c>
      <c r="D336" s="152" t="s">
        <v>144</v>
      </c>
      <c r="E336" s="152">
        <v>13.2</v>
      </c>
      <c r="F336" s="195">
        <v>850</v>
      </c>
      <c r="G336" s="34">
        <f>H336*(1+I336)</f>
        <v>3838</v>
      </c>
      <c r="H336" s="195">
        <v>3800</v>
      </c>
      <c r="I336" s="77">
        <v>0.01</v>
      </c>
      <c r="J336" s="198">
        <v>850</v>
      </c>
      <c r="K336" s="34">
        <f>(F336+G336+J336)*$K$5</f>
        <v>332.28</v>
      </c>
      <c r="L336" s="34">
        <f>(F336+G336+J336+K336)*$L$5</f>
        <v>528.3252</v>
      </c>
      <c r="M336" s="34">
        <f>F336+G336+J336+K336+L336</f>
        <v>6398.6052</v>
      </c>
      <c r="N336" s="34"/>
      <c r="O336" s="34">
        <f>M336*E336</f>
        <v>84461.58864</v>
      </c>
      <c r="P336" s="34"/>
      <c r="Q336" s="104"/>
      <c r="R336" s="102"/>
      <c r="S336" s="102"/>
      <c r="T336" s="102"/>
      <c r="U336" s="102"/>
    </row>
    <row r="337" s="21" customFormat="1" outlineLevel="1" spans="1:21">
      <c r="A337" s="154"/>
      <c r="B337" s="154"/>
      <c r="C337" s="155"/>
      <c r="D337" s="154"/>
      <c r="E337" s="154"/>
      <c r="F337" s="195"/>
      <c r="G337" s="34"/>
      <c r="H337" s="195"/>
      <c r="I337" s="77"/>
      <c r="J337" s="198"/>
      <c r="K337" s="34"/>
      <c r="L337" s="34"/>
      <c r="M337" s="34"/>
      <c r="N337" s="34"/>
      <c r="O337" s="34"/>
      <c r="P337" s="34"/>
      <c r="Q337" s="104"/>
      <c r="R337" s="102"/>
      <c r="S337" s="102"/>
      <c r="T337" s="102"/>
      <c r="U337" s="102"/>
    </row>
    <row r="338" s="21" customFormat="1" outlineLevel="1" spans="1:21">
      <c r="A338" s="154"/>
      <c r="B338" s="154"/>
      <c r="C338" s="155"/>
      <c r="D338" s="154"/>
      <c r="E338" s="154"/>
      <c r="F338" s="195"/>
      <c r="G338" s="34"/>
      <c r="H338" s="195"/>
      <c r="I338" s="77"/>
      <c r="J338" s="198"/>
      <c r="K338" s="34"/>
      <c r="L338" s="34"/>
      <c r="M338" s="34"/>
      <c r="N338" s="34"/>
      <c r="O338" s="34"/>
      <c r="P338" s="34"/>
      <c r="Q338" s="104"/>
      <c r="R338" s="102"/>
      <c r="S338" s="102"/>
      <c r="T338" s="102"/>
      <c r="U338" s="102"/>
    </row>
    <row r="339" s="21" customFormat="1" outlineLevel="1" spans="1:21">
      <c r="A339" s="154"/>
      <c r="B339" s="154"/>
      <c r="C339" s="155"/>
      <c r="D339" s="154"/>
      <c r="E339" s="154"/>
      <c r="F339" s="195"/>
      <c r="G339" s="34"/>
      <c r="H339" s="195"/>
      <c r="I339" s="77"/>
      <c r="J339" s="198"/>
      <c r="K339" s="34"/>
      <c r="L339" s="34"/>
      <c r="M339" s="34"/>
      <c r="N339" s="34"/>
      <c r="O339" s="34"/>
      <c r="P339" s="34"/>
      <c r="Q339" s="104"/>
      <c r="R339" s="102"/>
      <c r="S339" s="102"/>
      <c r="T339" s="102"/>
      <c r="U339" s="102"/>
    </row>
    <row r="340" s="21" customFormat="1" outlineLevel="1" spans="1:21">
      <c r="A340" s="154"/>
      <c r="B340" s="154"/>
      <c r="C340" s="155"/>
      <c r="D340" s="154"/>
      <c r="E340" s="154"/>
      <c r="F340" s="195"/>
      <c r="G340" s="34"/>
      <c r="H340" s="195"/>
      <c r="I340" s="77"/>
      <c r="J340" s="198"/>
      <c r="K340" s="34"/>
      <c r="L340" s="34"/>
      <c r="M340" s="34"/>
      <c r="N340" s="34"/>
      <c r="O340" s="34"/>
      <c r="P340" s="34"/>
      <c r="Q340" s="104"/>
      <c r="R340" s="102"/>
      <c r="S340" s="102"/>
      <c r="T340" s="102"/>
      <c r="U340" s="102"/>
    </row>
    <row r="341" s="21" customFormat="1" outlineLevel="1" spans="1:21">
      <c r="A341" s="154"/>
      <c r="B341" s="154"/>
      <c r="C341" s="155"/>
      <c r="D341" s="154"/>
      <c r="E341" s="154"/>
      <c r="F341" s="195"/>
      <c r="G341" s="34"/>
      <c r="H341" s="195"/>
      <c r="I341" s="77"/>
      <c r="J341" s="198"/>
      <c r="K341" s="34"/>
      <c r="L341" s="34"/>
      <c r="M341" s="34"/>
      <c r="N341" s="34"/>
      <c r="O341" s="34"/>
      <c r="P341" s="34"/>
      <c r="Q341" s="104"/>
      <c r="R341" s="102"/>
      <c r="S341" s="102"/>
      <c r="T341" s="102"/>
      <c r="U341" s="102"/>
    </row>
    <row r="342" s="21" customFormat="1" outlineLevel="1" spans="1:21">
      <c r="A342" s="154"/>
      <c r="B342" s="154"/>
      <c r="C342" s="155"/>
      <c r="D342" s="154"/>
      <c r="E342" s="154"/>
      <c r="F342" s="195"/>
      <c r="G342" s="34"/>
      <c r="H342" s="195"/>
      <c r="I342" s="77"/>
      <c r="J342" s="198"/>
      <c r="K342" s="34"/>
      <c r="L342" s="34"/>
      <c r="M342" s="34"/>
      <c r="N342" s="34"/>
      <c r="O342" s="34"/>
      <c r="P342" s="34"/>
      <c r="Q342" s="104"/>
      <c r="R342" s="102"/>
      <c r="S342" s="102"/>
      <c r="T342" s="102"/>
      <c r="U342" s="102"/>
    </row>
    <row r="343" s="21" customFormat="1" outlineLevel="1" spans="1:21">
      <c r="A343" s="154"/>
      <c r="B343" s="154"/>
      <c r="C343" s="155"/>
      <c r="D343" s="154"/>
      <c r="E343" s="154"/>
      <c r="F343" s="195"/>
      <c r="G343" s="34"/>
      <c r="H343" s="195"/>
      <c r="I343" s="77"/>
      <c r="J343" s="198"/>
      <c r="K343" s="34"/>
      <c r="L343" s="34"/>
      <c r="M343" s="34"/>
      <c r="N343" s="34"/>
      <c r="O343" s="34"/>
      <c r="P343" s="34"/>
      <c r="Q343" s="104"/>
      <c r="R343" s="102"/>
      <c r="S343" s="102"/>
      <c r="T343" s="102"/>
      <c r="U343" s="102"/>
    </row>
    <row r="344" s="21" customFormat="1" outlineLevel="1" spans="1:21">
      <c r="A344" s="157"/>
      <c r="B344" s="157"/>
      <c r="C344" s="158"/>
      <c r="D344" s="157"/>
      <c r="E344" s="157"/>
      <c r="F344" s="195"/>
      <c r="G344" s="34"/>
      <c r="H344" s="195"/>
      <c r="I344" s="77"/>
      <c r="J344" s="198"/>
      <c r="K344" s="34"/>
      <c r="L344" s="34"/>
      <c r="M344" s="34"/>
      <c r="N344" s="34"/>
      <c r="O344" s="34"/>
      <c r="P344" s="34"/>
      <c r="Q344" s="104"/>
      <c r="R344" s="102"/>
      <c r="S344" s="102"/>
      <c r="T344" s="102"/>
      <c r="U344" s="102"/>
    </row>
    <row r="345" s="21" customFormat="1" outlineLevel="1" spans="1:21">
      <c r="A345" s="196">
        <v>222</v>
      </c>
      <c r="B345" s="141" t="s">
        <v>35</v>
      </c>
      <c r="C345" s="106" t="s">
        <v>369</v>
      </c>
      <c r="D345" s="141" t="s">
        <v>110</v>
      </c>
      <c r="E345" s="106">
        <v>103.75</v>
      </c>
      <c r="F345" s="141">
        <v>95</v>
      </c>
      <c r="G345" s="141">
        <f>H345*(1+I345)</f>
        <v>48.6</v>
      </c>
      <c r="H345" s="141">
        <v>45</v>
      </c>
      <c r="I345" s="199">
        <f>I81</f>
        <v>0.08</v>
      </c>
      <c r="J345" s="141">
        <v>45</v>
      </c>
      <c r="K345" s="55">
        <f>(F345+G345+J345)*$K$5</f>
        <v>11.316</v>
      </c>
      <c r="L345" s="55">
        <f>(F345+G345+J345+K345)*$L$5</f>
        <v>17.99244</v>
      </c>
      <c r="M345" s="55">
        <f>F345+G345+J345+K345+L345</f>
        <v>217.90844</v>
      </c>
      <c r="N345" s="55"/>
      <c r="O345" s="55">
        <f>M345*E345</f>
        <v>22608.00065</v>
      </c>
      <c r="P345" s="141" t="s">
        <v>370</v>
      </c>
      <c r="Q345" s="104"/>
      <c r="R345" s="102"/>
      <c r="S345" s="102"/>
      <c r="T345" s="102"/>
      <c r="U345" s="102"/>
    </row>
    <row r="346" s="21" customFormat="1" ht="181" customHeight="1" outlineLevel="1" spans="1:21">
      <c r="A346" s="196"/>
      <c r="B346" s="141"/>
      <c r="C346" s="141"/>
      <c r="D346" s="141"/>
      <c r="E346" s="106"/>
      <c r="F346" s="141"/>
      <c r="G346" s="141"/>
      <c r="H346" s="141"/>
      <c r="I346" s="199"/>
      <c r="J346" s="141"/>
      <c r="K346" s="55"/>
      <c r="L346" s="55"/>
      <c r="M346" s="55"/>
      <c r="N346" s="55"/>
      <c r="O346" s="55"/>
      <c r="P346" s="141"/>
      <c r="Q346" s="192" t="s">
        <v>371</v>
      </c>
      <c r="R346" s="102"/>
      <c r="S346" s="102"/>
      <c r="T346" s="102"/>
      <c r="U346" s="102"/>
    </row>
    <row r="347" s="21" customFormat="1" outlineLevel="1" spans="1:21">
      <c r="A347" s="196">
        <v>223</v>
      </c>
      <c r="B347" s="141" t="s">
        <v>35</v>
      </c>
      <c r="C347" s="141" t="s">
        <v>372</v>
      </c>
      <c r="D347" s="141" t="s">
        <v>110</v>
      </c>
      <c r="E347" s="106">
        <v>2.22</v>
      </c>
      <c r="F347" s="141">
        <f>F345</f>
        <v>95</v>
      </c>
      <c r="G347" s="141">
        <f>H347*(1+I347)</f>
        <v>48.6</v>
      </c>
      <c r="H347" s="141">
        <f>H345</f>
        <v>45</v>
      </c>
      <c r="I347" s="199">
        <f>I345</f>
        <v>0.08</v>
      </c>
      <c r="J347" s="141">
        <f>J345</f>
        <v>45</v>
      </c>
      <c r="K347" s="55">
        <f>(F347+G347+J347)*$K$5</f>
        <v>11.316</v>
      </c>
      <c r="L347" s="55">
        <f>(F347+G347+J347+K347)*$L$5</f>
        <v>17.99244</v>
      </c>
      <c r="M347" s="55">
        <f>F347+G347+J347+K347+L347</f>
        <v>217.90844</v>
      </c>
      <c r="N347" s="55"/>
      <c r="O347" s="55">
        <f>M347*E347</f>
        <v>483.7567368</v>
      </c>
      <c r="P347" s="141" t="s">
        <v>370</v>
      </c>
      <c r="Q347" s="192"/>
      <c r="R347" s="102"/>
      <c r="S347" s="102"/>
      <c r="T347" s="102"/>
      <c r="U347" s="102"/>
    </row>
    <row r="348" s="21" customFormat="1" ht="126" customHeight="1" outlineLevel="1" spans="1:21">
      <c r="A348" s="196"/>
      <c r="B348" s="141"/>
      <c r="C348" s="141"/>
      <c r="D348" s="141"/>
      <c r="E348" s="106"/>
      <c r="F348" s="141"/>
      <c r="G348" s="141"/>
      <c r="H348" s="141"/>
      <c r="I348" s="199"/>
      <c r="J348" s="141"/>
      <c r="K348" s="55"/>
      <c r="L348" s="55"/>
      <c r="M348" s="55"/>
      <c r="N348" s="55"/>
      <c r="O348" s="55"/>
      <c r="P348" s="141"/>
      <c r="Q348" s="192"/>
      <c r="R348" s="102"/>
      <c r="S348" s="102"/>
      <c r="T348" s="102"/>
      <c r="U348" s="102"/>
    </row>
    <row r="349" s="21" customFormat="1" ht="16" customHeight="1" spans="1:17">
      <c r="A349" s="30"/>
      <c r="B349" s="32"/>
      <c r="C349" s="32" t="s">
        <v>48</v>
      </c>
      <c r="D349" s="32"/>
      <c r="E349" s="197"/>
      <c r="F349" s="32"/>
      <c r="G349" s="32"/>
      <c r="H349" s="32"/>
      <c r="I349" s="32"/>
      <c r="J349" s="32"/>
      <c r="K349" s="32"/>
      <c r="L349" s="32"/>
      <c r="M349" s="32"/>
      <c r="N349" s="32"/>
      <c r="O349" s="32">
        <f>SUM(O7:O348)</f>
        <v>3090021.37253372</v>
      </c>
      <c r="P349" s="32"/>
      <c r="Q349" s="104"/>
    </row>
    <row r="350" s="21" customFormat="1" ht="36" customHeight="1" spans="1:17">
      <c r="A350" s="38" t="s">
        <v>373</v>
      </c>
      <c r="B350" s="39" t="s">
        <v>374</v>
      </c>
      <c r="C350" s="39"/>
      <c r="D350" s="39"/>
      <c r="E350" s="39"/>
      <c r="F350" s="39"/>
      <c r="G350" s="39"/>
      <c r="H350" s="39"/>
      <c r="I350" s="39"/>
      <c r="J350" s="39"/>
      <c r="K350" s="39"/>
      <c r="L350" s="39"/>
      <c r="M350" s="39"/>
      <c r="N350" s="39"/>
      <c r="O350" s="39"/>
      <c r="P350" s="39"/>
      <c r="Q350" s="104"/>
    </row>
  </sheetData>
  <autoFilter ref="A5:Q350">
    <extLst/>
  </autoFilter>
  <mergeCells count="755">
    <mergeCell ref="A1:P1"/>
    <mergeCell ref="A2:F2"/>
    <mergeCell ref="G2:M2"/>
    <mergeCell ref="N2:P2"/>
    <mergeCell ref="F3:L3"/>
    <mergeCell ref="M6:N6"/>
    <mergeCell ref="M7:N7"/>
    <mergeCell ref="M8:N8"/>
    <mergeCell ref="M9:N9"/>
    <mergeCell ref="M10:N10"/>
    <mergeCell ref="M14:N14"/>
    <mergeCell ref="M15:N15"/>
    <mergeCell ref="M16:N16"/>
    <mergeCell ref="M17:N17"/>
    <mergeCell ref="M18:N18"/>
    <mergeCell ref="M19:N19"/>
    <mergeCell ref="M20:N20"/>
    <mergeCell ref="M21:N21"/>
    <mergeCell ref="M22:N22"/>
    <mergeCell ref="M23:N23"/>
    <mergeCell ref="M24:N24"/>
    <mergeCell ref="M25:N25"/>
    <mergeCell ref="M26:N26"/>
    <mergeCell ref="M27:N27"/>
    <mergeCell ref="M28:N28"/>
    <mergeCell ref="M29:N29"/>
    <mergeCell ref="M30:N30"/>
    <mergeCell ref="M31:N31"/>
    <mergeCell ref="M32:N32"/>
    <mergeCell ref="M33:N33"/>
    <mergeCell ref="M34:N34"/>
    <mergeCell ref="M35:N35"/>
    <mergeCell ref="M36:N36"/>
    <mergeCell ref="M37:N37"/>
    <mergeCell ref="M38:N38"/>
    <mergeCell ref="M39:N39"/>
    <mergeCell ref="M40:N40"/>
    <mergeCell ref="M41:N41"/>
    <mergeCell ref="M42:N42"/>
    <mergeCell ref="M43:N43"/>
    <mergeCell ref="M46:N46"/>
    <mergeCell ref="M47:N47"/>
    <mergeCell ref="M48:N48"/>
    <mergeCell ref="M49:N49"/>
    <mergeCell ref="M50:N50"/>
    <mergeCell ref="M51:N51"/>
    <mergeCell ref="M52:N52"/>
    <mergeCell ref="M53:N53"/>
    <mergeCell ref="M54:N54"/>
    <mergeCell ref="M55:N55"/>
    <mergeCell ref="M56:N56"/>
    <mergeCell ref="M57:N57"/>
    <mergeCell ref="M58:N58"/>
    <mergeCell ref="M59:N59"/>
    <mergeCell ref="M60:N60"/>
    <mergeCell ref="M61:N61"/>
    <mergeCell ref="M66:N66"/>
    <mergeCell ref="M67:N67"/>
    <mergeCell ref="M68:N68"/>
    <mergeCell ref="M69:N69"/>
    <mergeCell ref="M70:N70"/>
    <mergeCell ref="M71:N71"/>
    <mergeCell ref="M72:N72"/>
    <mergeCell ref="M73:N73"/>
    <mergeCell ref="M74:N74"/>
    <mergeCell ref="M75:N75"/>
    <mergeCell ref="M76:N76"/>
    <mergeCell ref="M77:N77"/>
    <mergeCell ref="M78:N78"/>
    <mergeCell ref="M79:N79"/>
    <mergeCell ref="M80:N80"/>
    <mergeCell ref="M83:N83"/>
    <mergeCell ref="M84:N84"/>
    <mergeCell ref="M90:N90"/>
    <mergeCell ref="M97:N97"/>
    <mergeCell ref="M98:N98"/>
    <mergeCell ref="M99:N99"/>
    <mergeCell ref="M100:N100"/>
    <mergeCell ref="M101:N101"/>
    <mergeCell ref="M106:N106"/>
    <mergeCell ref="M107:N107"/>
    <mergeCell ref="M108:N108"/>
    <mergeCell ref="M109:N109"/>
    <mergeCell ref="M113:N113"/>
    <mergeCell ref="M118:N118"/>
    <mergeCell ref="M119:N119"/>
    <mergeCell ref="M120:N120"/>
    <mergeCell ref="M121:N121"/>
    <mergeCell ref="M122:N122"/>
    <mergeCell ref="M123:N123"/>
    <mergeCell ref="M130:N130"/>
    <mergeCell ref="M131:N131"/>
    <mergeCell ref="M136:N136"/>
    <mergeCell ref="M137:N137"/>
    <mergeCell ref="M138:N138"/>
    <mergeCell ref="M139:N139"/>
    <mergeCell ref="M140:N140"/>
    <mergeCell ref="M143:N143"/>
    <mergeCell ref="M144:N144"/>
    <mergeCell ref="M145:N145"/>
    <mergeCell ref="M146:N146"/>
    <mergeCell ref="M147:N147"/>
    <mergeCell ref="M151:N151"/>
    <mergeCell ref="M152:N152"/>
    <mergeCell ref="M153:N153"/>
    <mergeCell ref="M154:N154"/>
    <mergeCell ref="M155:N155"/>
    <mergeCell ref="M156:N156"/>
    <mergeCell ref="M157:N157"/>
    <mergeCell ref="M158:N158"/>
    <mergeCell ref="M159:N159"/>
    <mergeCell ref="M160:N160"/>
    <mergeCell ref="M161:N161"/>
    <mergeCell ref="M162:N162"/>
    <mergeCell ref="M163:N163"/>
    <mergeCell ref="M164:N164"/>
    <mergeCell ref="M165:N165"/>
    <mergeCell ref="M166:N166"/>
    <mergeCell ref="M167:N167"/>
    <mergeCell ref="M168:N168"/>
    <mergeCell ref="M169:N169"/>
    <mergeCell ref="M173:N173"/>
    <mergeCell ref="M174:N174"/>
    <mergeCell ref="M175:N175"/>
    <mergeCell ref="M176:N176"/>
    <mergeCell ref="M177:N177"/>
    <mergeCell ref="M178:N178"/>
    <mergeCell ref="M179:N179"/>
    <mergeCell ref="M180:N180"/>
    <mergeCell ref="M181:N181"/>
    <mergeCell ref="M182:N182"/>
    <mergeCell ref="M183:N183"/>
    <mergeCell ref="M184:N184"/>
    <mergeCell ref="M185:N185"/>
    <mergeCell ref="M186:N186"/>
    <mergeCell ref="M187:N187"/>
    <mergeCell ref="M188:N188"/>
    <mergeCell ref="M189:N189"/>
    <mergeCell ref="M190:N190"/>
    <mergeCell ref="M194:N194"/>
    <mergeCell ref="M195:N195"/>
    <mergeCell ref="M196:N196"/>
    <mergeCell ref="M197:N197"/>
    <mergeCell ref="M198:N198"/>
    <mergeCell ref="M199:N199"/>
    <mergeCell ref="M200:N200"/>
    <mergeCell ref="M201:N201"/>
    <mergeCell ref="M202:N202"/>
    <mergeCell ref="M203:N203"/>
    <mergeCell ref="M204:N204"/>
    <mergeCell ref="M205:N205"/>
    <mergeCell ref="M206:N206"/>
    <mergeCell ref="M207:N207"/>
    <mergeCell ref="M208:N208"/>
    <mergeCell ref="M209:N209"/>
    <mergeCell ref="M210:N210"/>
    <mergeCell ref="M211:N211"/>
    <mergeCell ref="M212:N212"/>
    <mergeCell ref="M213:N213"/>
    <mergeCell ref="M214:N214"/>
    <mergeCell ref="M215:N215"/>
    <mergeCell ref="M216:N216"/>
    <mergeCell ref="M217:N217"/>
    <mergeCell ref="M218:N218"/>
    <mergeCell ref="M219:N219"/>
    <mergeCell ref="M220:N220"/>
    <mergeCell ref="M221:N221"/>
    <mergeCell ref="M222:N222"/>
    <mergeCell ref="M223:N223"/>
    <mergeCell ref="M224:N224"/>
    <mergeCell ref="M225:N225"/>
    <mergeCell ref="M226:N226"/>
    <mergeCell ref="M227:N227"/>
    <mergeCell ref="M228:N228"/>
    <mergeCell ref="M229:N229"/>
    <mergeCell ref="M230:N230"/>
    <mergeCell ref="M231:N231"/>
    <mergeCell ref="M232:N232"/>
    <mergeCell ref="M233:N233"/>
    <mergeCell ref="M234:N234"/>
    <mergeCell ref="M235:N235"/>
    <mergeCell ref="M236:N236"/>
    <mergeCell ref="M237:N237"/>
    <mergeCell ref="M238:N238"/>
    <mergeCell ref="M239:N239"/>
    <mergeCell ref="M240:N240"/>
    <mergeCell ref="M241:N241"/>
    <mergeCell ref="M242:N242"/>
    <mergeCell ref="M243:N243"/>
    <mergeCell ref="M244:N244"/>
    <mergeCell ref="M245:N245"/>
    <mergeCell ref="M248:N248"/>
    <mergeCell ref="M249:N249"/>
    <mergeCell ref="M250:N250"/>
    <mergeCell ref="M251:N251"/>
    <mergeCell ref="M254:N254"/>
    <mergeCell ref="M255:N255"/>
    <mergeCell ref="M256:N256"/>
    <mergeCell ref="M257:N257"/>
    <mergeCell ref="M258:N258"/>
    <mergeCell ref="M259:N259"/>
    <mergeCell ref="M260:N260"/>
    <mergeCell ref="M261:N261"/>
    <mergeCell ref="M262:N262"/>
    <mergeCell ref="M263:N263"/>
    <mergeCell ref="M264:N264"/>
    <mergeCell ref="M265:N265"/>
    <mergeCell ref="M266:N266"/>
    <mergeCell ref="M267:N267"/>
    <mergeCell ref="M268:N268"/>
    <mergeCell ref="M269:N269"/>
    <mergeCell ref="M270:N270"/>
    <mergeCell ref="M271:N271"/>
    <mergeCell ref="M272:N272"/>
    <mergeCell ref="M273:N273"/>
    <mergeCell ref="M274:N274"/>
    <mergeCell ref="M277:N277"/>
    <mergeCell ref="M278:N278"/>
    <mergeCell ref="M279:N279"/>
    <mergeCell ref="M280:N280"/>
    <mergeCell ref="M281:N281"/>
    <mergeCell ref="M282:N282"/>
    <mergeCell ref="M283:N283"/>
    <mergeCell ref="M284:N284"/>
    <mergeCell ref="M285:N285"/>
    <mergeCell ref="M286:N286"/>
    <mergeCell ref="M287:N287"/>
    <mergeCell ref="M290:N290"/>
    <mergeCell ref="M291:N291"/>
    <mergeCell ref="M292:N292"/>
    <mergeCell ref="M293:N293"/>
    <mergeCell ref="M294:N294"/>
    <mergeCell ref="M295:N295"/>
    <mergeCell ref="M296:N296"/>
    <mergeCell ref="M297:N297"/>
    <mergeCell ref="M298:N298"/>
    <mergeCell ref="M300:N300"/>
    <mergeCell ref="M301:N301"/>
    <mergeCell ref="M302:N302"/>
    <mergeCell ref="M307:N307"/>
    <mergeCell ref="M315:N315"/>
    <mergeCell ref="M321:N321"/>
    <mergeCell ref="M328:N328"/>
    <mergeCell ref="M335:N335"/>
    <mergeCell ref="B350:P350"/>
    <mergeCell ref="A3:A5"/>
    <mergeCell ref="A11:A13"/>
    <mergeCell ref="A44:A45"/>
    <mergeCell ref="A63:A65"/>
    <mergeCell ref="A81:A82"/>
    <mergeCell ref="A85:A87"/>
    <mergeCell ref="A88:A89"/>
    <mergeCell ref="A91:A92"/>
    <mergeCell ref="A93:A94"/>
    <mergeCell ref="A95:A96"/>
    <mergeCell ref="A102:A103"/>
    <mergeCell ref="A104:A105"/>
    <mergeCell ref="A110:A112"/>
    <mergeCell ref="A114:A117"/>
    <mergeCell ref="A124:A126"/>
    <mergeCell ref="A127:A129"/>
    <mergeCell ref="A132:A133"/>
    <mergeCell ref="A134:A135"/>
    <mergeCell ref="A141:A142"/>
    <mergeCell ref="A148:A150"/>
    <mergeCell ref="A170:A172"/>
    <mergeCell ref="A191:A193"/>
    <mergeCell ref="A246:A247"/>
    <mergeCell ref="A252:A253"/>
    <mergeCell ref="A275:A276"/>
    <mergeCell ref="A288:A289"/>
    <mergeCell ref="A303:A306"/>
    <mergeCell ref="A308:A314"/>
    <mergeCell ref="A316:A320"/>
    <mergeCell ref="A322:A327"/>
    <mergeCell ref="A329:A334"/>
    <mergeCell ref="A336:A344"/>
    <mergeCell ref="A345:A346"/>
    <mergeCell ref="A347:A348"/>
    <mergeCell ref="B3:B5"/>
    <mergeCell ref="B11:B13"/>
    <mergeCell ref="B44:B45"/>
    <mergeCell ref="B63:B65"/>
    <mergeCell ref="B81:B82"/>
    <mergeCell ref="B85:B87"/>
    <mergeCell ref="B88:B89"/>
    <mergeCell ref="B91:B92"/>
    <mergeCell ref="B93:B94"/>
    <mergeCell ref="B95:B96"/>
    <mergeCell ref="B102:B103"/>
    <mergeCell ref="B104:B105"/>
    <mergeCell ref="B110:B112"/>
    <mergeCell ref="B114:B117"/>
    <mergeCell ref="B124:B126"/>
    <mergeCell ref="B127:B129"/>
    <mergeCell ref="B132:B133"/>
    <mergeCell ref="B134:B135"/>
    <mergeCell ref="B141:B142"/>
    <mergeCell ref="B148:B150"/>
    <mergeCell ref="B170:B172"/>
    <mergeCell ref="B191:B193"/>
    <mergeCell ref="B246:B247"/>
    <mergeCell ref="B252:B253"/>
    <mergeCell ref="B275:B276"/>
    <mergeCell ref="B288:B289"/>
    <mergeCell ref="B303:B306"/>
    <mergeCell ref="B308:B314"/>
    <mergeCell ref="B316:B320"/>
    <mergeCell ref="B322:B327"/>
    <mergeCell ref="B329:B334"/>
    <mergeCell ref="B336:B344"/>
    <mergeCell ref="B345:B346"/>
    <mergeCell ref="B347:B348"/>
    <mergeCell ref="C3:C5"/>
    <mergeCell ref="C11:C13"/>
    <mergeCell ref="C44:C45"/>
    <mergeCell ref="C63:C65"/>
    <mergeCell ref="C81:C82"/>
    <mergeCell ref="C85:C87"/>
    <mergeCell ref="C88:C89"/>
    <mergeCell ref="C91:C92"/>
    <mergeCell ref="C93:C94"/>
    <mergeCell ref="C95:C96"/>
    <mergeCell ref="C102:C103"/>
    <mergeCell ref="C104:C105"/>
    <mergeCell ref="C110:C112"/>
    <mergeCell ref="C114:C117"/>
    <mergeCell ref="C124:C126"/>
    <mergeCell ref="C127:C129"/>
    <mergeCell ref="C132:C133"/>
    <mergeCell ref="C134:C135"/>
    <mergeCell ref="C141:C142"/>
    <mergeCell ref="C148:C150"/>
    <mergeCell ref="C170:C172"/>
    <mergeCell ref="C191:C193"/>
    <mergeCell ref="C246:C247"/>
    <mergeCell ref="C252:C253"/>
    <mergeCell ref="C275:C276"/>
    <mergeCell ref="C288:C289"/>
    <mergeCell ref="C303:C306"/>
    <mergeCell ref="C308:C314"/>
    <mergeCell ref="C316:C320"/>
    <mergeCell ref="C322:C327"/>
    <mergeCell ref="C329:C334"/>
    <mergeCell ref="C336:C344"/>
    <mergeCell ref="C345:C346"/>
    <mergeCell ref="C347:C348"/>
    <mergeCell ref="D3:D5"/>
    <mergeCell ref="D11:D13"/>
    <mergeCell ref="D44:D45"/>
    <mergeCell ref="D63:D65"/>
    <mergeCell ref="D81:D82"/>
    <mergeCell ref="D85:D87"/>
    <mergeCell ref="D88:D89"/>
    <mergeCell ref="D91:D92"/>
    <mergeCell ref="D93:D94"/>
    <mergeCell ref="D95:D96"/>
    <mergeCell ref="D102:D103"/>
    <mergeCell ref="D104:D105"/>
    <mergeCell ref="D110:D112"/>
    <mergeCell ref="D114:D117"/>
    <mergeCell ref="D124:D126"/>
    <mergeCell ref="D127:D129"/>
    <mergeCell ref="D132:D133"/>
    <mergeCell ref="D134:D135"/>
    <mergeCell ref="D141:D142"/>
    <mergeCell ref="D148:D150"/>
    <mergeCell ref="D170:D172"/>
    <mergeCell ref="D191:D193"/>
    <mergeCell ref="D246:D247"/>
    <mergeCell ref="D252:D253"/>
    <mergeCell ref="D275:D276"/>
    <mergeCell ref="D288:D289"/>
    <mergeCell ref="D303:D306"/>
    <mergeCell ref="D308:D314"/>
    <mergeCell ref="D316:D320"/>
    <mergeCell ref="D322:D327"/>
    <mergeCell ref="D329:D334"/>
    <mergeCell ref="D336:D344"/>
    <mergeCell ref="D345:D346"/>
    <mergeCell ref="D347:D348"/>
    <mergeCell ref="E3:E5"/>
    <mergeCell ref="E11:E13"/>
    <mergeCell ref="E44:E45"/>
    <mergeCell ref="E63:E65"/>
    <mergeCell ref="E81:E82"/>
    <mergeCell ref="E85:E87"/>
    <mergeCell ref="E88:E89"/>
    <mergeCell ref="E91:E92"/>
    <mergeCell ref="E93:E94"/>
    <mergeCell ref="E95:E96"/>
    <mergeCell ref="E102:E103"/>
    <mergeCell ref="E104:E105"/>
    <mergeCell ref="E110:E112"/>
    <mergeCell ref="E114:E117"/>
    <mergeCell ref="E124:E126"/>
    <mergeCell ref="E127:E129"/>
    <mergeCell ref="E132:E133"/>
    <mergeCell ref="E134:E135"/>
    <mergeCell ref="E141:E142"/>
    <mergeCell ref="E148:E150"/>
    <mergeCell ref="E170:E172"/>
    <mergeCell ref="E191:E193"/>
    <mergeCell ref="E246:E247"/>
    <mergeCell ref="E252:E253"/>
    <mergeCell ref="E275:E276"/>
    <mergeCell ref="E288:E289"/>
    <mergeCell ref="E303:E306"/>
    <mergeCell ref="E308:E314"/>
    <mergeCell ref="E316:E320"/>
    <mergeCell ref="E322:E327"/>
    <mergeCell ref="E329:E334"/>
    <mergeCell ref="E336:E344"/>
    <mergeCell ref="E345:E346"/>
    <mergeCell ref="E347:E348"/>
    <mergeCell ref="F4:F5"/>
    <mergeCell ref="F11:F13"/>
    <mergeCell ref="F44:F45"/>
    <mergeCell ref="F63:F65"/>
    <mergeCell ref="F81:F82"/>
    <mergeCell ref="F85:F87"/>
    <mergeCell ref="F88:F89"/>
    <mergeCell ref="F91:F92"/>
    <mergeCell ref="F93:F94"/>
    <mergeCell ref="F95:F96"/>
    <mergeCell ref="F102:F103"/>
    <mergeCell ref="F104:F105"/>
    <mergeCell ref="F110:F112"/>
    <mergeCell ref="F114:F117"/>
    <mergeCell ref="F124:F126"/>
    <mergeCell ref="F127:F129"/>
    <mergeCell ref="F132:F133"/>
    <mergeCell ref="F134:F135"/>
    <mergeCell ref="F141:F142"/>
    <mergeCell ref="F148:F150"/>
    <mergeCell ref="F170:F172"/>
    <mergeCell ref="F191:F193"/>
    <mergeCell ref="F246:F247"/>
    <mergeCell ref="F252:F253"/>
    <mergeCell ref="F275:F276"/>
    <mergeCell ref="F288:F289"/>
    <mergeCell ref="F303:F306"/>
    <mergeCell ref="F308:F314"/>
    <mergeCell ref="F316:F320"/>
    <mergeCell ref="F322:F327"/>
    <mergeCell ref="F329:F334"/>
    <mergeCell ref="F336:F344"/>
    <mergeCell ref="F345:F346"/>
    <mergeCell ref="F347:F348"/>
    <mergeCell ref="G11:G13"/>
    <mergeCell ref="G44:G45"/>
    <mergeCell ref="G63:G65"/>
    <mergeCell ref="G81:G82"/>
    <mergeCell ref="G85:G87"/>
    <mergeCell ref="G88:G89"/>
    <mergeCell ref="G91:G92"/>
    <mergeCell ref="G93:G94"/>
    <mergeCell ref="G95:G96"/>
    <mergeCell ref="G102:G103"/>
    <mergeCell ref="G104:G105"/>
    <mergeCell ref="G110:G112"/>
    <mergeCell ref="G114:G117"/>
    <mergeCell ref="G124:G126"/>
    <mergeCell ref="G127:G129"/>
    <mergeCell ref="G132:G133"/>
    <mergeCell ref="G134:G135"/>
    <mergeCell ref="G141:G142"/>
    <mergeCell ref="G148:G150"/>
    <mergeCell ref="G170:G172"/>
    <mergeCell ref="G191:G193"/>
    <mergeCell ref="G246:G247"/>
    <mergeCell ref="G252:G253"/>
    <mergeCell ref="G275:G276"/>
    <mergeCell ref="G288:G289"/>
    <mergeCell ref="G303:G306"/>
    <mergeCell ref="G308:G314"/>
    <mergeCell ref="G316:G320"/>
    <mergeCell ref="G322:G327"/>
    <mergeCell ref="G329:G334"/>
    <mergeCell ref="G336:G344"/>
    <mergeCell ref="G345:G346"/>
    <mergeCell ref="G347:G348"/>
    <mergeCell ref="H11:H13"/>
    <mergeCell ref="H44:H45"/>
    <mergeCell ref="H63:H65"/>
    <mergeCell ref="H81:H82"/>
    <mergeCell ref="H85:H87"/>
    <mergeCell ref="H88:H89"/>
    <mergeCell ref="H91:H92"/>
    <mergeCell ref="H93:H94"/>
    <mergeCell ref="H95:H96"/>
    <mergeCell ref="H102:H103"/>
    <mergeCell ref="H104:H105"/>
    <mergeCell ref="H110:H112"/>
    <mergeCell ref="H114:H117"/>
    <mergeCell ref="H124:H126"/>
    <mergeCell ref="H127:H129"/>
    <mergeCell ref="H132:H133"/>
    <mergeCell ref="H134:H135"/>
    <mergeCell ref="H141:H142"/>
    <mergeCell ref="H148:H150"/>
    <mergeCell ref="H170:H172"/>
    <mergeCell ref="H191:H193"/>
    <mergeCell ref="H246:H247"/>
    <mergeCell ref="H252:H253"/>
    <mergeCell ref="H275:H276"/>
    <mergeCell ref="H288:H289"/>
    <mergeCell ref="H303:H306"/>
    <mergeCell ref="H308:H314"/>
    <mergeCell ref="H316:H320"/>
    <mergeCell ref="H322:H327"/>
    <mergeCell ref="H329:H334"/>
    <mergeCell ref="H336:H344"/>
    <mergeCell ref="H345:H346"/>
    <mergeCell ref="H347:H348"/>
    <mergeCell ref="I11:I13"/>
    <mergeCell ref="I44:I45"/>
    <mergeCell ref="I63:I65"/>
    <mergeCell ref="I81:I82"/>
    <mergeCell ref="I85:I87"/>
    <mergeCell ref="I88:I89"/>
    <mergeCell ref="I91:I92"/>
    <mergeCell ref="I93:I94"/>
    <mergeCell ref="I95:I96"/>
    <mergeCell ref="I102:I103"/>
    <mergeCell ref="I104:I105"/>
    <mergeCell ref="I110:I112"/>
    <mergeCell ref="I114:I117"/>
    <mergeCell ref="I124:I126"/>
    <mergeCell ref="I127:I129"/>
    <mergeCell ref="I132:I133"/>
    <mergeCell ref="I134:I135"/>
    <mergeCell ref="I141:I142"/>
    <mergeCell ref="I148:I150"/>
    <mergeCell ref="I170:I172"/>
    <mergeCell ref="I191:I193"/>
    <mergeCell ref="I246:I247"/>
    <mergeCell ref="I252:I253"/>
    <mergeCell ref="I275:I276"/>
    <mergeCell ref="I288:I289"/>
    <mergeCell ref="I303:I306"/>
    <mergeCell ref="I308:I314"/>
    <mergeCell ref="I316:I320"/>
    <mergeCell ref="I322:I327"/>
    <mergeCell ref="I329:I334"/>
    <mergeCell ref="I336:I344"/>
    <mergeCell ref="I345:I346"/>
    <mergeCell ref="I347:I348"/>
    <mergeCell ref="J4:J5"/>
    <mergeCell ref="J11:J13"/>
    <mergeCell ref="J44:J45"/>
    <mergeCell ref="J63:J65"/>
    <mergeCell ref="J81:J82"/>
    <mergeCell ref="J85:J87"/>
    <mergeCell ref="J88:J89"/>
    <mergeCell ref="J91:J92"/>
    <mergeCell ref="J93:J94"/>
    <mergeCell ref="J95:J96"/>
    <mergeCell ref="J102:J103"/>
    <mergeCell ref="J104:J105"/>
    <mergeCell ref="J110:J112"/>
    <mergeCell ref="J114:J117"/>
    <mergeCell ref="J124:J126"/>
    <mergeCell ref="J127:J129"/>
    <mergeCell ref="J132:J133"/>
    <mergeCell ref="J134:J135"/>
    <mergeCell ref="J141:J142"/>
    <mergeCell ref="J148:J150"/>
    <mergeCell ref="J170:J172"/>
    <mergeCell ref="J191:J193"/>
    <mergeCell ref="J246:J247"/>
    <mergeCell ref="J252:J253"/>
    <mergeCell ref="J275:J276"/>
    <mergeCell ref="J288:J289"/>
    <mergeCell ref="J303:J306"/>
    <mergeCell ref="J308:J314"/>
    <mergeCell ref="J316:J320"/>
    <mergeCell ref="J322:J327"/>
    <mergeCell ref="J329:J334"/>
    <mergeCell ref="J336:J344"/>
    <mergeCell ref="J345:J346"/>
    <mergeCell ref="J347:J348"/>
    <mergeCell ref="K11:K13"/>
    <mergeCell ref="K44:K45"/>
    <mergeCell ref="K63:K65"/>
    <mergeCell ref="K81:K82"/>
    <mergeCell ref="K85:K87"/>
    <mergeCell ref="K88:K89"/>
    <mergeCell ref="K91:K92"/>
    <mergeCell ref="K93:K94"/>
    <mergeCell ref="K95:K96"/>
    <mergeCell ref="K102:K103"/>
    <mergeCell ref="K104:K105"/>
    <mergeCell ref="K110:K112"/>
    <mergeCell ref="K114:K117"/>
    <mergeCell ref="K124:K126"/>
    <mergeCell ref="K127:K129"/>
    <mergeCell ref="K132:K133"/>
    <mergeCell ref="K134:K135"/>
    <mergeCell ref="K141:K142"/>
    <mergeCell ref="K148:K150"/>
    <mergeCell ref="K170:K172"/>
    <mergeCell ref="K191:K193"/>
    <mergeCell ref="K246:K247"/>
    <mergeCell ref="K252:K253"/>
    <mergeCell ref="K275:K276"/>
    <mergeCell ref="K288:K289"/>
    <mergeCell ref="K303:K306"/>
    <mergeCell ref="K308:K314"/>
    <mergeCell ref="K316:K320"/>
    <mergeCell ref="K322:K327"/>
    <mergeCell ref="K329:K334"/>
    <mergeCell ref="K336:K344"/>
    <mergeCell ref="K345:K346"/>
    <mergeCell ref="K347:K348"/>
    <mergeCell ref="L11:L13"/>
    <mergeCell ref="L44:L45"/>
    <mergeCell ref="L63:L65"/>
    <mergeCell ref="L81:L82"/>
    <mergeCell ref="L85:L87"/>
    <mergeCell ref="L88:L89"/>
    <mergeCell ref="L91:L92"/>
    <mergeCell ref="L93:L94"/>
    <mergeCell ref="L95:L96"/>
    <mergeCell ref="L102:L103"/>
    <mergeCell ref="L104:L105"/>
    <mergeCell ref="L110:L112"/>
    <mergeCell ref="L114:L117"/>
    <mergeCell ref="L124:L126"/>
    <mergeCell ref="L127:L129"/>
    <mergeCell ref="L132:L133"/>
    <mergeCell ref="L134:L135"/>
    <mergeCell ref="L141:L142"/>
    <mergeCell ref="L148:L150"/>
    <mergeCell ref="L170:L172"/>
    <mergeCell ref="L191:L193"/>
    <mergeCell ref="L246:L247"/>
    <mergeCell ref="L252:L253"/>
    <mergeCell ref="L275:L276"/>
    <mergeCell ref="L288:L289"/>
    <mergeCell ref="L303:L306"/>
    <mergeCell ref="L308:L314"/>
    <mergeCell ref="L316:L320"/>
    <mergeCell ref="L322:L327"/>
    <mergeCell ref="L329:L334"/>
    <mergeCell ref="L336:L344"/>
    <mergeCell ref="L345:L346"/>
    <mergeCell ref="L347:L348"/>
    <mergeCell ref="O3:O5"/>
    <mergeCell ref="O11:O13"/>
    <mergeCell ref="O44:O45"/>
    <mergeCell ref="O63:O65"/>
    <mergeCell ref="O81:O82"/>
    <mergeCell ref="O85:O87"/>
    <mergeCell ref="O88:O89"/>
    <mergeCell ref="O91:O92"/>
    <mergeCell ref="O93:O94"/>
    <mergeCell ref="O95:O96"/>
    <mergeCell ref="O102:O103"/>
    <mergeCell ref="O104:O105"/>
    <mergeCell ref="O110:O112"/>
    <mergeCell ref="O114:O117"/>
    <mergeCell ref="O124:O126"/>
    <mergeCell ref="O127:O129"/>
    <mergeCell ref="O132:O133"/>
    <mergeCell ref="O134:O135"/>
    <mergeCell ref="O141:O142"/>
    <mergeCell ref="O148:O150"/>
    <mergeCell ref="O170:O172"/>
    <mergeCell ref="O191:O193"/>
    <mergeCell ref="O246:O247"/>
    <mergeCell ref="O252:O253"/>
    <mergeCell ref="O275:O276"/>
    <mergeCell ref="O288:O289"/>
    <mergeCell ref="O303:O306"/>
    <mergeCell ref="O308:O314"/>
    <mergeCell ref="O316:O320"/>
    <mergeCell ref="O322:O327"/>
    <mergeCell ref="O329:O334"/>
    <mergeCell ref="O336:O344"/>
    <mergeCell ref="O345:O346"/>
    <mergeCell ref="O347:O348"/>
    <mergeCell ref="P3:P5"/>
    <mergeCell ref="P11:P13"/>
    <mergeCell ref="P44:P45"/>
    <mergeCell ref="P63:P65"/>
    <mergeCell ref="P81:P82"/>
    <mergeCell ref="P85:P87"/>
    <mergeCell ref="P88:P89"/>
    <mergeCell ref="P91:P92"/>
    <mergeCell ref="P93:P94"/>
    <mergeCell ref="P95:P96"/>
    <mergeCell ref="P102:P103"/>
    <mergeCell ref="P104:P105"/>
    <mergeCell ref="P110:P112"/>
    <mergeCell ref="P114:P117"/>
    <mergeCell ref="P124:P126"/>
    <mergeCell ref="P127:P129"/>
    <mergeCell ref="P132:P133"/>
    <mergeCell ref="P134:P135"/>
    <mergeCell ref="P141:P142"/>
    <mergeCell ref="P148:P150"/>
    <mergeCell ref="P170:P172"/>
    <mergeCell ref="P191:P193"/>
    <mergeCell ref="P246:P247"/>
    <mergeCell ref="P252:P253"/>
    <mergeCell ref="P275:P276"/>
    <mergeCell ref="P288:P289"/>
    <mergeCell ref="P303:P306"/>
    <mergeCell ref="P308:P314"/>
    <mergeCell ref="P316:P320"/>
    <mergeCell ref="P322:P327"/>
    <mergeCell ref="P329:P334"/>
    <mergeCell ref="P336:P344"/>
    <mergeCell ref="P345:P346"/>
    <mergeCell ref="P347:P348"/>
    <mergeCell ref="Q81:Q82"/>
    <mergeCell ref="Q85:Q87"/>
    <mergeCell ref="Q110:Q112"/>
    <mergeCell ref="Q114:Q117"/>
    <mergeCell ref="Q346:Q348"/>
    <mergeCell ref="M3:N5"/>
    <mergeCell ref="M11:N13"/>
    <mergeCell ref="M44:N45"/>
    <mergeCell ref="M63:N65"/>
    <mergeCell ref="M81:N82"/>
    <mergeCell ref="M85:N87"/>
    <mergeCell ref="M88:N89"/>
    <mergeCell ref="M91:N92"/>
    <mergeCell ref="M93:N94"/>
    <mergeCell ref="M95:N96"/>
    <mergeCell ref="M102:N103"/>
    <mergeCell ref="M104:N105"/>
    <mergeCell ref="M110:N112"/>
    <mergeCell ref="M114:N117"/>
    <mergeCell ref="M124:N126"/>
    <mergeCell ref="M127:N129"/>
    <mergeCell ref="M132:N133"/>
    <mergeCell ref="M134:N135"/>
    <mergeCell ref="M141:N142"/>
    <mergeCell ref="M148:N150"/>
    <mergeCell ref="M170:N172"/>
    <mergeCell ref="M191:N193"/>
    <mergeCell ref="M246:N247"/>
    <mergeCell ref="M252:N253"/>
    <mergeCell ref="M275:N276"/>
    <mergeCell ref="M288:N289"/>
    <mergeCell ref="M303:N306"/>
    <mergeCell ref="M308:N314"/>
    <mergeCell ref="M316:N320"/>
    <mergeCell ref="M322:N327"/>
    <mergeCell ref="M329:N334"/>
    <mergeCell ref="M336:N344"/>
    <mergeCell ref="M345:N346"/>
    <mergeCell ref="M347:N348"/>
  </mergeCells>
  <pageMargins left="0.751388888888889" right="0.668055555555556" top="0.786805555555556" bottom="0.668055555555556" header="0.5" footer="0.5"/>
  <pageSetup paperSize="9" scale="92" orientation="landscape" horizontalDpi="600"/>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U239"/>
  <sheetViews>
    <sheetView zoomScale="115" zoomScaleNormal="115" workbookViewId="0">
      <pane ySplit="5" topLeftCell="A6" activePane="bottomLeft" state="frozen"/>
      <selection/>
      <selection pane="bottomLeft" activeCell="N238" sqref="N238:O238"/>
    </sheetView>
  </sheetViews>
  <sheetFormatPr defaultColWidth="9" defaultRowHeight="11.25"/>
  <cols>
    <col min="1" max="1" width="6.15238095238095" style="21" customWidth="1"/>
    <col min="2" max="2" width="8.27619047619048" style="21" customWidth="1"/>
    <col min="3" max="3" width="21" style="21" customWidth="1"/>
    <col min="4" max="4" width="6.42857142857143" style="21" customWidth="1"/>
    <col min="5" max="5" width="6.72380952380952" style="21" customWidth="1"/>
    <col min="6" max="6" width="7" style="21" customWidth="1"/>
    <col min="7" max="7" width="8.66666666666667" style="21" customWidth="1"/>
    <col min="8" max="8" width="9.15238095238095" style="21" customWidth="1"/>
    <col min="9" max="9" width="7.57142857142857" style="21" customWidth="1"/>
    <col min="10" max="10" width="9" style="20" customWidth="1"/>
    <col min="11" max="11" width="10.4285714285714" style="20" customWidth="1"/>
    <col min="12" max="12" width="9.84761904761905" style="20" customWidth="1"/>
    <col min="13" max="13" width="0.333333333333333" style="21" customWidth="1"/>
    <col min="14" max="14" width="11.7238095238095" style="21" customWidth="1"/>
    <col min="15" max="15" width="9.15238095238095" style="21" customWidth="1"/>
    <col min="16" max="16" width="5.42857142857143" style="21" customWidth="1"/>
    <col min="17" max="17" width="9" style="21"/>
    <col min="18" max="19" width="11" style="21"/>
    <col min="20" max="16384" width="9" style="21"/>
  </cols>
  <sheetData>
    <row r="1" s="21" customFormat="1" ht="25.5" spans="1:16">
      <c r="A1" s="51" t="s">
        <v>88</v>
      </c>
      <c r="B1" s="51"/>
      <c r="C1" s="51"/>
      <c r="D1" s="51"/>
      <c r="E1" s="51"/>
      <c r="F1" s="51"/>
      <c r="G1" s="51"/>
      <c r="H1" s="51"/>
      <c r="I1" s="51"/>
      <c r="J1" s="51"/>
      <c r="K1" s="51"/>
      <c r="L1" s="51"/>
      <c r="M1" s="51"/>
      <c r="N1" s="51"/>
      <c r="O1" s="51"/>
      <c r="P1" s="51"/>
    </row>
    <row r="2" s="21" customFormat="1" spans="1:16">
      <c r="A2" s="52" t="s">
        <v>375</v>
      </c>
      <c r="B2" s="52"/>
      <c r="C2" s="52"/>
      <c r="D2" s="52"/>
      <c r="E2" s="52"/>
      <c r="F2" s="52"/>
      <c r="G2" s="52"/>
      <c r="H2" s="52"/>
      <c r="I2" s="52"/>
      <c r="J2" s="63"/>
      <c r="K2" s="63"/>
      <c r="L2" s="63"/>
      <c r="M2" s="52"/>
      <c r="N2" s="52"/>
      <c r="O2" s="52"/>
      <c r="P2" s="52"/>
    </row>
    <row r="3" s="21" customFormat="1" spans="1:16">
      <c r="A3" s="53" t="s">
        <v>1</v>
      </c>
      <c r="B3" s="53" t="s">
        <v>90</v>
      </c>
      <c r="C3" s="53" t="s">
        <v>91</v>
      </c>
      <c r="D3" s="53" t="s">
        <v>72</v>
      </c>
      <c r="E3" s="53" t="s">
        <v>92</v>
      </c>
      <c r="F3" s="53" t="s">
        <v>93</v>
      </c>
      <c r="G3" s="53"/>
      <c r="H3" s="53"/>
      <c r="I3" s="53"/>
      <c r="J3" s="64"/>
      <c r="K3" s="64"/>
      <c r="L3" s="64"/>
      <c r="M3" s="53" t="s">
        <v>94</v>
      </c>
      <c r="N3" s="53"/>
      <c r="O3" s="53" t="s">
        <v>95</v>
      </c>
      <c r="P3" s="53" t="s">
        <v>96</v>
      </c>
    </row>
    <row r="4" s="21" customFormat="1" ht="45" spans="1:16">
      <c r="A4" s="53"/>
      <c r="B4" s="53"/>
      <c r="C4" s="53"/>
      <c r="D4" s="53"/>
      <c r="E4" s="53"/>
      <c r="F4" s="53" t="s">
        <v>97</v>
      </c>
      <c r="G4" s="53" t="s">
        <v>98</v>
      </c>
      <c r="H4" s="53" t="s">
        <v>99</v>
      </c>
      <c r="I4" s="53" t="s">
        <v>100</v>
      </c>
      <c r="J4" s="64" t="s">
        <v>101</v>
      </c>
      <c r="K4" s="64" t="s">
        <v>102</v>
      </c>
      <c r="L4" s="64" t="s">
        <v>103</v>
      </c>
      <c r="M4" s="53"/>
      <c r="N4" s="53"/>
      <c r="O4" s="53"/>
      <c r="P4" s="53"/>
    </row>
    <row r="5" s="21" customFormat="1" ht="22.5" spans="1:16">
      <c r="A5" s="53"/>
      <c r="B5" s="53"/>
      <c r="C5" s="53"/>
      <c r="D5" s="53"/>
      <c r="E5" s="53"/>
      <c r="F5" s="53"/>
      <c r="G5" s="53" t="s">
        <v>104</v>
      </c>
      <c r="H5" s="53" t="s">
        <v>105</v>
      </c>
      <c r="I5" s="53" t="s">
        <v>106</v>
      </c>
      <c r="J5" s="64"/>
      <c r="K5" s="65">
        <f>装饰工程!K5</f>
        <v>0.06</v>
      </c>
      <c r="L5" s="65">
        <f>装饰工程!L5</f>
        <v>0.09</v>
      </c>
      <c r="M5" s="53"/>
      <c r="N5" s="53"/>
      <c r="O5" s="53"/>
      <c r="P5" s="53"/>
    </row>
    <row r="6" s="21" customFormat="1" spans="1:16">
      <c r="A6" s="53"/>
      <c r="B6" s="53" t="s">
        <v>81</v>
      </c>
      <c r="C6" s="53"/>
      <c r="D6" s="53"/>
      <c r="E6" s="53"/>
      <c r="F6" s="53"/>
      <c r="G6" s="53"/>
      <c r="H6" s="53"/>
      <c r="I6" s="53"/>
      <c r="J6" s="64"/>
      <c r="K6" s="64"/>
      <c r="L6" s="64"/>
      <c r="M6" s="53">
        <f>SUM(O7:O158)</f>
        <v>538439.661356242</v>
      </c>
      <c r="N6" s="53"/>
      <c r="O6" s="53"/>
      <c r="P6" s="53"/>
    </row>
    <row r="7" s="21" customFormat="1" spans="1:16">
      <c r="A7" s="53"/>
      <c r="B7" s="53" t="s">
        <v>376</v>
      </c>
      <c r="C7" s="53"/>
      <c r="D7" s="53"/>
      <c r="E7" s="53"/>
      <c r="F7" s="53"/>
      <c r="G7" s="53"/>
      <c r="H7" s="53"/>
      <c r="I7" s="53"/>
      <c r="J7" s="64"/>
      <c r="K7" s="64"/>
      <c r="L7" s="64"/>
      <c r="M7" s="53"/>
      <c r="N7" s="53"/>
      <c r="O7" s="53"/>
      <c r="P7" s="53"/>
    </row>
    <row r="8" s="21" customFormat="1" ht="45" outlineLevel="1" spans="1:21">
      <c r="A8" s="53">
        <v>1</v>
      </c>
      <c r="B8" s="53" t="s">
        <v>377</v>
      </c>
      <c r="C8" s="53" t="s">
        <v>378</v>
      </c>
      <c r="D8" s="53" t="s">
        <v>379</v>
      </c>
      <c r="E8" s="53">
        <v>1</v>
      </c>
      <c r="F8" s="54">
        <v>200</v>
      </c>
      <c r="G8" s="55">
        <f t="shared" ref="G8:G27" si="0">H8*(1+I8)</f>
        <v>2222</v>
      </c>
      <c r="H8" s="56">
        <v>2200</v>
      </c>
      <c r="I8" s="66">
        <v>0.01</v>
      </c>
      <c r="J8" s="67">
        <v>50</v>
      </c>
      <c r="K8" s="34">
        <f>(F8+G8+J8)*$K$5</f>
        <v>148.32</v>
      </c>
      <c r="L8" s="34">
        <f>(F8+G8+J8+K8)*$L$5</f>
        <v>235.8288</v>
      </c>
      <c r="M8" s="55">
        <f>F8+G8+J8+K8+L8</f>
        <v>2856.1488</v>
      </c>
      <c r="N8" s="55"/>
      <c r="O8" s="55">
        <f t="shared" ref="O8:O42" si="1">M8*E8</f>
        <v>2856.1488</v>
      </c>
      <c r="P8" s="53"/>
      <c r="R8" s="21">
        <f>E8*M8</f>
        <v>2856.1488</v>
      </c>
      <c r="S8" s="21">
        <f>F8+G8+J8+K8+L8</f>
        <v>2856.1488</v>
      </c>
      <c r="T8" s="21" t="b">
        <f>M8=S8</f>
        <v>1</v>
      </c>
      <c r="U8" s="21" t="b">
        <f>R8=O8</f>
        <v>1</v>
      </c>
    </row>
    <row r="9" s="21" customFormat="1" ht="56.25" outlineLevel="1" spans="1:21">
      <c r="A9" s="57">
        <v>2</v>
      </c>
      <c r="B9" s="57" t="s">
        <v>377</v>
      </c>
      <c r="C9" s="57" t="s">
        <v>380</v>
      </c>
      <c r="D9" s="57" t="s">
        <v>379</v>
      </c>
      <c r="E9" s="57">
        <v>1</v>
      </c>
      <c r="F9" s="57">
        <f t="shared" ref="F9:J9" si="2">F8</f>
        <v>200</v>
      </c>
      <c r="G9" s="55">
        <f t="shared" si="0"/>
        <v>3232</v>
      </c>
      <c r="H9" s="56">
        <v>3200</v>
      </c>
      <c r="I9" s="68">
        <f t="shared" si="2"/>
        <v>0.01</v>
      </c>
      <c r="J9" s="69">
        <f t="shared" si="2"/>
        <v>50</v>
      </c>
      <c r="K9" s="34">
        <f>(F9+G9+J9)*$K$5</f>
        <v>208.92</v>
      </c>
      <c r="L9" s="34">
        <f>(F9+G9+J9+K9)*$L$5</f>
        <v>332.1828</v>
      </c>
      <c r="M9" s="55">
        <f t="shared" ref="M8:M42" si="3">F9+G9+J9+K9+L9</f>
        <v>4023.1028</v>
      </c>
      <c r="N9" s="55"/>
      <c r="O9" s="55">
        <f t="shared" si="1"/>
        <v>4023.1028</v>
      </c>
      <c r="P9" s="57"/>
      <c r="R9" s="21">
        <f t="shared" ref="R9:R72" si="4">E9*M9</f>
        <v>4023.1028</v>
      </c>
      <c r="S9" s="21">
        <f t="shared" ref="S9:S72" si="5">F9+G9+J9+K9+L9</f>
        <v>4023.1028</v>
      </c>
      <c r="T9" s="21" t="b">
        <f t="shared" ref="T9:T72" si="6">M9=S9</f>
        <v>1</v>
      </c>
      <c r="U9" s="21" t="b">
        <f t="shared" ref="U9:U72" si="7">R9=O9</f>
        <v>1</v>
      </c>
    </row>
    <row r="10" s="21" customFormat="1" ht="56.25" outlineLevel="1" spans="1:21">
      <c r="A10" s="57">
        <v>3</v>
      </c>
      <c r="B10" s="57" t="s">
        <v>381</v>
      </c>
      <c r="C10" s="57" t="s">
        <v>382</v>
      </c>
      <c r="D10" s="57" t="s">
        <v>144</v>
      </c>
      <c r="E10" s="57">
        <v>7.54</v>
      </c>
      <c r="F10" s="54">
        <v>25</v>
      </c>
      <c r="G10" s="55">
        <f t="shared" si="0"/>
        <v>25.5</v>
      </c>
      <c r="H10" s="56">
        <v>25</v>
      </c>
      <c r="I10" s="66">
        <v>0.02</v>
      </c>
      <c r="J10" s="67">
        <v>6</v>
      </c>
      <c r="K10" s="34">
        <f>(F10+G10+J10)*$K$5</f>
        <v>3.39</v>
      </c>
      <c r="L10" s="34">
        <f>(F10+G10+J10+K10)*$L$5</f>
        <v>5.3901</v>
      </c>
      <c r="M10" s="55">
        <f t="shared" si="3"/>
        <v>65.2801</v>
      </c>
      <c r="N10" s="55"/>
      <c r="O10" s="55">
        <f t="shared" si="1"/>
        <v>492.211954</v>
      </c>
      <c r="P10" s="57"/>
      <c r="R10" s="21">
        <f t="shared" si="4"/>
        <v>492.211954</v>
      </c>
      <c r="S10" s="21">
        <f t="shared" si="5"/>
        <v>65.2801</v>
      </c>
      <c r="T10" s="21" t="b">
        <f t="shared" si="6"/>
        <v>1</v>
      </c>
      <c r="U10" s="21" t="b">
        <f t="shared" si="7"/>
        <v>1</v>
      </c>
    </row>
    <row r="11" s="21" customFormat="1" ht="56.25" outlineLevel="1" spans="1:21">
      <c r="A11" s="57">
        <v>4</v>
      </c>
      <c r="B11" s="57" t="s">
        <v>381</v>
      </c>
      <c r="C11" s="57" t="s">
        <v>383</v>
      </c>
      <c r="D11" s="57" t="s">
        <v>144</v>
      </c>
      <c r="E11" s="57">
        <v>105.39</v>
      </c>
      <c r="F11" s="57">
        <f>F10</f>
        <v>25</v>
      </c>
      <c r="G11" s="55">
        <f t="shared" si="0"/>
        <v>49.98</v>
      </c>
      <c r="H11" s="56">
        <v>49</v>
      </c>
      <c r="I11" s="68">
        <f>I10</f>
        <v>0.02</v>
      </c>
      <c r="J11" s="67">
        <v>8</v>
      </c>
      <c r="K11" s="34">
        <f>(F11+G11+J11)*$K$5</f>
        <v>4.9788</v>
      </c>
      <c r="L11" s="34">
        <f>(F11+G11+J11+K11)*$L$5</f>
        <v>7.916292</v>
      </c>
      <c r="M11" s="55">
        <f t="shared" si="3"/>
        <v>95.875092</v>
      </c>
      <c r="N11" s="55"/>
      <c r="O11" s="55">
        <f t="shared" si="1"/>
        <v>10104.27594588</v>
      </c>
      <c r="P11" s="57"/>
      <c r="R11" s="21">
        <f t="shared" si="4"/>
        <v>10104.27594588</v>
      </c>
      <c r="S11" s="21">
        <f t="shared" si="5"/>
        <v>95.875092</v>
      </c>
      <c r="T11" s="21" t="b">
        <f t="shared" si="6"/>
        <v>1</v>
      </c>
      <c r="U11" s="21" t="b">
        <f t="shared" si="7"/>
        <v>1</v>
      </c>
    </row>
    <row r="12" s="21" customFormat="1" ht="56.25" outlineLevel="1" spans="1:21">
      <c r="A12" s="53">
        <v>5</v>
      </c>
      <c r="B12" s="53" t="s">
        <v>381</v>
      </c>
      <c r="C12" s="53" t="s">
        <v>384</v>
      </c>
      <c r="D12" s="53" t="s">
        <v>144</v>
      </c>
      <c r="E12" s="53">
        <v>7.65</v>
      </c>
      <c r="F12" s="54">
        <v>30</v>
      </c>
      <c r="G12" s="55">
        <f t="shared" si="0"/>
        <v>66.3</v>
      </c>
      <c r="H12" s="56">
        <v>65</v>
      </c>
      <c r="I12" s="68">
        <f>I10</f>
        <v>0.02</v>
      </c>
      <c r="J12" s="67">
        <v>10</v>
      </c>
      <c r="K12" s="34">
        <f>(F12+G12+J12)*$K$5</f>
        <v>6.378</v>
      </c>
      <c r="L12" s="34">
        <f>(F12+G12+J12+K12)*$L$5</f>
        <v>10.14102</v>
      </c>
      <c r="M12" s="55">
        <f t="shared" si="3"/>
        <v>122.81902</v>
      </c>
      <c r="N12" s="55"/>
      <c r="O12" s="55">
        <f t="shared" si="1"/>
        <v>939.565503</v>
      </c>
      <c r="P12" s="53"/>
      <c r="R12" s="21">
        <f t="shared" si="4"/>
        <v>939.565503</v>
      </c>
      <c r="S12" s="21">
        <f t="shared" si="5"/>
        <v>122.81902</v>
      </c>
      <c r="T12" s="21" t="b">
        <f t="shared" si="6"/>
        <v>1</v>
      </c>
      <c r="U12" s="21" t="b">
        <f t="shared" si="7"/>
        <v>1</v>
      </c>
    </row>
    <row r="13" s="21" customFormat="1" ht="56.25" outlineLevel="1" spans="1:21">
      <c r="A13" s="57">
        <v>6</v>
      </c>
      <c r="B13" s="57" t="s">
        <v>381</v>
      </c>
      <c r="C13" s="57" t="s">
        <v>385</v>
      </c>
      <c r="D13" s="57" t="s">
        <v>144</v>
      </c>
      <c r="E13" s="57">
        <v>44.61</v>
      </c>
      <c r="F13" s="54">
        <v>36</v>
      </c>
      <c r="G13" s="55">
        <f t="shared" si="0"/>
        <v>168.3</v>
      </c>
      <c r="H13" s="56">
        <v>165</v>
      </c>
      <c r="I13" s="68">
        <f>I10</f>
        <v>0.02</v>
      </c>
      <c r="J13" s="67">
        <v>18</v>
      </c>
      <c r="K13" s="34">
        <f>(F13+G13+J13)*$K$5</f>
        <v>13.338</v>
      </c>
      <c r="L13" s="34">
        <f>(F13+G13+J13+K13)*$L$5</f>
        <v>21.20742</v>
      </c>
      <c r="M13" s="55">
        <f t="shared" si="3"/>
        <v>256.84542</v>
      </c>
      <c r="N13" s="55"/>
      <c r="O13" s="55">
        <f t="shared" si="1"/>
        <v>11457.8741862</v>
      </c>
      <c r="P13" s="57"/>
      <c r="R13" s="21">
        <f t="shared" si="4"/>
        <v>11457.8741862</v>
      </c>
      <c r="S13" s="21">
        <f t="shared" si="5"/>
        <v>256.84542</v>
      </c>
      <c r="T13" s="21" t="b">
        <f t="shared" si="6"/>
        <v>1</v>
      </c>
      <c r="U13" s="21" t="b">
        <f t="shared" si="7"/>
        <v>1</v>
      </c>
    </row>
    <row r="14" s="21" customFormat="1" ht="67.5" outlineLevel="1" spans="1:21">
      <c r="A14" s="57">
        <v>7</v>
      </c>
      <c r="B14" s="57" t="s">
        <v>386</v>
      </c>
      <c r="C14" s="57" t="s">
        <v>387</v>
      </c>
      <c r="D14" s="57" t="s">
        <v>388</v>
      </c>
      <c r="E14" s="57">
        <v>134.57</v>
      </c>
      <c r="F14" s="54">
        <v>4.6</v>
      </c>
      <c r="G14" s="55">
        <f t="shared" si="0"/>
        <v>5.04</v>
      </c>
      <c r="H14" s="56">
        <v>4.8</v>
      </c>
      <c r="I14" s="66">
        <v>0.05</v>
      </c>
      <c r="J14" s="67">
        <v>3</v>
      </c>
      <c r="K14" s="34">
        <f>(F14+G14+J14)*$K$5</f>
        <v>0.7584</v>
      </c>
      <c r="L14" s="34">
        <f>(F14+G14+J14+K14)*$L$5</f>
        <v>1.205856</v>
      </c>
      <c r="M14" s="55">
        <f t="shared" si="3"/>
        <v>14.604256</v>
      </c>
      <c r="N14" s="55"/>
      <c r="O14" s="55">
        <f t="shared" si="1"/>
        <v>1965.29472992</v>
      </c>
      <c r="P14" s="57"/>
      <c r="R14" s="21">
        <f t="shared" si="4"/>
        <v>1965.29472992</v>
      </c>
      <c r="S14" s="21">
        <f t="shared" si="5"/>
        <v>14.604256</v>
      </c>
      <c r="T14" s="21" t="b">
        <f t="shared" si="6"/>
        <v>1</v>
      </c>
      <c r="U14" s="21" t="b">
        <f t="shared" si="7"/>
        <v>1</v>
      </c>
    </row>
    <row r="15" s="21" customFormat="1" ht="56.25" outlineLevel="1" spans="1:21">
      <c r="A15" s="53">
        <v>8</v>
      </c>
      <c r="B15" s="53" t="s">
        <v>389</v>
      </c>
      <c r="C15" s="53" t="s">
        <v>390</v>
      </c>
      <c r="D15" s="53" t="s">
        <v>144</v>
      </c>
      <c r="E15" s="53">
        <v>931.43</v>
      </c>
      <c r="F15" s="54">
        <v>10</v>
      </c>
      <c r="G15" s="55">
        <f t="shared" si="0"/>
        <v>5.665</v>
      </c>
      <c r="H15" s="56">
        <v>5.5</v>
      </c>
      <c r="I15" s="66">
        <v>0.03</v>
      </c>
      <c r="J15" s="67">
        <v>2</v>
      </c>
      <c r="K15" s="34">
        <f>(F15+G15+J15)*$K$5</f>
        <v>1.0599</v>
      </c>
      <c r="L15" s="34">
        <f>(F15+G15+J15+K15)*$L$5</f>
        <v>1.685241</v>
      </c>
      <c r="M15" s="55">
        <f t="shared" si="3"/>
        <v>20.410141</v>
      </c>
      <c r="N15" s="55"/>
      <c r="O15" s="55">
        <f t="shared" si="1"/>
        <v>19010.61763163</v>
      </c>
      <c r="P15" s="53" t="s">
        <v>391</v>
      </c>
      <c r="R15" s="21">
        <f t="shared" si="4"/>
        <v>19010.61763163</v>
      </c>
      <c r="S15" s="21">
        <f t="shared" si="5"/>
        <v>20.410141</v>
      </c>
      <c r="T15" s="21" t="b">
        <f t="shared" si="6"/>
        <v>1</v>
      </c>
      <c r="U15" s="21" t="b">
        <f t="shared" si="7"/>
        <v>1</v>
      </c>
    </row>
    <row r="16" s="21" customFormat="1" ht="56.25" outlineLevel="1" spans="1:21">
      <c r="A16" s="53">
        <v>9</v>
      </c>
      <c r="B16" s="53" t="s">
        <v>389</v>
      </c>
      <c r="C16" s="53" t="s">
        <v>392</v>
      </c>
      <c r="D16" s="53" t="s">
        <v>144</v>
      </c>
      <c r="E16" s="53">
        <v>406</v>
      </c>
      <c r="F16" s="53">
        <f t="shared" ref="F16:J16" si="8">F15</f>
        <v>10</v>
      </c>
      <c r="G16" s="55">
        <f t="shared" si="0"/>
        <v>5.665</v>
      </c>
      <c r="H16" s="58">
        <f t="shared" si="8"/>
        <v>5.5</v>
      </c>
      <c r="I16" s="68">
        <f t="shared" si="8"/>
        <v>0.03</v>
      </c>
      <c r="J16" s="69">
        <f t="shared" si="8"/>
        <v>2</v>
      </c>
      <c r="K16" s="34">
        <f>(F16+G16+J16)*$K$5</f>
        <v>1.0599</v>
      </c>
      <c r="L16" s="34">
        <f>(F16+G16+J16+K16)*$L$5</f>
        <v>1.685241</v>
      </c>
      <c r="M16" s="55">
        <f t="shared" si="3"/>
        <v>20.410141</v>
      </c>
      <c r="N16" s="55"/>
      <c r="O16" s="55">
        <f t="shared" si="1"/>
        <v>8286.517246</v>
      </c>
      <c r="P16" s="53" t="s">
        <v>391</v>
      </c>
      <c r="R16" s="21">
        <f t="shared" si="4"/>
        <v>8286.517246</v>
      </c>
      <c r="S16" s="21">
        <f t="shared" si="5"/>
        <v>20.410141</v>
      </c>
      <c r="T16" s="21" t="b">
        <f t="shared" si="6"/>
        <v>1</v>
      </c>
      <c r="U16" s="21" t="b">
        <f t="shared" si="7"/>
        <v>1</v>
      </c>
    </row>
    <row r="17" s="21" customFormat="1" ht="56.25" outlineLevel="1" spans="1:21">
      <c r="A17" s="53">
        <v>10</v>
      </c>
      <c r="B17" s="53" t="s">
        <v>389</v>
      </c>
      <c r="C17" s="59" t="s">
        <v>393</v>
      </c>
      <c r="D17" s="53" t="s">
        <v>144</v>
      </c>
      <c r="E17" s="53">
        <v>230.52</v>
      </c>
      <c r="F17" s="53">
        <f t="shared" ref="F17:J17" si="9">F15</f>
        <v>10</v>
      </c>
      <c r="G17" s="55">
        <f t="shared" si="0"/>
        <v>8.858</v>
      </c>
      <c r="H17" s="56">
        <v>8.6</v>
      </c>
      <c r="I17" s="68">
        <f t="shared" si="9"/>
        <v>0.03</v>
      </c>
      <c r="J17" s="69">
        <f t="shared" si="9"/>
        <v>2</v>
      </c>
      <c r="K17" s="34">
        <f>(F17+G17+J17)*$K$5</f>
        <v>1.25148</v>
      </c>
      <c r="L17" s="34">
        <f>(F17+G17+J17+K17)*$L$5</f>
        <v>1.9898532</v>
      </c>
      <c r="M17" s="55">
        <f t="shared" si="3"/>
        <v>24.0993332</v>
      </c>
      <c r="N17" s="55"/>
      <c r="O17" s="55">
        <f t="shared" si="1"/>
        <v>5555.378289264</v>
      </c>
      <c r="P17" s="53" t="s">
        <v>391</v>
      </c>
      <c r="R17" s="21">
        <f t="shared" si="4"/>
        <v>5555.378289264</v>
      </c>
      <c r="S17" s="21">
        <f t="shared" si="5"/>
        <v>24.0993332</v>
      </c>
      <c r="T17" s="21" t="b">
        <f t="shared" si="6"/>
        <v>1</v>
      </c>
      <c r="U17" s="21" t="b">
        <f t="shared" si="7"/>
        <v>1</v>
      </c>
    </row>
    <row r="18" s="21" customFormat="1" ht="56.25" outlineLevel="1" spans="1:21">
      <c r="A18" s="53">
        <v>11</v>
      </c>
      <c r="B18" s="53" t="s">
        <v>389</v>
      </c>
      <c r="C18" s="53" t="s">
        <v>394</v>
      </c>
      <c r="D18" s="53" t="s">
        <v>144</v>
      </c>
      <c r="E18" s="53">
        <v>42.9</v>
      </c>
      <c r="F18" s="53">
        <f t="shared" ref="F18:J18" si="10">F15</f>
        <v>10</v>
      </c>
      <c r="G18" s="55">
        <f t="shared" si="0"/>
        <v>8.858</v>
      </c>
      <c r="H18" s="58">
        <f>H17</f>
        <v>8.6</v>
      </c>
      <c r="I18" s="68">
        <f t="shared" si="10"/>
        <v>0.03</v>
      </c>
      <c r="J18" s="69">
        <f t="shared" si="10"/>
        <v>2</v>
      </c>
      <c r="K18" s="34">
        <f>(F18+G18+J18)*$K$5</f>
        <v>1.25148</v>
      </c>
      <c r="L18" s="34">
        <f>(F18+G18+J18+K18)*$L$5</f>
        <v>1.9898532</v>
      </c>
      <c r="M18" s="55">
        <f t="shared" si="3"/>
        <v>24.0993332</v>
      </c>
      <c r="N18" s="55"/>
      <c r="O18" s="55">
        <f t="shared" si="1"/>
        <v>1033.86139428</v>
      </c>
      <c r="P18" s="53" t="s">
        <v>391</v>
      </c>
      <c r="R18" s="21">
        <f t="shared" si="4"/>
        <v>1033.86139428</v>
      </c>
      <c r="S18" s="21">
        <f t="shared" si="5"/>
        <v>24.0993332</v>
      </c>
      <c r="T18" s="21" t="b">
        <f t="shared" si="6"/>
        <v>1</v>
      </c>
      <c r="U18" s="21" t="b">
        <f t="shared" si="7"/>
        <v>1</v>
      </c>
    </row>
    <row r="19" s="21" customFormat="1" ht="78.75" outlineLevel="1" spans="1:21">
      <c r="A19" s="57">
        <v>12</v>
      </c>
      <c r="B19" s="57" t="s">
        <v>395</v>
      </c>
      <c r="C19" s="57" t="s">
        <v>396</v>
      </c>
      <c r="D19" s="57" t="s">
        <v>144</v>
      </c>
      <c r="E19" s="57">
        <v>3.08</v>
      </c>
      <c r="F19" s="54">
        <v>15</v>
      </c>
      <c r="G19" s="55">
        <f t="shared" si="0"/>
        <v>123.6</v>
      </c>
      <c r="H19" s="56">
        <v>120</v>
      </c>
      <c r="I19" s="66">
        <v>0.03</v>
      </c>
      <c r="J19" s="67">
        <v>5</v>
      </c>
      <c r="K19" s="34">
        <f>(F19+G19+J19)*$K$5</f>
        <v>8.616</v>
      </c>
      <c r="L19" s="34">
        <f>(F19+G19+J19+K19)*$L$5</f>
        <v>13.69944</v>
      </c>
      <c r="M19" s="55">
        <f t="shared" si="3"/>
        <v>165.91544</v>
      </c>
      <c r="N19" s="55"/>
      <c r="O19" s="55">
        <f t="shared" si="1"/>
        <v>511.0195552</v>
      </c>
      <c r="P19" s="53" t="s">
        <v>391</v>
      </c>
      <c r="R19" s="21">
        <f t="shared" si="4"/>
        <v>511.0195552</v>
      </c>
      <c r="S19" s="21">
        <f t="shared" si="5"/>
        <v>165.91544</v>
      </c>
      <c r="T19" s="21" t="b">
        <f t="shared" si="6"/>
        <v>1</v>
      </c>
      <c r="U19" s="21" t="b">
        <f t="shared" si="7"/>
        <v>1</v>
      </c>
    </row>
    <row r="20" s="21" customFormat="1" ht="67.5" outlineLevel="1" spans="1:21">
      <c r="A20" s="57">
        <v>13</v>
      </c>
      <c r="B20" s="57" t="s">
        <v>397</v>
      </c>
      <c r="C20" s="57" t="s">
        <v>398</v>
      </c>
      <c r="D20" s="57" t="s">
        <v>138</v>
      </c>
      <c r="E20" s="57">
        <v>2</v>
      </c>
      <c r="F20" s="54">
        <v>50</v>
      </c>
      <c r="G20" s="55">
        <f t="shared" si="0"/>
        <v>14.645</v>
      </c>
      <c r="H20" s="56">
        <v>14.5</v>
      </c>
      <c r="I20" s="66">
        <v>0.01</v>
      </c>
      <c r="J20" s="67">
        <v>1</v>
      </c>
      <c r="K20" s="34">
        <f>(F20+G20+J20)*$K$5</f>
        <v>3.9387</v>
      </c>
      <c r="L20" s="34">
        <f>(F20+G20+J20+K20)*$L$5</f>
        <v>6.262533</v>
      </c>
      <c r="M20" s="55">
        <f t="shared" si="3"/>
        <v>75.846233</v>
      </c>
      <c r="N20" s="55"/>
      <c r="O20" s="55">
        <f t="shared" si="1"/>
        <v>151.692466</v>
      </c>
      <c r="P20" s="53" t="s">
        <v>391</v>
      </c>
      <c r="R20" s="21">
        <f t="shared" si="4"/>
        <v>151.692466</v>
      </c>
      <c r="S20" s="21">
        <f t="shared" si="5"/>
        <v>75.846233</v>
      </c>
      <c r="T20" s="21" t="b">
        <f t="shared" si="6"/>
        <v>1</v>
      </c>
      <c r="U20" s="21" t="b">
        <f t="shared" si="7"/>
        <v>1</v>
      </c>
    </row>
    <row r="21" s="21" customFormat="1" ht="67.5" outlineLevel="1" spans="1:21">
      <c r="A21" s="53">
        <v>14</v>
      </c>
      <c r="B21" s="53" t="s">
        <v>399</v>
      </c>
      <c r="C21" s="53" t="s">
        <v>400</v>
      </c>
      <c r="D21" s="53" t="s">
        <v>144</v>
      </c>
      <c r="E21" s="53">
        <v>1913.96</v>
      </c>
      <c r="F21" s="54">
        <v>3</v>
      </c>
      <c r="G21" s="55">
        <f t="shared" si="0"/>
        <v>2.088</v>
      </c>
      <c r="H21" s="56">
        <v>1.8</v>
      </c>
      <c r="I21" s="66">
        <v>0.16</v>
      </c>
      <c r="J21" s="67">
        <v>0.5</v>
      </c>
      <c r="K21" s="34">
        <f>(F21+G21+J21)*$K$5</f>
        <v>0.33528</v>
      </c>
      <c r="L21" s="34">
        <f>(F21+G21+J21+K21)*$L$5</f>
        <v>0.5330952</v>
      </c>
      <c r="M21" s="55">
        <f t="shared" si="3"/>
        <v>6.4563752</v>
      </c>
      <c r="N21" s="55"/>
      <c r="O21" s="55">
        <f t="shared" si="1"/>
        <v>12357.243877792</v>
      </c>
      <c r="P21" s="53" t="s">
        <v>391</v>
      </c>
      <c r="R21" s="21">
        <f t="shared" si="4"/>
        <v>12357.243877792</v>
      </c>
      <c r="S21" s="21">
        <f t="shared" si="5"/>
        <v>6.4563752</v>
      </c>
      <c r="T21" s="21" t="b">
        <f t="shared" si="6"/>
        <v>1</v>
      </c>
      <c r="U21" s="21" t="b">
        <f t="shared" si="7"/>
        <v>1</v>
      </c>
    </row>
    <row r="22" s="21" customFormat="1" ht="67.5" outlineLevel="1" spans="1:21">
      <c r="A22" s="53">
        <v>15</v>
      </c>
      <c r="B22" s="53" t="s">
        <v>399</v>
      </c>
      <c r="C22" s="53" t="s">
        <v>401</v>
      </c>
      <c r="D22" s="53" t="s">
        <v>144</v>
      </c>
      <c r="E22" s="53">
        <v>2687.35</v>
      </c>
      <c r="F22" s="53">
        <f t="shared" ref="F22:J22" si="11">F21</f>
        <v>3</v>
      </c>
      <c r="G22" s="55">
        <f t="shared" si="0"/>
        <v>3.016</v>
      </c>
      <c r="H22" s="56">
        <v>2.6</v>
      </c>
      <c r="I22" s="68">
        <f t="shared" si="11"/>
        <v>0.16</v>
      </c>
      <c r="J22" s="69">
        <f t="shared" si="11"/>
        <v>0.5</v>
      </c>
      <c r="K22" s="34">
        <f>(F22+G22+J22)*$K$5</f>
        <v>0.39096</v>
      </c>
      <c r="L22" s="34">
        <f>(F22+G22+J22+K22)*$L$5</f>
        <v>0.6216264</v>
      </c>
      <c r="M22" s="55">
        <f t="shared" si="3"/>
        <v>7.5285864</v>
      </c>
      <c r="N22" s="55"/>
      <c r="O22" s="55">
        <f t="shared" si="1"/>
        <v>20231.94666204</v>
      </c>
      <c r="P22" s="53" t="s">
        <v>391</v>
      </c>
      <c r="R22" s="21">
        <f t="shared" si="4"/>
        <v>20231.94666204</v>
      </c>
      <c r="S22" s="21">
        <f t="shared" si="5"/>
        <v>7.5285864</v>
      </c>
      <c r="T22" s="21" t="b">
        <f t="shared" si="6"/>
        <v>1</v>
      </c>
      <c r="U22" s="21" t="b">
        <f t="shared" si="7"/>
        <v>1</v>
      </c>
    </row>
    <row r="23" s="21" customFormat="1" ht="67.5" outlineLevel="1" spans="1:21">
      <c r="A23" s="53">
        <v>16</v>
      </c>
      <c r="B23" s="53" t="s">
        <v>399</v>
      </c>
      <c r="C23" s="53" t="s">
        <v>402</v>
      </c>
      <c r="D23" s="53" t="s">
        <v>144</v>
      </c>
      <c r="E23" s="53">
        <v>1426.56</v>
      </c>
      <c r="F23" s="53">
        <f>F21</f>
        <v>3</v>
      </c>
      <c r="G23" s="55">
        <f t="shared" si="0"/>
        <v>3.016</v>
      </c>
      <c r="H23" s="58">
        <f t="shared" ref="H23:J23" si="12">H22</f>
        <v>2.6</v>
      </c>
      <c r="I23" s="68">
        <f t="shared" si="12"/>
        <v>0.16</v>
      </c>
      <c r="J23" s="69">
        <f t="shared" si="12"/>
        <v>0.5</v>
      </c>
      <c r="K23" s="34">
        <f>(F23+G23+J23)*$K$5</f>
        <v>0.39096</v>
      </c>
      <c r="L23" s="34">
        <f>(F23+G23+J23+K23)*$L$5</f>
        <v>0.6216264</v>
      </c>
      <c r="M23" s="55">
        <f t="shared" si="3"/>
        <v>7.5285864</v>
      </c>
      <c r="N23" s="55"/>
      <c r="O23" s="55">
        <f t="shared" si="1"/>
        <v>10739.980214784</v>
      </c>
      <c r="P23" s="53" t="s">
        <v>391</v>
      </c>
      <c r="R23" s="21">
        <f t="shared" si="4"/>
        <v>10739.980214784</v>
      </c>
      <c r="S23" s="21">
        <f t="shared" si="5"/>
        <v>7.5285864</v>
      </c>
      <c r="T23" s="21" t="b">
        <f t="shared" si="6"/>
        <v>1</v>
      </c>
      <c r="U23" s="21" t="b">
        <f t="shared" si="7"/>
        <v>1</v>
      </c>
    </row>
    <row r="24" s="21" customFormat="1" ht="56.25" outlineLevel="1" spans="1:21">
      <c r="A24" s="53">
        <v>17</v>
      </c>
      <c r="B24" s="53" t="s">
        <v>399</v>
      </c>
      <c r="C24" s="59" t="s">
        <v>403</v>
      </c>
      <c r="D24" s="53" t="s">
        <v>144</v>
      </c>
      <c r="E24" s="53">
        <v>1307.74</v>
      </c>
      <c r="F24" s="53">
        <f>F21</f>
        <v>3</v>
      </c>
      <c r="G24" s="55">
        <f t="shared" si="0"/>
        <v>3.944</v>
      </c>
      <c r="H24" s="56">
        <v>3.4</v>
      </c>
      <c r="I24" s="68">
        <f>I23</f>
        <v>0.16</v>
      </c>
      <c r="J24" s="69">
        <f>J23</f>
        <v>0.5</v>
      </c>
      <c r="K24" s="34">
        <f>(F24+G24+J24)*$K$5</f>
        <v>0.44664</v>
      </c>
      <c r="L24" s="34">
        <f>(F24+G24+J24+K24)*$L$5</f>
        <v>0.7101576</v>
      </c>
      <c r="M24" s="55">
        <f t="shared" si="3"/>
        <v>8.6007976</v>
      </c>
      <c r="N24" s="55"/>
      <c r="O24" s="55">
        <f t="shared" si="1"/>
        <v>11247.607053424</v>
      </c>
      <c r="P24" s="53" t="s">
        <v>391</v>
      </c>
      <c r="R24" s="21">
        <f t="shared" si="4"/>
        <v>11247.607053424</v>
      </c>
      <c r="S24" s="21">
        <f t="shared" si="5"/>
        <v>8.6007976</v>
      </c>
      <c r="T24" s="21" t="b">
        <f t="shared" si="6"/>
        <v>1</v>
      </c>
      <c r="U24" s="21" t="b">
        <f t="shared" si="7"/>
        <v>1</v>
      </c>
    </row>
    <row r="25" s="21" customFormat="1" ht="56.25" outlineLevel="1" spans="1:21">
      <c r="A25" s="53">
        <v>18</v>
      </c>
      <c r="B25" s="53" t="s">
        <v>399</v>
      </c>
      <c r="C25" s="53" t="s">
        <v>404</v>
      </c>
      <c r="D25" s="53" t="s">
        <v>144</v>
      </c>
      <c r="E25" s="53">
        <v>2364.94</v>
      </c>
      <c r="F25" s="53">
        <f>F21</f>
        <v>3</v>
      </c>
      <c r="G25" s="55">
        <f t="shared" si="0"/>
        <v>3.944</v>
      </c>
      <c r="H25" s="58">
        <f t="shared" ref="H25:J25" si="13">H24</f>
        <v>3.4</v>
      </c>
      <c r="I25" s="68">
        <f t="shared" si="13"/>
        <v>0.16</v>
      </c>
      <c r="J25" s="69">
        <f t="shared" si="13"/>
        <v>0.5</v>
      </c>
      <c r="K25" s="34">
        <f>(F25+G25+J25)*$K$5</f>
        <v>0.44664</v>
      </c>
      <c r="L25" s="34">
        <f>(F25+G25+J25+K25)*$L$5</f>
        <v>0.7101576</v>
      </c>
      <c r="M25" s="55">
        <f t="shared" si="3"/>
        <v>8.6007976</v>
      </c>
      <c r="N25" s="55"/>
      <c r="O25" s="55">
        <f t="shared" si="1"/>
        <v>20340.370276144</v>
      </c>
      <c r="P25" s="53" t="s">
        <v>391</v>
      </c>
      <c r="R25" s="21">
        <f t="shared" si="4"/>
        <v>20340.370276144</v>
      </c>
      <c r="S25" s="21">
        <f t="shared" si="5"/>
        <v>8.6007976</v>
      </c>
      <c r="T25" s="21" t="b">
        <f t="shared" si="6"/>
        <v>1</v>
      </c>
      <c r="U25" s="21" t="b">
        <f t="shared" si="7"/>
        <v>1</v>
      </c>
    </row>
    <row r="26" s="21" customFormat="1" ht="56.25" outlineLevel="1" spans="1:21">
      <c r="A26" s="53">
        <v>19</v>
      </c>
      <c r="B26" s="53" t="s">
        <v>405</v>
      </c>
      <c r="C26" s="59" t="s">
        <v>406</v>
      </c>
      <c r="D26" s="53" t="s">
        <v>317</v>
      </c>
      <c r="E26" s="53">
        <v>43</v>
      </c>
      <c r="F26" s="54">
        <v>20</v>
      </c>
      <c r="G26" s="55">
        <f t="shared" si="0"/>
        <v>146.45</v>
      </c>
      <c r="H26" s="56">
        <v>145</v>
      </c>
      <c r="I26" s="66">
        <v>0.01</v>
      </c>
      <c r="J26" s="67">
        <v>5</v>
      </c>
      <c r="K26" s="34">
        <f>(F26+G26+J26)*$K$5</f>
        <v>10.287</v>
      </c>
      <c r="L26" s="34">
        <f>(F26+G26+J26+K26)*$L$5</f>
        <v>16.35633</v>
      </c>
      <c r="M26" s="55">
        <f t="shared" si="3"/>
        <v>198.09333</v>
      </c>
      <c r="N26" s="55"/>
      <c r="O26" s="55">
        <f t="shared" si="1"/>
        <v>8518.01319</v>
      </c>
      <c r="P26" s="53" t="s">
        <v>407</v>
      </c>
      <c r="R26" s="21">
        <f t="shared" si="4"/>
        <v>8518.01319</v>
      </c>
      <c r="S26" s="21">
        <f t="shared" si="5"/>
        <v>198.09333</v>
      </c>
      <c r="T26" s="21" t="b">
        <f t="shared" si="6"/>
        <v>1</v>
      </c>
      <c r="U26" s="21" t="b">
        <f t="shared" si="7"/>
        <v>1</v>
      </c>
    </row>
    <row r="27" s="21" customFormat="1" ht="56.25" outlineLevel="1" spans="1:21">
      <c r="A27" s="53">
        <v>20</v>
      </c>
      <c r="B27" s="53" t="s">
        <v>405</v>
      </c>
      <c r="C27" s="59" t="s">
        <v>408</v>
      </c>
      <c r="D27" s="53" t="s">
        <v>317</v>
      </c>
      <c r="E27" s="53">
        <v>123</v>
      </c>
      <c r="F27" s="53">
        <f t="shared" ref="F27:J27" si="14">F26</f>
        <v>20</v>
      </c>
      <c r="G27" s="55">
        <f t="shared" si="0"/>
        <v>80.8</v>
      </c>
      <c r="H27" s="56">
        <v>80</v>
      </c>
      <c r="I27" s="65">
        <f t="shared" si="14"/>
        <v>0.01</v>
      </c>
      <c r="J27" s="64">
        <f t="shared" si="14"/>
        <v>5</v>
      </c>
      <c r="K27" s="34">
        <f>(F27+G27+J27)*$K$5</f>
        <v>6.348</v>
      </c>
      <c r="L27" s="34">
        <f>(F27+G27+J27+K27)*$L$5</f>
        <v>10.09332</v>
      </c>
      <c r="M27" s="55">
        <f t="shared" si="3"/>
        <v>122.24132</v>
      </c>
      <c r="N27" s="55"/>
      <c r="O27" s="55">
        <f t="shared" si="1"/>
        <v>15035.68236</v>
      </c>
      <c r="P27" s="53" t="s">
        <v>407</v>
      </c>
      <c r="R27" s="21">
        <f t="shared" si="4"/>
        <v>15035.68236</v>
      </c>
      <c r="S27" s="21">
        <f t="shared" si="5"/>
        <v>122.24132</v>
      </c>
      <c r="T27" s="21" t="b">
        <f t="shared" si="6"/>
        <v>1</v>
      </c>
      <c r="U27" s="21" t="b">
        <f t="shared" si="7"/>
        <v>1</v>
      </c>
    </row>
    <row r="28" s="21" customFormat="1" ht="56.25" outlineLevel="1" spans="1:21">
      <c r="A28" s="53">
        <v>21</v>
      </c>
      <c r="B28" s="53" t="s">
        <v>405</v>
      </c>
      <c r="C28" s="53" t="s">
        <v>409</v>
      </c>
      <c r="D28" s="53" t="s">
        <v>317</v>
      </c>
      <c r="E28" s="53">
        <v>5</v>
      </c>
      <c r="F28" s="60"/>
      <c r="G28" s="61"/>
      <c r="H28" s="58"/>
      <c r="I28" s="68"/>
      <c r="J28" s="69"/>
      <c r="K28" s="34">
        <f>(F28+G28+J28)*$K$5</f>
        <v>0</v>
      </c>
      <c r="L28" s="34">
        <f>(F28+G28+J28+K28)*$L$5</f>
        <v>0</v>
      </c>
      <c r="M28" s="55">
        <f t="shared" si="3"/>
        <v>0</v>
      </c>
      <c r="N28" s="55"/>
      <c r="O28" s="55">
        <f t="shared" si="1"/>
        <v>0</v>
      </c>
      <c r="P28" s="53" t="s">
        <v>410</v>
      </c>
      <c r="R28" s="21">
        <f t="shared" si="4"/>
        <v>0</v>
      </c>
      <c r="S28" s="21">
        <f t="shared" si="5"/>
        <v>0</v>
      </c>
      <c r="T28" s="21" t="b">
        <f t="shared" si="6"/>
        <v>1</v>
      </c>
      <c r="U28" s="21" t="b">
        <f t="shared" si="7"/>
        <v>1</v>
      </c>
    </row>
    <row r="29" s="21" customFormat="1" ht="56.25" outlineLevel="1" spans="1:21">
      <c r="A29" s="53">
        <v>22</v>
      </c>
      <c r="B29" s="53" t="s">
        <v>405</v>
      </c>
      <c r="C29" s="53" t="s">
        <v>411</v>
      </c>
      <c r="D29" s="53" t="s">
        <v>144</v>
      </c>
      <c r="E29" s="53">
        <v>151.06</v>
      </c>
      <c r="F29" s="53">
        <f>F26</f>
        <v>20</v>
      </c>
      <c r="G29" s="55">
        <f t="shared" ref="G29:G42" si="15">H29*(1+I29)</f>
        <v>26.25</v>
      </c>
      <c r="H29" s="56">
        <v>25</v>
      </c>
      <c r="I29" s="70">
        <v>0.05</v>
      </c>
      <c r="J29" s="64">
        <f>J26</f>
        <v>5</v>
      </c>
      <c r="K29" s="34">
        <f>(F29+G29+J29)*$K$5</f>
        <v>3.075</v>
      </c>
      <c r="L29" s="34">
        <f>(F29+G29+J29+K29)*$L$5</f>
        <v>4.88925</v>
      </c>
      <c r="M29" s="55">
        <f t="shared" si="3"/>
        <v>59.21425</v>
      </c>
      <c r="N29" s="55"/>
      <c r="O29" s="55">
        <f t="shared" si="1"/>
        <v>8944.904605</v>
      </c>
      <c r="P29" s="53" t="s">
        <v>407</v>
      </c>
      <c r="R29" s="21">
        <f t="shared" si="4"/>
        <v>8944.904605</v>
      </c>
      <c r="S29" s="21">
        <f t="shared" si="5"/>
        <v>59.21425</v>
      </c>
      <c r="T29" s="21" t="b">
        <f t="shared" si="6"/>
        <v>1</v>
      </c>
      <c r="U29" s="21" t="b">
        <f t="shared" si="7"/>
        <v>1</v>
      </c>
    </row>
    <row r="30" s="21" customFormat="1" ht="56.25" outlineLevel="1" spans="1:21">
      <c r="A30" s="53">
        <v>23</v>
      </c>
      <c r="B30" s="53" t="s">
        <v>405</v>
      </c>
      <c r="C30" s="53" t="s">
        <v>412</v>
      </c>
      <c r="D30" s="53" t="s">
        <v>317</v>
      </c>
      <c r="E30" s="53">
        <v>1</v>
      </c>
      <c r="F30" s="60"/>
      <c r="G30" s="61"/>
      <c r="H30" s="58"/>
      <c r="I30" s="68"/>
      <c r="J30" s="69"/>
      <c r="K30" s="34">
        <f>(F30+G30+J30)*$K$5</f>
        <v>0</v>
      </c>
      <c r="L30" s="34">
        <f>(F30+G30+J30+K30)*$L$5</f>
        <v>0</v>
      </c>
      <c r="M30" s="55">
        <f t="shared" si="3"/>
        <v>0</v>
      </c>
      <c r="N30" s="55"/>
      <c r="O30" s="55">
        <f t="shared" si="1"/>
        <v>0</v>
      </c>
      <c r="P30" s="53" t="s">
        <v>410</v>
      </c>
      <c r="R30" s="21">
        <f t="shared" si="4"/>
        <v>0</v>
      </c>
      <c r="S30" s="21">
        <f t="shared" si="5"/>
        <v>0</v>
      </c>
      <c r="T30" s="21" t="b">
        <f t="shared" si="6"/>
        <v>1</v>
      </c>
      <c r="U30" s="21" t="b">
        <f t="shared" si="7"/>
        <v>1</v>
      </c>
    </row>
    <row r="31" s="21" customFormat="1" ht="56.25" outlineLevel="1" spans="1:21">
      <c r="A31" s="53">
        <v>24</v>
      </c>
      <c r="B31" s="53" t="s">
        <v>405</v>
      </c>
      <c r="C31" s="53" t="s">
        <v>413</v>
      </c>
      <c r="D31" s="53" t="s">
        <v>317</v>
      </c>
      <c r="E31" s="53">
        <v>1</v>
      </c>
      <c r="F31" s="53"/>
      <c r="G31" s="55"/>
      <c r="H31" s="58"/>
      <c r="I31" s="68"/>
      <c r="J31" s="69"/>
      <c r="K31" s="34">
        <f>(F31+G31+J31)*$K$5</f>
        <v>0</v>
      </c>
      <c r="L31" s="34">
        <f>(F31+G31+J31+K31)*$L$5</f>
        <v>0</v>
      </c>
      <c r="M31" s="55">
        <f t="shared" si="3"/>
        <v>0</v>
      </c>
      <c r="N31" s="55"/>
      <c r="O31" s="55">
        <f t="shared" si="1"/>
        <v>0</v>
      </c>
      <c r="P31" s="53" t="s">
        <v>410</v>
      </c>
      <c r="R31" s="21">
        <f t="shared" si="4"/>
        <v>0</v>
      </c>
      <c r="S31" s="21">
        <f t="shared" si="5"/>
        <v>0</v>
      </c>
      <c r="T31" s="21" t="b">
        <f t="shared" si="6"/>
        <v>1</v>
      </c>
      <c r="U31" s="21" t="b">
        <f t="shared" si="7"/>
        <v>1</v>
      </c>
    </row>
    <row r="32" s="21" customFormat="1" ht="33.75" outlineLevel="1" spans="1:21">
      <c r="A32" s="53">
        <v>25</v>
      </c>
      <c r="B32" s="53" t="s">
        <v>414</v>
      </c>
      <c r="C32" s="53" t="s">
        <v>415</v>
      </c>
      <c r="D32" s="53" t="s">
        <v>138</v>
      </c>
      <c r="E32" s="53">
        <v>11</v>
      </c>
      <c r="F32" s="54">
        <v>15</v>
      </c>
      <c r="G32" s="62">
        <f t="shared" si="15"/>
        <v>28.28</v>
      </c>
      <c r="H32" s="56">
        <v>28</v>
      </c>
      <c r="I32" s="66">
        <v>0.01</v>
      </c>
      <c r="J32" s="67">
        <v>5</v>
      </c>
      <c r="K32" s="34">
        <f>(F32+G32+J32)*$K$5</f>
        <v>2.8968</v>
      </c>
      <c r="L32" s="34">
        <f>(F32+G32+J32+K32)*$L$5</f>
        <v>4.605912</v>
      </c>
      <c r="M32" s="55">
        <f t="shared" si="3"/>
        <v>55.782712</v>
      </c>
      <c r="N32" s="55"/>
      <c r="O32" s="55">
        <f t="shared" si="1"/>
        <v>613.609832</v>
      </c>
      <c r="P32" s="53" t="s">
        <v>416</v>
      </c>
      <c r="R32" s="21">
        <f t="shared" si="4"/>
        <v>613.609832</v>
      </c>
      <c r="S32" s="21">
        <f t="shared" si="5"/>
        <v>55.782712</v>
      </c>
      <c r="T32" s="21" t="b">
        <f t="shared" si="6"/>
        <v>1</v>
      </c>
      <c r="U32" s="21" t="b">
        <f t="shared" si="7"/>
        <v>1</v>
      </c>
    </row>
    <row r="33" s="21" customFormat="1" ht="33.75" outlineLevel="1" spans="1:21">
      <c r="A33" s="53">
        <v>26</v>
      </c>
      <c r="B33" s="53" t="s">
        <v>414</v>
      </c>
      <c r="C33" s="53" t="s">
        <v>417</v>
      </c>
      <c r="D33" s="53" t="s">
        <v>138</v>
      </c>
      <c r="E33" s="53">
        <v>6</v>
      </c>
      <c r="F33" s="53">
        <f t="shared" ref="F33:J33" si="16">F32</f>
        <v>15</v>
      </c>
      <c r="G33" s="55">
        <f t="shared" si="15"/>
        <v>45.45</v>
      </c>
      <c r="H33" s="56">
        <v>45</v>
      </c>
      <c r="I33" s="68">
        <f t="shared" si="16"/>
        <v>0.01</v>
      </c>
      <c r="J33" s="69">
        <f t="shared" si="16"/>
        <v>5</v>
      </c>
      <c r="K33" s="34">
        <f>(F33+G33+J33)*$K$5</f>
        <v>3.927</v>
      </c>
      <c r="L33" s="34">
        <f>(F33+G33+J33+K33)*$L$5</f>
        <v>6.24393</v>
      </c>
      <c r="M33" s="55">
        <f t="shared" si="3"/>
        <v>75.62093</v>
      </c>
      <c r="N33" s="55"/>
      <c r="O33" s="55">
        <f t="shared" si="1"/>
        <v>453.72558</v>
      </c>
      <c r="P33" s="53" t="str">
        <f>P32</f>
        <v>罗格朗</v>
      </c>
      <c r="R33" s="21">
        <f t="shared" si="4"/>
        <v>453.72558</v>
      </c>
      <c r="S33" s="21">
        <f t="shared" si="5"/>
        <v>75.62093</v>
      </c>
      <c r="T33" s="21" t="b">
        <f t="shared" si="6"/>
        <v>1</v>
      </c>
      <c r="U33" s="21" t="b">
        <f t="shared" si="7"/>
        <v>1</v>
      </c>
    </row>
    <row r="34" s="21" customFormat="1" ht="33.75" outlineLevel="1" spans="1:21">
      <c r="A34" s="53">
        <v>27</v>
      </c>
      <c r="B34" s="53" t="s">
        <v>414</v>
      </c>
      <c r="C34" s="53" t="s">
        <v>418</v>
      </c>
      <c r="D34" s="53" t="s">
        <v>138</v>
      </c>
      <c r="E34" s="53">
        <v>1</v>
      </c>
      <c r="F34" s="53">
        <f t="shared" ref="F34:J34" si="17">F32</f>
        <v>15</v>
      </c>
      <c r="G34" s="55">
        <f t="shared" si="15"/>
        <v>61.61</v>
      </c>
      <c r="H34" s="56">
        <v>61</v>
      </c>
      <c r="I34" s="68">
        <f t="shared" si="17"/>
        <v>0.01</v>
      </c>
      <c r="J34" s="69">
        <f t="shared" si="17"/>
        <v>5</v>
      </c>
      <c r="K34" s="34">
        <f>(F34+G34+J34)*$K$5</f>
        <v>4.8966</v>
      </c>
      <c r="L34" s="34">
        <f>(F34+G34+J34+K34)*$L$5</f>
        <v>7.785594</v>
      </c>
      <c r="M34" s="55">
        <f t="shared" si="3"/>
        <v>94.292194</v>
      </c>
      <c r="N34" s="55"/>
      <c r="O34" s="55">
        <f t="shared" si="1"/>
        <v>94.292194</v>
      </c>
      <c r="P34" s="53" t="str">
        <f>P32</f>
        <v>罗格朗</v>
      </c>
      <c r="R34" s="21">
        <f t="shared" si="4"/>
        <v>94.292194</v>
      </c>
      <c r="S34" s="21">
        <f t="shared" si="5"/>
        <v>94.292194</v>
      </c>
      <c r="T34" s="21" t="b">
        <f t="shared" si="6"/>
        <v>1</v>
      </c>
      <c r="U34" s="21" t="b">
        <f t="shared" si="7"/>
        <v>1</v>
      </c>
    </row>
    <row r="35" s="21" customFormat="1" ht="33.75" outlineLevel="1" spans="1:21">
      <c r="A35" s="53">
        <v>28</v>
      </c>
      <c r="B35" s="53" t="s">
        <v>414</v>
      </c>
      <c r="C35" s="53" t="s">
        <v>419</v>
      </c>
      <c r="D35" s="53" t="s">
        <v>138</v>
      </c>
      <c r="E35" s="53">
        <v>7</v>
      </c>
      <c r="F35" s="53">
        <f t="shared" ref="F35:J35" si="18">F32</f>
        <v>15</v>
      </c>
      <c r="G35" s="55">
        <f t="shared" si="15"/>
        <v>82.82</v>
      </c>
      <c r="H35" s="56">
        <v>82</v>
      </c>
      <c r="I35" s="68">
        <f t="shared" si="18"/>
        <v>0.01</v>
      </c>
      <c r="J35" s="69">
        <f t="shared" si="18"/>
        <v>5</v>
      </c>
      <c r="K35" s="34">
        <f>(F35+G35+J35)*$K$5</f>
        <v>6.1692</v>
      </c>
      <c r="L35" s="34">
        <f>(F35+G35+J35+K35)*$L$5</f>
        <v>9.809028</v>
      </c>
      <c r="M35" s="55">
        <f t="shared" si="3"/>
        <v>118.798228</v>
      </c>
      <c r="N35" s="55"/>
      <c r="O35" s="55">
        <f t="shared" si="1"/>
        <v>831.587596</v>
      </c>
      <c r="P35" s="53" t="str">
        <f>P33</f>
        <v>罗格朗</v>
      </c>
      <c r="R35" s="21">
        <f t="shared" si="4"/>
        <v>831.587596</v>
      </c>
      <c r="S35" s="21">
        <f t="shared" si="5"/>
        <v>118.798228</v>
      </c>
      <c r="T35" s="21" t="b">
        <f t="shared" si="6"/>
        <v>1</v>
      </c>
      <c r="U35" s="21" t="b">
        <f t="shared" si="7"/>
        <v>1</v>
      </c>
    </row>
    <row r="36" s="21" customFormat="1" ht="33.75" outlineLevel="1" spans="1:21">
      <c r="A36" s="53">
        <v>29</v>
      </c>
      <c r="B36" s="53" t="s">
        <v>420</v>
      </c>
      <c r="C36" s="53" t="s">
        <v>421</v>
      </c>
      <c r="D36" s="53" t="s">
        <v>138</v>
      </c>
      <c r="E36" s="53">
        <v>23</v>
      </c>
      <c r="F36" s="54">
        <v>25</v>
      </c>
      <c r="G36" s="62">
        <f t="shared" si="15"/>
        <v>186.85</v>
      </c>
      <c r="H36" s="56">
        <v>185</v>
      </c>
      <c r="I36" s="66">
        <v>0.01</v>
      </c>
      <c r="J36" s="67">
        <v>5</v>
      </c>
      <c r="K36" s="34">
        <f>(F36+G36+J36)*$K$5</f>
        <v>13.011</v>
      </c>
      <c r="L36" s="34">
        <f>(F36+G36+J36+K36)*$L$5</f>
        <v>20.68749</v>
      </c>
      <c r="M36" s="55">
        <f t="shared" si="3"/>
        <v>250.54849</v>
      </c>
      <c r="N36" s="55"/>
      <c r="O36" s="55">
        <f t="shared" si="1"/>
        <v>5762.61527</v>
      </c>
      <c r="P36" s="53" t="str">
        <f>P33</f>
        <v>罗格朗</v>
      </c>
      <c r="R36" s="21">
        <f t="shared" si="4"/>
        <v>5762.61527</v>
      </c>
      <c r="S36" s="21">
        <f t="shared" si="5"/>
        <v>250.54849</v>
      </c>
      <c r="T36" s="21" t="b">
        <f t="shared" si="6"/>
        <v>1</v>
      </c>
      <c r="U36" s="21" t="b">
        <f t="shared" si="7"/>
        <v>1</v>
      </c>
    </row>
    <row r="37" s="21" customFormat="1" ht="45" outlineLevel="1" spans="1:21">
      <c r="A37" s="53">
        <v>30</v>
      </c>
      <c r="B37" s="53" t="s">
        <v>422</v>
      </c>
      <c r="C37" s="53" t="s">
        <v>423</v>
      </c>
      <c r="D37" s="53" t="s">
        <v>138</v>
      </c>
      <c r="E37" s="53">
        <v>32</v>
      </c>
      <c r="F37" s="60">
        <f t="shared" ref="F37:J37" si="19">F32</f>
        <v>15</v>
      </c>
      <c r="G37" s="55">
        <f t="shared" si="15"/>
        <v>28.28</v>
      </c>
      <c r="H37" s="56">
        <v>28</v>
      </c>
      <c r="I37" s="68">
        <f t="shared" si="19"/>
        <v>0.01</v>
      </c>
      <c r="J37" s="69">
        <f t="shared" si="19"/>
        <v>5</v>
      </c>
      <c r="K37" s="34">
        <f>(F37+G37+J37)*$K$5</f>
        <v>2.8968</v>
      </c>
      <c r="L37" s="34">
        <f>(F37+G37+J37+K37)*$L$5</f>
        <v>4.605912</v>
      </c>
      <c r="M37" s="55">
        <f t="shared" si="3"/>
        <v>55.782712</v>
      </c>
      <c r="N37" s="55"/>
      <c r="O37" s="55">
        <f t="shared" si="1"/>
        <v>1785.046784</v>
      </c>
      <c r="P37" s="53" t="str">
        <f>P33</f>
        <v>罗格朗</v>
      </c>
      <c r="R37" s="21">
        <f t="shared" si="4"/>
        <v>1785.046784</v>
      </c>
      <c r="S37" s="21">
        <f t="shared" si="5"/>
        <v>55.782712</v>
      </c>
      <c r="T37" s="21" t="b">
        <f t="shared" si="6"/>
        <v>1</v>
      </c>
      <c r="U37" s="21" t="b">
        <f t="shared" si="7"/>
        <v>1</v>
      </c>
    </row>
    <row r="38" s="21" customFormat="1" ht="45" outlineLevel="1" spans="1:21">
      <c r="A38" s="53">
        <v>31</v>
      </c>
      <c r="B38" s="53" t="s">
        <v>422</v>
      </c>
      <c r="C38" s="53" t="s">
        <v>424</v>
      </c>
      <c r="D38" s="53" t="s">
        <v>138</v>
      </c>
      <c r="E38" s="53">
        <v>14</v>
      </c>
      <c r="F38" s="53">
        <f t="shared" ref="F38:J38" si="20">F32</f>
        <v>15</v>
      </c>
      <c r="G38" s="55">
        <f t="shared" si="15"/>
        <v>267.65</v>
      </c>
      <c r="H38" s="56">
        <v>265</v>
      </c>
      <c r="I38" s="68">
        <f t="shared" si="20"/>
        <v>0.01</v>
      </c>
      <c r="J38" s="69">
        <f t="shared" si="20"/>
        <v>5</v>
      </c>
      <c r="K38" s="34">
        <f>(F38+G38+J38)*$K$5</f>
        <v>17.259</v>
      </c>
      <c r="L38" s="34">
        <f>(F38+G38+J38+K38)*$L$5</f>
        <v>27.44181</v>
      </c>
      <c r="M38" s="55">
        <f t="shared" si="3"/>
        <v>332.35081</v>
      </c>
      <c r="N38" s="55"/>
      <c r="O38" s="55">
        <f t="shared" si="1"/>
        <v>4652.91134</v>
      </c>
      <c r="P38" s="53" t="str">
        <f>P33</f>
        <v>罗格朗</v>
      </c>
      <c r="R38" s="21">
        <f t="shared" si="4"/>
        <v>4652.91134</v>
      </c>
      <c r="S38" s="21">
        <f t="shared" si="5"/>
        <v>332.35081</v>
      </c>
      <c r="T38" s="21" t="b">
        <f t="shared" si="6"/>
        <v>1</v>
      </c>
      <c r="U38" s="21" t="b">
        <f t="shared" si="7"/>
        <v>1</v>
      </c>
    </row>
    <row r="39" s="21" customFormat="1" ht="33.75" outlineLevel="1" spans="1:21">
      <c r="A39" s="53">
        <v>32</v>
      </c>
      <c r="B39" s="53" t="s">
        <v>422</v>
      </c>
      <c r="C39" s="53" t="s">
        <v>425</v>
      </c>
      <c r="D39" s="53" t="s">
        <v>138</v>
      </c>
      <c r="E39" s="53">
        <v>9</v>
      </c>
      <c r="F39" s="53">
        <f t="shared" ref="F39:J39" si="21">F32</f>
        <v>15</v>
      </c>
      <c r="G39" s="55">
        <f t="shared" si="15"/>
        <v>45.45</v>
      </c>
      <c r="H39" s="56">
        <v>45</v>
      </c>
      <c r="I39" s="68">
        <f t="shared" si="21"/>
        <v>0.01</v>
      </c>
      <c r="J39" s="69">
        <f t="shared" si="21"/>
        <v>5</v>
      </c>
      <c r="K39" s="34">
        <f>(F39+G39+J39)*$K$5</f>
        <v>3.927</v>
      </c>
      <c r="L39" s="34">
        <f>(F39+G39+J39+K39)*$L$5</f>
        <v>6.24393</v>
      </c>
      <c r="M39" s="55">
        <f t="shared" si="3"/>
        <v>75.62093</v>
      </c>
      <c r="N39" s="55"/>
      <c r="O39" s="55">
        <f t="shared" si="1"/>
        <v>680.58837</v>
      </c>
      <c r="P39" s="53" t="str">
        <f>P33</f>
        <v>罗格朗</v>
      </c>
      <c r="R39" s="21">
        <f t="shared" si="4"/>
        <v>680.58837</v>
      </c>
      <c r="S39" s="21">
        <f t="shared" si="5"/>
        <v>75.62093</v>
      </c>
      <c r="T39" s="21" t="b">
        <f t="shared" si="6"/>
        <v>1</v>
      </c>
      <c r="U39" s="21" t="b">
        <f t="shared" si="7"/>
        <v>1</v>
      </c>
    </row>
    <row r="40" s="21" customFormat="1" ht="33.75" outlineLevel="1" spans="1:21">
      <c r="A40" s="53">
        <v>33</v>
      </c>
      <c r="B40" s="53" t="s">
        <v>426</v>
      </c>
      <c r="C40" s="53" t="s">
        <v>427</v>
      </c>
      <c r="D40" s="53" t="s">
        <v>138</v>
      </c>
      <c r="E40" s="53">
        <v>103</v>
      </c>
      <c r="F40" s="54">
        <v>5</v>
      </c>
      <c r="G40" s="62">
        <f t="shared" si="15"/>
        <v>3.3128</v>
      </c>
      <c r="H40" s="56">
        <v>3.28</v>
      </c>
      <c r="I40" s="66">
        <v>0.01</v>
      </c>
      <c r="J40" s="67">
        <v>2</v>
      </c>
      <c r="K40" s="34">
        <f>(F40+G40+J40)*$K$5</f>
        <v>0.618768</v>
      </c>
      <c r="L40" s="34">
        <f>(F40+G40+J40+K40)*$L$5</f>
        <v>0.98384112</v>
      </c>
      <c r="M40" s="55">
        <f t="shared" si="3"/>
        <v>11.91540912</v>
      </c>
      <c r="N40" s="55"/>
      <c r="O40" s="55">
        <f t="shared" si="1"/>
        <v>1227.28713936</v>
      </c>
      <c r="P40" s="53"/>
      <c r="R40" s="21">
        <f t="shared" si="4"/>
        <v>1227.28713936</v>
      </c>
      <c r="S40" s="21">
        <f t="shared" si="5"/>
        <v>11.91540912</v>
      </c>
      <c r="T40" s="21" t="b">
        <f t="shared" si="6"/>
        <v>1</v>
      </c>
      <c r="U40" s="21" t="b">
        <f t="shared" si="7"/>
        <v>1</v>
      </c>
    </row>
    <row r="41" s="21" customFormat="1" ht="33.75" outlineLevel="1" spans="1:21">
      <c r="A41" s="57">
        <v>34</v>
      </c>
      <c r="B41" s="57" t="s">
        <v>426</v>
      </c>
      <c r="C41" s="57" t="s">
        <v>428</v>
      </c>
      <c r="D41" s="57" t="s">
        <v>138</v>
      </c>
      <c r="E41" s="57">
        <v>202</v>
      </c>
      <c r="F41" s="57">
        <f t="shared" ref="F41:J41" si="22">F40</f>
        <v>5</v>
      </c>
      <c r="G41" s="55">
        <f t="shared" si="15"/>
        <v>3.3128</v>
      </c>
      <c r="H41" s="58">
        <f t="shared" si="22"/>
        <v>3.28</v>
      </c>
      <c r="I41" s="68">
        <f t="shared" si="22"/>
        <v>0.01</v>
      </c>
      <c r="J41" s="69">
        <f t="shared" si="22"/>
        <v>2</v>
      </c>
      <c r="K41" s="34">
        <f>(F41+G41+J41)*$K$5</f>
        <v>0.618768</v>
      </c>
      <c r="L41" s="34">
        <f>(F41+G41+J41+K41)*$L$5</f>
        <v>0.98384112</v>
      </c>
      <c r="M41" s="55">
        <f t="shared" si="3"/>
        <v>11.91540912</v>
      </c>
      <c r="N41" s="55"/>
      <c r="O41" s="55">
        <f t="shared" si="1"/>
        <v>2406.91264224</v>
      </c>
      <c r="P41" s="57"/>
      <c r="R41" s="21">
        <f t="shared" si="4"/>
        <v>2406.91264224</v>
      </c>
      <c r="S41" s="21">
        <f t="shared" si="5"/>
        <v>11.91540912</v>
      </c>
      <c r="T41" s="21" t="b">
        <f t="shared" si="6"/>
        <v>1</v>
      </c>
      <c r="U41" s="21" t="b">
        <f t="shared" si="7"/>
        <v>1</v>
      </c>
    </row>
    <row r="42" s="21" customFormat="1" ht="22.5" outlineLevel="1" spans="1:21">
      <c r="A42" s="53">
        <v>35</v>
      </c>
      <c r="B42" s="53" t="s">
        <v>429</v>
      </c>
      <c r="C42" s="53" t="s">
        <v>430</v>
      </c>
      <c r="D42" s="53" t="s">
        <v>431</v>
      </c>
      <c r="E42" s="53">
        <v>1</v>
      </c>
      <c r="F42" s="54">
        <v>300</v>
      </c>
      <c r="G42" s="55">
        <f t="shared" si="15"/>
        <v>0</v>
      </c>
      <c r="H42" s="56">
        <v>0</v>
      </c>
      <c r="I42" s="66">
        <v>0</v>
      </c>
      <c r="J42" s="67">
        <v>85</v>
      </c>
      <c r="K42" s="34">
        <f>(F42+G42+J42)*$K$5</f>
        <v>23.1</v>
      </c>
      <c r="L42" s="34">
        <f>(F42+G42+J42+K42)*$L$5</f>
        <v>36.729</v>
      </c>
      <c r="M42" s="55">
        <f t="shared" si="3"/>
        <v>444.829</v>
      </c>
      <c r="N42" s="55"/>
      <c r="O42" s="55">
        <f t="shared" si="1"/>
        <v>444.829</v>
      </c>
      <c r="P42" s="53"/>
      <c r="R42" s="21">
        <f t="shared" si="4"/>
        <v>444.829</v>
      </c>
      <c r="S42" s="21">
        <f t="shared" si="5"/>
        <v>444.829</v>
      </c>
      <c r="T42" s="21" t="b">
        <f t="shared" si="6"/>
        <v>1</v>
      </c>
      <c r="U42" s="21" t="b">
        <f t="shared" si="7"/>
        <v>1</v>
      </c>
    </row>
    <row r="43" s="21" customFormat="1" spans="1:21">
      <c r="A43" s="53"/>
      <c r="B43" s="53" t="s">
        <v>432</v>
      </c>
      <c r="C43" s="53"/>
      <c r="D43" s="53"/>
      <c r="E43" s="53"/>
      <c r="F43" s="53"/>
      <c r="G43" s="55"/>
      <c r="H43" s="58"/>
      <c r="I43" s="68"/>
      <c r="J43" s="69"/>
      <c r="K43" s="34"/>
      <c r="L43" s="34"/>
      <c r="M43" s="55"/>
      <c r="N43" s="55"/>
      <c r="O43" s="55"/>
      <c r="P43" s="53"/>
      <c r="R43" s="21">
        <f t="shared" si="4"/>
        <v>0</v>
      </c>
      <c r="S43" s="21">
        <f t="shared" si="5"/>
        <v>0</v>
      </c>
      <c r="T43" s="21" t="b">
        <f t="shared" si="6"/>
        <v>1</v>
      </c>
      <c r="U43" s="21" t="b">
        <f t="shared" si="7"/>
        <v>1</v>
      </c>
    </row>
    <row r="44" s="21" customFormat="1" ht="56.25" outlineLevel="1" spans="1:21">
      <c r="A44" s="57">
        <v>36</v>
      </c>
      <c r="B44" s="57" t="s">
        <v>381</v>
      </c>
      <c r="C44" s="57" t="s">
        <v>433</v>
      </c>
      <c r="D44" s="57" t="s">
        <v>144</v>
      </c>
      <c r="E44" s="57">
        <v>51.2</v>
      </c>
      <c r="F44" s="57">
        <f>F10</f>
        <v>25</v>
      </c>
      <c r="G44" s="55">
        <f t="shared" ref="G44:G73" si="23">H44*(1+I44)</f>
        <v>56.1</v>
      </c>
      <c r="H44" s="56">
        <v>55</v>
      </c>
      <c r="I44" s="66">
        <v>0.02</v>
      </c>
      <c r="J44" s="67">
        <v>6</v>
      </c>
      <c r="K44" s="34">
        <f>(F44+G44+J44)*$K$5</f>
        <v>5.226</v>
      </c>
      <c r="L44" s="34">
        <f>(F44+G44+J44+K44)*$L$5</f>
        <v>8.30934</v>
      </c>
      <c r="M44" s="55">
        <f t="shared" ref="M44:M73" si="24">F44+G44+J44+K44+L44</f>
        <v>100.63534</v>
      </c>
      <c r="N44" s="55"/>
      <c r="O44" s="55">
        <f t="shared" ref="O44:O73" si="25">M44*E44</f>
        <v>5152.529408</v>
      </c>
      <c r="P44" s="57"/>
      <c r="R44" s="21">
        <f t="shared" si="4"/>
        <v>5152.529408</v>
      </c>
      <c r="S44" s="21">
        <f t="shared" si="5"/>
        <v>100.63534</v>
      </c>
      <c r="T44" s="21" t="b">
        <f t="shared" si="6"/>
        <v>1</v>
      </c>
      <c r="U44" s="21" t="b">
        <f t="shared" si="7"/>
        <v>1</v>
      </c>
    </row>
    <row r="45" s="21" customFormat="1" ht="56.25" outlineLevel="1" spans="1:21">
      <c r="A45" s="53">
        <v>37</v>
      </c>
      <c r="B45" s="53" t="s">
        <v>381</v>
      </c>
      <c r="C45" s="53" t="s">
        <v>434</v>
      </c>
      <c r="D45" s="53" t="s">
        <v>144</v>
      </c>
      <c r="E45" s="53">
        <v>82.99</v>
      </c>
      <c r="F45" s="53">
        <f>F10</f>
        <v>25</v>
      </c>
      <c r="G45" s="55">
        <f t="shared" si="23"/>
        <v>48.96</v>
      </c>
      <c r="H45" s="56">
        <v>48</v>
      </c>
      <c r="I45" s="66">
        <v>0.02</v>
      </c>
      <c r="J45" s="67">
        <v>6</v>
      </c>
      <c r="K45" s="34">
        <f>(F45+G45+J45)*$K$5</f>
        <v>4.7976</v>
      </c>
      <c r="L45" s="34">
        <f>(F45+G45+J45+K45)*$L$5</f>
        <v>7.628184</v>
      </c>
      <c r="M45" s="55">
        <f t="shared" si="24"/>
        <v>92.385784</v>
      </c>
      <c r="N45" s="55"/>
      <c r="O45" s="55">
        <f t="shared" si="25"/>
        <v>7667.09621416</v>
      </c>
      <c r="P45" s="53"/>
      <c r="R45" s="21">
        <f t="shared" si="4"/>
        <v>7667.09621416</v>
      </c>
      <c r="S45" s="21">
        <f t="shared" si="5"/>
        <v>92.385784</v>
      </c>
      <c r="T45" s="21" t="b">
        <f t="shared" si="6"/>
        <v>1</v>
      </c>
      <c r="U45" s="21" t="b">
        <f t="shared" si="7"/>
        <v>1</v>
      </c>
    </row>
    <row r="46" s="21" customFormat="1" ht="67.5" outlineLevel="1" spans="1:21">
      <c r="A46" s="53">
        <v>38</v>
      </c>
      <c r="B46" s="53" t="s">
        <v>386</v>
      </c>
      <c r="C46" s="53" t="s">
        <v>387</v>
      </c>
      <c r="D46" s="53" t="s">
        <v>388</v>
      </c>
      <c r="E46" s="53">
        <v>67.08</v>
      </c>
      <c r="F46" s="53">
        <f t="shared" ref="F46:J46" si="26">F14</f>
        <v>4.6</v>
      </c>
      <c r="G46" s="55">
        <f t="shared" si="23"/>
        <v>5.04</v>
      </c>
      <c r="H46" s="53">
        <f t="shared" si="26"/>
        <v>4.8</v>
      </c>
      <c r="I46" s="65">
        <f t="shared" si="26"/>
        <v>0.05</v>
      </c>
      <c r="J46" s="64">
        <f t="shared" si="26"/>
        <v>3</v>
      </c>
      <c r="K46" s="34">
        <f>(F46+G46+J46)*$K$5</f>
        <v>0.7584</v>
      </c>
      <c r="L46" s="34">
        <f>(F46+G46+J46+K46)*$L$5</f>
        <v>1.205856</v>
      </c>
      <c r="M46" s="55">
        <f t="shared" si="24"/>
        <v>14.604256</v>
      </c>
      <c r="N46" s="55"/>
      <c r="O46" s="55">
        <f t="shared" si="25"/>
        <v>979.65349248</v>
      </c>
      <c r="P46" s="53"/>
      <c r="R46" s="21">
        <f t="shared" si="4"/>
        <v>979.65349248</v>
      </c>
      <c r="S46" s="21">
        <f t="shared" si="5"/>
        <v>14.604256</v>
      </c>
      <c r="T46" s="21" t="b">
        <f t="shared" si="6"/>
        <v>1</v>
      </c>
      <c r="U46" s="21" t="b">
        <f t="shared" si="7"/>
        <v>1</v>
      </c>
    </row>
    <row r="47" s="21" customFormat="1" ht="56.25" outlineLevel="1" spans="1:21">
      <c r="A47" s="53">
        <v>39</v>
      </c>
      <c r="B47" s="53" t="s">
        <v>389</v>
      </c>
      <c r="C47" s="53" t="s">
        <v>390</v>
      </c>
      <c r="D47" s="53" t="s">
        <v>144</v>
      </c>
      <c r="E47" s="53">
        <v>212.52</v>
      </c>
      <c r="F47" s="53">
        <f t="shared" ref="F47:J47" si="27">F15</f>
        <v>10</v>
      </c>
      <c r="G47" s="55">
        <f t="shared" si="23"/>
        <v>5.665</v>
      </c>
      <c r="H47" s="53">
        <f t="shared" si="27"/>
        <v>5.5</v>
      </c>
      <c r="I47" s="65">
        <f t="shared" si="27"/>
        <v>0.03</v>
      </c>
      <c r="J47" s="64">
        <f t="shared" si="27"/>
        <v>2</v>
      </c>
      <c r="K47" s="34">
        <f>(F47+G47+J47)*$K$5</f>
        <v>1.0599</v>
      </c>
      <c r="L47" s="34">
        <f>(F47+G47+J47+K47)*$L$5</f>
        <v>1.685241</v>
      </c>
      <c r="M47" s="55">
        <f t="shared" si="24"/>
        <v>20.410141</v>
      </c>
      <c r="N47" s="55"/>
      <c r="O47" s="55">
        <f t="shared" si="25"/>
        <v>4337.56316532</v>
      </c>
      <c r="P47" s="53" t="str">
        <f>P20</f>
        <v>郑州三厂</v>
      </c>
      <c r="R47" s="21">
        <f t="shared" si="4"/>
        <v>4337.56316532</v>
      </c>
      <c r="S47" s="21">
        <f t="shared" si="5"/>
        <v>20.410141</v>
      </c>
      <c r="T47" s="21" t="b">
        <f t="shared" si="6"/>
        <v>1</v>
      </c>
      <c r="U47" s="21" t="b">
        <f t="shared" si="7"/>
        <v>1</v>
      </c>
    </row>
    <row r="48" s="21" customFormat="1" ht="56.25" outlineLevel="1" spans="1:21">
      <c r="A48" s="53">
        <v>40</v>
      </c>
      <c r="B48" s="53" t="s">
        <v>389</v>
      </c>
      <c r="C48" s="53" t="s">
        <v>392</v>
      </c>
      <c r="D48" s="53" t="s">
        <v>144</v>
      </c>
      <c r="E48" s="53">
        <v>49.04</v>
      </c>
      <c r="F48" s="53">
        <f t="shared" ref="F48:J48" si="28">F15</f>
        <v>10</v>
      </c>
      <c r="G48" s="55">
        <f t="shared" si="23"/>
        <v>5.665</v>
      </c>
      <c r="H48" s="53">
        <f t="shared" si="28"/>
        <v>5.5</v>
      </c>
      <c r="I48" s="65">
        <f t="shared" si="28"/>
        <v>0.03</v>
      </c>
      <c r="J48" s="64">
        <f t="shared" si="28"/>
        <v>2</v>
      </c>
      <c r="K48" s="34">
        <f>(F48+G48+J48)*$K$5</f>
        <v>1.0599</v>
      </c>
      <c r="L48" s="34">
        <f>(F48+G48+J48+K48)*$L$5</f>
        <v>1.685241</v>
      </c>
      <c r="M48" s="55">
        <f t="shared" si="24"/>
        <v>20.410141</v>
      </c>
      <c r="N48" s="55"/>
      <c r="O48" s="55">
        <f t="shared" si="25"/>
        <v>1000.91331464</v>
      </c>
      <c r="P48" s="53" t="str">
        <f>P47</f>
        <v>郑州三厂</v>
      </c>
      <c r="R48" s="21">
        <f t="shared" si="4"/>
        <v>1000.91331464</v>
      </c>
      <c r="S48" s="21">
        <f t="shared" si="5"/>
        <v>20.410141</v>
      </c>
      <c r="T48" s="21" t="b">
        <f t="shared" si="6"/>
        <v>1</v>
      </c>
      <c r="U48" s="21" t="b">
        <f t="shared" si="7"/>
        <v>1</v>
      </c>
    </row>
    <row r="49" s="21" customFormat="1" ht="56.25" outlineLevel="1" spans="1:21">
      <c r="A49" s="53">
        <v>41</v>
      </c>
      <c r="B49" s="53" t="s">
        <v>389</v>
      </c>
      <c r="C49" s="53" t="s">
        <v>393</v>
      </c>
      <c r="D49" s="53" t="s">
        <v>144</v>
      </c>
      <c r="E49" s="53">
        <v>5.52</v>
      </c>
      <c r="F49" s="53">
        <f t="shared" ref="F49:J49" si="29">F17</f>
        <v>10</v>
      </c>
      <c r="G49" s="55">
        <f t="shared" si="23"/>
        <v>8.858</v>
      </c>
      <c r="H49" s="53">
        <f t="shared" si="29"/>
        <v>8.6</v>
      </c>
      <c r="I49" s="65">
        <f t="shared" si="29"/>
        <v>0.03</v>
      </c>
      <c r="J49" s="64">
        <f t="shared" si="29"/>
        <v>2</v>
      </c>
      <c r="K49" s="34">
        <f>(F49+G49+J49)*$K$5</f>
        <v>1.25148</v>
      </c>
      <c r="L49" s="34">
        <f>(F49+G49+J49+K49)*$L$5</f>
        <v>1.9898532</v>
      </c>
      <c r="M49" s="55">
        <f t="shared" si="24"/>
        <v>24.0993332</v>
      </c>
      <c r="N49" s="55"/>
      <c r="O49" s="55">
        <f t="shared" si="25"/>
        <v>133.028319264</v>
      </c>
      <c r="P49" s="53" t="str">
        <f>P47</f>
        <v>郑州三厂</v>
      </c>
      <c r="R49" s="21">
        <f t="shared" si="4"/>
        <v>133.028319264</v>
      </c>
      <c r="S49" s="21">
        <f t="shared" si="5"/>
        <v>24.0993332</v>
      </c>
      <c r="T49" s="21" t="b">
        <f t="shared" si="6"/>
        <v>1</v>
      </c>
      <c r="U49" s="21" t="b">
        <f t="shared" si="7"/>
        <v>1</v>
      </c>
    </row>
    <row r="50" s="21" customFormat="1" ht="56.25" outlineLevel="1" spans="1:21">
      <c r="A50" s="53">
        <v>42</v>
      </c>
      <c r="B50" s="53" t="s">
        <v>389</v>
      </c>
      <c r="C50" s="53" t="s">
        <v>394</v>
      </c>
      <c r="D50" s="53" t="s">
        <v>144</v>
      </c>
      <c r="E50" s="53">
        <v>6</v>
      </c>
      <c r="F50" s="53">
        <f t="shared" ref="F50:J50" si="30">F18</f>
        <v>10</v>
      </c>
      <c r="G50" s="55">
        <f t="shared" si="23"/>
        <v>8.858</v>
      </c>
      <c r="H50" s="53">
        <f t="shared" si="30"/>
        <v>8.6</v>
      </c>
      <c r="I50" s="65">
        <f t="shared" si="30"/>
        <v>0.03</v>
      </c>
      <c r="J50" s="64">
        <f t="shared" si="30"/>
        <v>2</v>
      </c>
      <c r="K50" s="34">
        <f>(F50+G50+J50)*$K$5</f>
        <v>1.25148</v>
      </c>
      <c r="L50" s="34">
        <f>(F50+G50+J50+K50)*$L$5</f>
        <v>1.9898532</v>
      </c>
      <c r="M50" s="55">
        <f t="shared" si="24"/>
        <v>24.0993332</v>
      </c>
      <c r="N50" s="55"/>
      <c r="O50" s="55">
        <f t="shared" si="25"/>
        <v>144.5959992</v>
      </c>
      <c r="P50" s="53" t="str">
        <f>P47</f>
        <v>郑州三厂</v>
      </c>
      <c r="R50" s="21">
        <f t="shared" si="4"/>
        <v>144.5959992</v>
      </c>
      <c r="S50" s="21">
        <f t="shared" si="5"/>
        <v>24.0993332</v>
      </c>
      <c r="T50" s="21" t="b">
        <f t="shared" si="6"/>
        <v>1</v>
      </c>
      <c r="U50" s="21" t="b">
        <f t="shared" si="7"/>
        <v>1</v>
      </c>
    </row>
    <row r="51" s="21" customFormat="1" ht="56.25" outlineLevel="1" spans="1:21">
      <c r="A51" s="53">
        <v>43</v>
      </c>
      <c r="B51" s="53" t="s">
        <v>399</v>
      </c>
      <c r="C51" s="53" t="s">
        <v>435</v>
      </c>
      <c r="D51" s="53" t="s">
        <v>144</v>
      </c>
      <c r="E51" s="53">
        <v>31.01</v>
      </c>
      <c r="F51" s="53">
        <f>F21</f>
        <v>3</v>
      </c>
      <c r="G51" s="55">
        <f t="shared" si="23"/>
        <v>3.248</v>
      </c>
      <c r="H51" s="56">
        <v>2.8</v>
      </c>
      <c r="I51" s="68">
        <f>I24</f>
        <v>0.16</v>
      </c>
      <c r="J51" s="69">
        <f>J24</f>
        <v>0.5</v>
      </c>
      <c r="K51" s="34">
        <f>(F51+G51+J51)*$K$5</f>
        <v>0.40488</v>
      </c>
      <c r="L51" s="34">
        <f>(F51+G51+J51+K51)*$L$5</f>
        <v>0.6437592</v>
      </c>
      <c r="M51" s="55">
        <f t="shared" si="24"/>
        <v>7.7966392</v>
      </c>
      <c r="N51" s="55"/>
      <c r="O51" s="55">
        <f t="shared" si="25"/>
        <v>241.773781592</v>
      </c>
      <c r="P51" s="53" t="str">
        <f>P47</f>
        <v>郑州三厂</v>
      </c>
      <c r="R51" s="21">
        <f t="shared" si="4"/>
        <v>241.773781592</v>
      </c>
      <c r="S51" s="21">
        <f t="shared" si="5"/>
        <v>7.7966392</v>
      </c>
      <c r="T51" s="21" t="b">
        <f t="shared" si="6"/>
        <v>1</v>
      </c>
      <c r="U51" s="21" t="b">
        <f t="shared" si="7"/>
        <v>1</v>
      </c>
    </row>
    <row r="52" s="21" customFormat="1" ht="56.25" outlineLevel="1" spans="1:21">
      <c r="A52" s="53">
        <v>44</v>
      </c>
      <c r="B52" s="53" t="s">
        <v>399</v>
      </c>
      <c r="C52" s="53" t="s">
        <v>436</v>
      </c>
      <c r="D52" s="53" t="s">
        <v>144</v>
      </c>
      <c r="E52" s="53">
        <v>89.12</v>
      </c>
      <c r="F52" s="53">
        <f>F21</f>
        <v>3</v>
      </c>
      <c r="G52" s="55">
        <f t="shared" si="23"/>
        <v>3.248</v>
      </c>
      <c r="H52" s="58">
        <f t="shared" ref="H52:J52" si="31">H51</f>
        <v>2.8</v>
      </c>
      <c r="I52" s="68">
        <f t="shared" si="31"/>
        <v>0.16</v>
      </c>
      <c r="J52" s="69">
        <f t="shared" si="31"/>
        <v>0.5</v>
      </c>
      <c r="K52" s="34">
        <f>(F52+G52+J52)*$K$5</f>
        <v>0.40488</v>
      </c>
      <c r="L52" s="34">
        <f>(F52+G52+J52+K52)*$L$5</f>
        <v>0.6437592</v>
      </c>
      <c r="M52" s="55">
        <f t="shared" si="24"/>
        <v>7.7966392</v>
      </c>
      <c r="N52" s="55"/>
      <c r="O52" s="55">
        <f t="shared" si="25"/>
        <v>694.836485504</v>
      </c>
      <c r="P52" s="53" t="str">
        <f>P51</f>
        <v>郑州三厂</v>
      </c>
      <c r="R52" s="21">
        <f t="shared" si="4"/>
        <v>694.836485504</v>
      </c>
      <c r="S52" s="21">
        <f t="shared" si="5"/>
        <v>7.7966392</v>
      </c>
      <c r="T52" s="21" t="b">
        <f t="shared" si="6"/>
        <v>1</v>
      </c>
      <c r="U52" s="21" t="b">
        <f t="shared" si="7"/>
        <v>1</v>
      </c>
    </row>
    <row r="53" s="21" customFormat="1" ht="56.25" outlineLevel="1" spans="1:21">
      <c r="A53" s="53">
        <v>45</v>
      </c>
      <c r="B53" s="53" t="s">
        <v>399</v>
      </c>
      <c r="C53" s="53" t="s">
        <v>437</v>
      </c>
      <c r="D53" s="53" t="s">
        <v>144</v>
      </c>
      <c r="E53" s="53">
        <v>3.42</v>
      </c>
      <c r="F53" s="53">
        <f>F21</f>
        <v>3</v>
      </c>
      <c r="G53" s="55">
        <f t="shared" si="23"/>
        <v>2.436</v>
      </c>
      <c r="H53" s="56">
        <v>2.1</v>
      </c>
      <c r="I53" s="68">
        <f t="shared" ref="I53:I59" si="32">I52</f>
        <v>0.16</v>
      </c>
      <c r="J53" s="69">
        <f t="shared" ref="J53:J59" si="33">J52</f>
        <v>0.5</v>
      </c>
      <c r="K53" s="34">
        <f>(F53+G53+J53)*$K$5</f>
        <v>0.35616</v>
      </c>
      <c r="L53" s="34">
        <f>(F53+G53+J53+K53)*$L$5</f>
        <v>0.5662944</v>
      </c>
      <c r="M53" s="55">
        <f t="shared" si="24"/>
        <v>6.8584544</v>
      </c>
      <c r="N53" s="55"/>
      <c r="O53" s="55">
        <f t="shared" si="25"/>
        <v>23.455914048</v>
      </c>
      <c r="P53" s="53" t="str">
        <f>P51</f>
        <v>郑州三厂</v>
      </c>
      <c r="R53" s="21">
        <f t="shared" si="4"/>
        <v>23.455914048</v>
      </c>
      <c r="S53" s="21">
        <f t="shared" si="5"/>
        <v>6.8584544</v>
      </c>
      <c r="T53" s="21" t="b">
        <f t="shared" si="6"/>
        <v>1</v>
      </c>
      <c r="U53" s="21" t="b">
        <f t="shared" si="7"/>
        <v>1</v>
      </c>
    </row>
    <row r="54" s="21" customFormat="1" ht="56.25" outlineLevel="1" spans="1:21">
      <c r="A54" s="53">
        <v>46</v>
      </c>
      <c r="B54" s="53" t="s">
        <v>399</v>
      </c>
      <c r="C54" s="53" t="s">
        <v>438</v>
      </c>
      <c r="D54" s="53" t="s">
        <v>144</v>
      </c>
      <c r="E54" s="53">
        <v>109.58</v>
      </c>
      <c r="F54" s="53">
        <f>F21</f>
        <v>3</v>
      </c>
      <c r="G54" s="55">
        <f t="shared" si="23"/>
        <v>4.06</v>
      </c>
      <c r="H54" s="56">
        <v>3.5</v>
      </c>
      <c r="I54" s="68">
        <f t="shared" si="32"/>
        <v>0.16</v>
      </c>
      <c r="J54" s="69">
        <f t="shared" si="33"/>
        <v>0.5</v>
      </c>
      <c r="K54" s="34">
        <f>(F54+G54+J54)*$K$5</f>
        <v>0.4536</v>
      </c>
      <c r="L54" s="34">
        <f>(F54+G54+J54+K54)*$L$5</f>
        <v>0.721224</v>
      </c>
      <c r="M54" s="55">
        <f t="shared" si="24"/>
        <v>8.734824</v>
      </c>
      <c r="N54" s="55"/>
      <c r="O54" s="55">
        <f t="shared" si="25"/>
        <v>957.16201392</v>
      </c>
      <c r="P54" s="53" t="str">
        <f>P51</f>
        <v>郑州三厂</v>
      </c>
      <c r="R54" s="21">
        <f t="shared" si="4"/>
        <v>957.16201392</v>
      </c>
      <c r="S54" s="21">
        <f t="shared" si="5"/>
        <v>8.734824</v>
      </c>
      <c r="T54" s="21" t="b">
        <f t="shared" si="6"/>
        <v>1</v>
      </c>
      <c r="U54" s="21" t="b">
        <f t="shared" si="7"/>
        <v>1</v>
      </c>
    </row>
    <row r="55" s="21" customFormat="1" ht="56.25" outlineLevel="1" spans="1:21">
      <c r="A55" s="53">
        <v>47</v>
      </c>
      <c r="B55" s="53" t="s">
        <v>399</v>
      </c>
      <c r="C55" s="53" t="s">
        <v>439</v>
      </c>
      <c r="D55" s="53" t="s">
        <v>144</v>
      </c>
      <c r="E55" s="53">
        <v>49.9</v>
      </c>
      <c r="F55" s="53">
        <f>F21</f>
        <v>3</v>
      </c>
      <c r="G55" s="55">
        <f t="shared" si="23"/>
        <v>5.22</v>
      </c>
      <c r="H55" s="56">
        <v>4.5</v>
      </c>
      <c r="I55" s="68">
        <f>I53</f>
        <v>0.16</v>
      </c>
      <c r="J55" s="69">
        <f>J53</f>
        <v>0.5</v>
      </c>
      <c r="K55" s="34">
        <f>(F55+G55+J55)*$K$5</f>
        <v>0.5232</v>
      </c>
      <c r="L55" s="34">
        <f>(F55+G55+J55+K55)*$L$5</f>
        <v>0.831888</v>
      </c>
      <c r="M55" s="55">
        <f t="shared" si="24"/>
        <v>10.075088</v>
      </c>
      <c r="N55" s="55"/>
      <c r="O55" s="55">
        <f t="shared" si="25"/>
        <v>502.7468912</v>
      </c>
      <c r="P55" s="53" t="str">
        <f>P53</f>
        <v>郑州三厂</v>
      </c>
      <c r="R55" s="21">
        <f t="shared" si="4"/>
        <v>502.7468912</v>
      </c>
      <c r="S55" s="21">
        <f t="shared" si="5"/>
        <v>10.075088</v>
      </c>
      <c r="T55" s="21" t="b">
        <f t="shared" si="6"/>
        <v>1</v>
      </c>
      <c r="U55" s="21" t="b">
        <f t="shared" si="7"/>
        <v>1</v>
      </c>
    </row>
    <row r="56" s="21" customFormat="1" ht="56.25" outlineLevel="1" spans="1:21">
      <c r="A56" s="53">
        <v>48</v>
      </c>
      <c r="B56" s="53" t="s">
        <v>399</v>
      </c>
      <c r="C56" s="53" t="s">
        <v>440</v>
      </c>
      <c r="D56" s="53" t="s">
        <v>144</v>
      </c>
      <c r="E56" s="53">
        <v>2.15</v>
      </c>
      <c r="F56" s="53">
        <f>F21</f>
        <v>3</v>
      </c>
      <c r="G56" s="55">
        <f t="shared" si="23"/>
        <v>3.712</v>
      </c>
      <c r="H56" s="58">
        <v>3.2</v>
      </c>
      <c r="I56" s="68">
        <f>I53</f>
        <v>0.16</v>
      </c>
      <c r="J56" s="69">
        <f>J53</f>
        <v>0.5</v>
      </c>
      <c r="K56" s="34">
        <f>(F56+G56+J56)*$K$5</f>
        <v>0.43272</v>
      </c>
      <c r="L56" s="34">
        <f>(F56+G56+J56+K56)*$L$5</f>
        <v>0.6880248</v>
      </c>
      <c r="M56" s="55">
        <f t="shared" si="24"/>
        <v>8.3327448</v>
      </c>
      <c r="N56" s="55"/>
      <c r="O56" s="55">
        <f t="shared" si="25"/>
        <v>17.91540132</v>
      </c>
      <c r="P56" s="53" t="str">
        <f>P55</f>
        <v>郑州三厂</v>
      </c>
      <c r="R56" s="21">
        <f t="shared" si="4"/>
        <v>17.91540132</v>
      </c>
      <c r="S56" s="21">
        <f t="shared" si="5"/>
        <v>8.3327448</v>
      </c>
      <c r="T56" s="21" t="b">
        <f t="shared" si="6"/>
        <v>1</v>
      </c>
      <c r="U56" s="21" t="b">
        <f t="shared" si="7"/>
        <v>1</v>
      </c>
    </row>
    <row r="57" s="21" customFormat="1" ht="56.25" outlineLevel="1" spans="1:21">
      <c r="A57" s="53">
        <v>49</v>
      </c>
      <c r="B57" s="53" t="s">
        <v>399</v>
      </c>
      <c r="C57" s="53" t="s">
        <v>441</v>
      </c>
      <c r="D57" s="53" t="s">
        <v>144</v>
      </c>
      <c r="E57" s="53">
        <v>3.43</v>
      </c>
      <c r="F57" s="53">
        <f>F21</f>
        <v>3</v>
      </c>
      <c r="G57" s="55">
        <f t="shared" si="23"/>
        <v>3.248</v>
      </c>
      <c r="H57" s="58">
        <v>2.8</v>
      </c>
      <c r="I57" s="68">
        <f>I53</f>
        <v>0.16</v>
      </c>
      <c r="J57" s="69">
        <f>J53</f>
        <v>0.5</v>
      </c>
      <c r="K57" s="34">
        <f>(F57+G57+J57)*$K$5</f>
        <v>0.40488</v>
      </c>
      <c r="L57" s="34">
        <f>(F57+G57+J57+K57)*$L$5</f>
        <v>0.6437592</v>
      </c>
      <c r="M57" s="55">
        <f t="shared" si="24"/>
        <v>7.7966392</v>
      </c>
      <c r="N57" s="55"/>
      <c r="O57" s="55">
        <f t="shared" si="25"/>
        <v>26.742472456</v>
      </c>
      <c r="P57" s="53" t="str">
        <f>P55</f>
        <v>郑州三厂</v>
      </c>
      <c r="R57" s="21">
        <f t="shared" si="4"/>
        <v>26.742472456</v>
      </c>
      <c r="S57" s="21">
        <f t="shared" si="5"/>
        <v>7.7966392</v>
      </c>
      <c r="T57" s="21" t="b">
        <f t="shared" si="6"/>
        <v>1</v>
      </c>
      <c r="U57" s="21" t="b">
        <f t="shared" si="7"/>
        <v>1</v>
      </c>
    </row>
    <row r="58" s="21" customFormat="1" ht="56.25" outlineLevel="1" spans="1:21">
      <c r="A58" s="53">
        <v>50</v>
      </c>
      <c r="B58" s="53" t="s">
        <v>442</v>
      </c>
      <c r="C58" s="53" t="s">
        <v>443</v>
      </c>
      <c r="D58" s="53" t="s">
        <v>144</v>
      </c>
      <c r="E58" s="53">
        <v>188.97</v>
      </c>
      <c r="F58" s="53">
        <f>F57</f>
        <v>3</v>
      </c>
      <c r="G58" s="55">
        <f t="shared" si="23"/>
        <v>4.06</v>
      </c>
      <c r="H58" s="56">
        <v>3.5</v>
      </c>
      <c r="I58" s="68">
        <f t="shared" si="32"/>
        <v>0.16</v>
      </c>
      <c r="J58" s="69">
        <f t="shared" si="33"/>
        <v>0.5</v>
      </c>
      <c r="K58" s="34">
        <f>(F58+G58+J58)*$K$5</f>
        <v>0.4536</v>
      </c>
      <c r="L58" s="34">
        <f>(F58+G58+J58+K58)*$L$5</f>
        <v>0.721224</v>
      </c>
      <c r="M58" s="55">
        <f t="shared" si="24"/>
        <v>8.734824</v>
      </c>
      <c r="N58" s="55"/>
      <c r="O58" s="55">
        <f t="shared" si="25"/>
        <v>1650.61969128</v>
      </c>
      <c r="P58" s="53" t="str">
        <f>P55</f>
        <v>郑州三厂</v>
      </c>
      <c r="R58" s="21">
        <f t="shared" si="4"/>
        <v>1650.61969128</v>
      </c>
      <c r="S58" s="21">
        <f t="shared" si="5"/>
        <v>8.734824</v>
      </c>
      <c r="T58" s="21" t="b">
        <f t="shared" si="6"/>
        <v>1</v>
      </c>
      <c r="U58" s="21" t="b">
        <f t="shared" si="7"/>
        <v>1</v>
      </c>
    </row>
    <row r="59" s="21" customFormat="1" ht="56.25" outlineLevel="1" spans="1:21">
      <c r="A59" s="53">
        <v>51</v>
      </c>
      <c r="B59" s="53" t="s">
        <v>442</v>
      </c>
      <c r="C59" s="53" t="s">
        <v>444</v>
      </c>
      <c r="D59" s="53" t="s">
        <v>144</v>
      </c>
      <c r="E59" s="53">
        <v>1227.09</v>
      </c>
      <c r="F59" s="53">
        <f>F58</f>
        <v>3</v>
      </c>
      <c r="G59" s="55">
        <f t="shared" si="23"/>
        <v>4.06</v>
      </c>
      <c r="H59" s="58">
        <v>3.5</v>
      </c>
      <c r="I59" s="68">
        <f t="shared" si="32"/>
        <v>0.16</v>
      </c>
      <c r="J59" s="69">
        <f t="shared" si="33"/>
        <v>0.5</v>
      </c>
      <c r="K59" s="34">
        <f>(F59+G59+J59)*$K$5</f>
        <v>0.4536</v>
      </c>
      <c r="L59" s="34">
        <f>(F59+G59+J59+K59)*$L$5</f>
        <v>0.721224</v>
      </c>
      <c r="M59" s="55">
        <f t="shared" si="24"/>
        <v>8.734824</v>
      </c>
      <c r="N59" s="55"/>
      <c r="O59" s="55">
        <f t="shared" si="25"/>
        <v>10718.41518216</v>
      </c>
      <c r="P59" s="53" t="str">
        <f>P56</f>
        <v>郑州三厂</v>
      </c>
      <c r="R59" s="21">
        <f t="shared" si="4"/>
        <v>10718.41518216</v>
      </c>
      <c r="S59" s="21">
        <f t="shared" si="5"/>
        <v>8.734824</v>
      </c>
      <c r="T59" s="21" t="b">
        <f t="shared" si="6"/>
        <v>1</v>
      </c>
      <c r="U59" s="21" t="b">
        <f t="shared" si="7"/>
        <v>1</v>
      </c>
    </row>
    <row r="60" s="21" customFormat="1" ht="45" outlineLevel="1" spans="1:21">
      <c r="A60" s="53">
        <v>52</v>
      </c>
      <c r="B60" s="53" t="s">
        <v>445</v>
      </c>
      <c r="C60" s="53" t="s">
        <v>446</v>
      </c>
      <c r="D60" s="53" t="s">
        <v>379</v>
      </c>
      <c r="E60" s="53">
        <v>1</v>
      </c>
      <c r="F60" s="54">
        <v>500</v>
      </c>
      <c r="G60" s="55">
        <f t="shared" si="23"/>
        <v>5555</v>
      </c>
      <c r="H60" s="56">
        <v>5500</v>
      </c>
      <c r="I60" s="66">
        <v>0.01</v>
      </c>
      <c r="J60" s="67">
        <v>50</v>
      </c>
      <c r="K60" s="34">
        <f>(F60+G60+J60)*$K$5</f>
        <v>366.3</v>
      </c>
      <c r="L60" s="34">
        <f>(F60+G60+J60+K60)*$L$5</f>
        <v>582.417</v>
      </c>
      <c r="M60" s="55">
        <f t="shared" si="24"/>
        <v>7053.717</v>
      </c>
      <c r="N60" s="55"/>
      <c r="O60" s="55">
        <f t="shared" si="25"/>
        <v>7053.717</v>
      </c>
      <c r="P60" s="53"/>
      <c r="R60" s="21">
        <f t="shared" si="4"/>
        <v>7053.717</v>
      </c>
      <c r="S60" s="21">
        <f t="shared" si="5"/>
        <v>7053.717</v>
      </c>
      <c r="T60" s="21" t="b">
        <f t="shared" si="6"/>
        <v>1</v>
      </c>
      <c r="U60" s="21" t="b">
        <f t="shared" si="7"/>
        <v>1</v>
      </c>
    </row>
    <row r="61" s="21" customFormat="1" ht="45" outlineLevel="1" spans="1:21">
      <c r="A61" s="53">
        <v>53</v>
      </c>
      <c r="B61" s="53" t="s">
        <v>447</v>
      </c>
      <c r="C61" s="53" t="s">
        <v>448</v>
      </c>
      <c r="D61" s="53" t="s">
        <v>379</v>
      </c>
      <c r="E61" s="53">
        <v>1</v>
      </c>
      <c r="F61" s="54">
        <v>2000</v>
      </c>
      <c r="G61" s="55">
        <f t="shared" si="23"/>
        <v>15150</v>
      </c>
      <c r="H61" s="56">
        <v>15000</v>
      </c>
      <c r="I61" s="66">
        <v>0.01</v>
      </c>
      <c r="J61" s="67">
        <v>85</v>
      </c>
      <c r="K61" s="34">
        <f>(F61+G61+J61)*$K$5</f>
        <v>1034.1</v>
      </c>
      <c r="L61" s="34">
        <f>(F61+G61+J61+K61)*$L$5</f>
        <v>1644.219</v>
      </c>
      <c r="M61" s="55">
        <f t="shared" si="24"/>
        <v>19913.319</v>
      </c>
      <c r="N61" s="55"/>
      <c r="O61" s="55">
        <f t="shared" si="25"/>
        <v>19913.319</v>
      </c>
      <c r="P61" s="53"/>
      <c r="R61" s="21">
        <f t="shared" si="4"/>
        <v>19913.319</v>
      </c>
      <c r="S61" s="21">
        <f t="shared" si="5"/>
        <v>19913.319</v>
      </c>
      <c r="T61" s="21" t="b">
        <f t="shared" si="6"/>
        <v>1</v>
      </c>
      <c r="U61" s="21" t="b">
        <f t="shared" si="7"/>
        <v>1</v>
      </c>
    </row>
    <row r="62" s="21" customFormat="1" ht="56.25" outlineLevel="1" spans="1:21">
      <c r="A62" s="53">
        <v>54</v>
      </c>
      <c r="B62" s="53" t="s">
        <v>449</v>
      </c>
      <c r="C62" s="53" t="s">
        <v>450</v>
      </c>
      <c r="D62" s="53" t="s">
        <v>379</v>
      </c>
      <c r="E62" s="53">
        <v>9</v>
      </c>
      <c r="F62" s="54">
        <v>35</v>
      </c>
      <c r="G62" s="55">
        <f t="shared" si="23"/>
        <v>166.65</v>
      </c>
      <c r="H62" s="56">
        <v>165</v>
      </c>
      <c r="I62" s="66">
        <v>0.01</v>
      </c>
      <c r="J62" s="67">
        <v>5</v>
      </c>
      <c r="K62" s="34">
        <f>(F62+G62+J62)*$K$5</f>
        <v>12.399</v>
      </c>
      <c r="L62" s="34">
        <f>(F62+G62+J62+K62)*$L$5</f>
        <v>19.71441</v>
      </c>
      <c r="M62" s="55">
        <f t="shared" si="24"/>
        <v>238.76341</v>
      </c>
      <c r="N62" s="55"/>
      <c r="O62" s="55">
        <f t="shared" si="25"/>
        <v>2148.87069</v>
      </c>
      <c r="P62" s="53"/>
      <c r="R62" s="21">
        <f t="shared" si="4"/>
        <v>2148.87069</v>
      </c>
      <c r="S62" s="21">
        <f t="shared" si="5"/>
        <v>238.76341</v>
      </c>
      <c r="T62" s="21" t="b">
        <f t="shared" si="6"/>
        <v>1</v>
      </c>
      <c r="U62" s="21" t="b">
        <f t="shared" si="7"/>
        <v>1</v>
      </c>
    </row>
    <row r="63" s="21" customFormat="1" ht="45" outlineLevel="1" spans="1:21">
      <c r="A63" s="53">
        <v>55</v>
      </c>
      <c r="B63" s="53" t="s">
        <v>449</v>
      </c>
      <c r="C63" s="53" t="s">
        <v>451</v>
      </c>
      <c r="D63" s="53" t="s">
        <v>379</v>
      </c>
      <c r="E63" s="53">
        <v>1</v>
      </c>
      <c r="F63" s="54">
        <v>50</v>
      </c>
      <c r="G63" s="55">
        <f t="shared" si="23"/>
        <v>505</v>
      </c>
      <c r="H63" s="56">
        <v>500</v>
      </c>
      <c r="I63" s="66">
        <v>0.01</v>
      </c>
      <c r="J63" s="67">
        <v>5</v>
      </c>
      <c r="K63" s="34">
        <f>(F63+G63+J63)*$K$5</f>
        <v>33.6</v>
      </c>
      <c r="L63" s="34">
        <f>(F63+G63+J63+K63)*$L$5</f>
        <v>53.424</v>
      </c>
      <c r="M63" s="55">
        <f t="shared" si="24"/>
        <v>647.024</v>
      </c>
      <c r="N63" s="55"/>
      <c r="O63" s="55">
        <f t="shared" si="25"/>
        <v>647.024</v>
      </c>
      <c r="P63" s="53"/>
      <c r="R63" s="21">
        <f t="shared" si="4"/>
        <v>647.024</v>
      </c>
      <c r="S63" s="21">
        <f t="shared" si="5"/>
        <v>647.024</v>
      </c>
      <c r="T63" s="21" t="b">
        <f t="shared" si="6"/>
        <v>1</v>
      </c>
      <c r="U63" s="21" t="b">
        <f t="shared" si="7"/>
        <v>1</v>
      </c>
    </row>
    <row r="64" s="21" customFormat="1" ht="45" outlineLevel="1" spans="1:21">
      <c r="A64" s="53">
        <v>56</v>
      </c>
      <c r="B64" s="53" t="s">
        <v>452</v>
      </c>
      <c r="C64" s="53" t="s">
        <v>453</v>
      </c>
      <c r="D64" s="53" t="s">
        <v>138</v>
      </c>
      <c r="E64" s="53">
        <v>1</v>
      </c>
      <c r="F64" s="53">
        <f t="shared" ref="F64:J64" si="34">F37</f>
        <v>15</v>
      </c>
      <c r="G64" s="55">
        <f t="shared" si="23"/>
        <v>45.45</v>
      </c>
      <c r="H64" s="56">
        <v>45</v>
      </c>
      <c r="I64" s="68">
        <f t="shared" si="34"/>
        <v>0.01</v>
      </c>
      <c r="J64" s="69">
        <f t="shared" si="34"/>
        <v>5</v>
      </c>
      <c r="K64" s="34">
        <f>(F64+G64+J64)*$K$5</f>
        <v>3.927</v>
      </c>
      <c r="L64" s="34">
        <f>(F64+G64+J64+K64)*$L$5</f>
        <v>6.24393</v>
      </c>
      <c r="M64" s="55">
        <f t="shared" si="24"/>
        <v>75.62093</v>
      </c>
      <c r="N64" s="55"/>
      <c r="O64" s="55">
        <f t="shared" si="25"/>
        <v>75.62093</v>
      </c>
      <c r="P64" s="53"/>
      <c r="R64" s="21">
        <f t="shared" si="4"/>
        <v>75.62093</v>
      </c>
      <c r="S64" s="21">
        <f t="shared" si="5"/>
        <v>75.62093</v>
      </c>
      <c r="T64" s="21" t="b">
        <f t="shared" si="6"/>
        <v>1</v>
      </c>
      <c r="U64" s="21" t="b">
        <f t="shared" si="7"/>
        <v>1</v>
      </c>
    </row>
    <row r="65" s="21" customFormat="1" ht="56.25" outlineLevel="1" spans="1:21">
      <c r="A65" s="53">
        <v>57</v>
      </c>
      <c r="B65" s="53" t="s">
        <v>452</v>
      </c>
      <c r="C65" s="53" t="s">
        <v>454</v>
      </c>
      <c r="D65" s="53" t="s">
        <v>138</v>
      </c>
      <c r="E65" s="53">
        <v>3</v>
      </c>
      <c r="F65" s="53">
        <f t="shared" ref="F65:J65" si="35">F37</f>
        <v>15</v>
      </c>
      <c r="G65" s="55">
        <f t="shared" si="23"/>
        <v>161.6</v>
      </c>
      <c r="H65" s="56">
        <v>160</v>
      </c>
      <c r="I65" s="68">
        <f t="shared" si="35"/>
        <v>0.01</v>
      </c>
      <c r="J65" s="69">
        <f t="shared" si="35"/>
        <v>5</v>
      </c>
      <c r="K65" s="34">
        <f>(F65+G65+J65)*$K$5</f>
        <v>10.896</v>
      </c>
      <c r="L65" s="34">
        <f>(F65+G65+J65+K65)*$L$5</f>
        <v>17.32464</v>
      </c>
      <c r="M65" s="55">
        <f t="shared" si="24"/>
        <v>209.82064</v>
      </c>
      <c r="N65" s="55"/>
      <c r="O65" s="55">
        <f t="shared" si="25"/>
        <v>629.46192</v>
      </c>
      <c r="P65" s="53"/>
      <c r="R65" s="21">
        <f t="shared" si="4"/>
        <v>629.46192</v>
      </c>
      <c r="S65" s="21">
        <f t="shared" si="5"/>
        <v>209.82064</v>
      </c>
      <c r="T65" s="21" t="b">
        <f t="shared" si="6"/>
        <v>1</v>
      </c>
      <c r="U65" s="21" t="b">
        <f t="shared" si="7"/>
        <v>1</v>
      </c>
    </row>
    <row r="66" s="21" customFormat="1" ht="45" outlineLevel="1" spans="1:21">
      <c r="A66" s="53">
        <v>58</v>
      </c>
      <c r="B66" s="53" t="s">
        <v>455</v>
      </c>
      <c r="C66" s="53" t="s">
        <v>456</v>
      </c>
      <c r="D66" s="53" t="s">
        <v>138</v>
      </c>
      <c r="E66" s="53">
        <v>11</v>
      </c>
      <c r="F66" s="53">
        <f t="shared" ref="F66:J66" si="36">F37</f>
        <v>15</v>
      </c>
      <c r="G66" s="55">
        <f t="shared" si="23"/>
        <v>75.75</v>
      </c>
      <c r="H66" s="56">
        <v>75</v>
      </c>
      <c r="I66" s="68">
        <f t="shared" si="36"/>
        <v>0.01</v>
      </c>
      <c r="J66" s="69">
        <f t="shared" si="36"/>
        <v>5</v>
      </c>
      <c r="K66" s="34">
        <f>(F66+G66+J66)*$K$5</f>
        <v>5.745</v>
      </c>
      <c r="L66" s="34">
        <f>(F66+G66+J66+K66)*$L$5</f>
        <v>9.13455</v>
      </c>
      <c r="M66" s="55">
        <f t="shared" si="24"/>
        <v>110.62955</v>
      </c>
      <c r="N66" s="55"/>
      <c r="O66" s="55">
        <f t="shared" si="25"/>
        <v>1216.92505</v>
      </c>
      <c r="P66" s="53"/>
      <c r="R66" s="21">
        <f t="shared" si="4"/>
        <v>1216.92505</v>
      </c>
      <c r="S66" s="21">
        <f t="shared" si="5"/>
        <v>110.62955</v>
      </c>
      <c r="T66" s="21" t="b">
        <f t="shared" si="6"/>
        <v>1</v>
      </c>
      <c r="U66" s="21" t="b">
        <f t="shared" si="7"/>
        <v>1</v>
      </c>
    </row>
    <row r="67" s="21" customFormat="1" ht="45" outlineLevel="1" spans="1:21">
      <c r="A67" s="53">
        <v>59</v>
      </c>
      <c r="B67" s="53" t="s">
        <v>457</v>
      </c>
      <c r="C67" s="53" t="s">
        <v>458</v>
      </c>
      <c r="D67" s="53" t="s">
        <v>379</v>
      </c>
      <c r="E67" s="53">
        <v>10</v>
      </c>
      <c r="F67" s="54">
        <v>65</v>
      </c>
      <c r="G67" s="55">
        <f t="shared" si="23"/>
        <v>484.8</v>
      </c>
      <c r="H67" s="56">
        <v>480</v>
      </c>
      <c r="I67" s="66">
        <v>0.01</v>
      </c>
      <c r="J67" s="67">
        <v>15</v>
      </c>
      <c r="K67" s="34">
        <f>(F67+G67+J67)*$K$5</f>
        <v>33.888</v>
      </c>
      <c r="L67" s="34">
        <f>(F67+G67+J67+K67)*$L$5</f>
        <v>53.88192</v>
      </c>
      <c r="M67" s="55">
        <f t="shared" si="24"/>
        <v>652.56992</v>
      </c>
      <c r="N67" s="55"/>
      <c r="O67" s="55">
        <f t="shared" si="25"/>
        <v>6525.6992</v>
      </c>
      <c r="P67" s="53"/>
      <c r="R67" s="21">
        <f t="shared" si="4"/>
        <v>6525.6992</v>
      </c>
      <c r="S67" s="21">
        <f t="shared" si="5"/>
        <v>652.56992</v>
      </c>
      <c r="T67" s="21" t="b">
        <f t="shared" si="6"/>
        <v>1</v>
      </c>
      <c r="U67" s="21" t="b">
        <f t="shared" si="7"/>
        <v>1</v>
      </c>
    </row>
    <row r="68" s="21" customFormat="1" ht="45" outlineLevel="1" spans="1:21">
      <c r="A68" s="53">
        <v>60</v>
      </c>
      <c r="B68" s="53" t="s">
        <v>459</v>
      </c>
      <c r="C68" s="53" t="s">
        <v>460</v>
      </c>
      <c r="D68" s="53" t="s">
        <v>379</v>
      </c>
      <c r="E68" s="53">
        <v>7</v>
      </c>
      <c r="F68" s="54">
        <v>30</v>
      </c>
      <c r="G68" s="55">
        <f t="shared" si="23"/>
        <v>186.85</v>
      </c>
      <c r="H68" s="56">
        <v>185</v>
      </c>
      <c r="I68" s="66">
        <v>0.01</v>
      </c>
      <c r="J68" s="67">
        <v>5</v>
      </c>
      <c r="K68" s="34">
        <f>(F68+G68+J68)*$K$5</f>
        <v>13.311</v>
      </c>
      <c r="L68" s="34">
        <f>(F68+G68+J68+K68)*$L$5</f>
        <v>21.16449</v>
      </c>
      <c r="M68" s="55">
        <f t="shared" si="24"/>
        <v>256.32549</v>
      </c>
      <c r="N68" s="55"/>
      <c r="O68" s="55">
        <f t="shared" si="25"/>
        <v>1794.27843</v>
      </c>
      <c r="P68" s="53"/>
      <c r="R68" s="21">
        <f t="shared" si="4"/>
        <v>1794.27843</v>
      </c>
      <c r="S68" s="21">
        <f t="shared" si="5"/>
        <v>256.32549</v>
      </c>
      <c r="T68" s="21" t="b">
        <f t="shared" si="6"/>
        <v>1</v>
      </c>
      <c r="U68" s="21" t="b">
        <f t="shared" si="7"/>
        <v>1</v>
      </c>
    </row>
    <row r="69" s="21" customFormat="1" ht="33.75" outlineLevel="1" spans="1:21">
      <c r="A69" s="53">
        <v>61</v>
      </c>
      <c r="B69" s="53" t="s">
        <v>461</v>
      </c>
      <c r="C69" s="53" t="s">
        <v>462</v>
      </c>
      <c r="D69" s="53" t="s">
        <v>379</v>
      </c>
      <c r="E69" s="53">
        <v>1</v>
      </c>
      <c r="F69" s="54">
        <v>65</v>
      </c>
      <c r="G69" s="55">
        <f t="shared" si="23"/>
        <v>656.5</v>
      </c>
      <c r="H69" s="56">
        <v>650</v>
      </c>
      <c r="I69" s="66">
        <v>0.01</v>
      </c>
      <c r="J69" s="67">
        <v>15</v>
      </c>
      <c r="K69" s="34">
        <f>(F69+G69+J69)*$K$5</f>
        <v>44.19</v>
      </c>
      <c r="L69" s="34">
        <f>(F69+G69+J69+K69)*$L$5</f>
        <v>70.2621</v>
      </c>
      <c r="M69" s="55">
        <f t="shared" si="24"/>
        <v>850.9521</v>
      </c>
      <c r="N69" s="55"/>
      <c r="O69" s="55">
        <f t="shared" si="25"/>
        <v>850.9521</v>
      </c>
      <c r="P69" s="53"/>
      <c r="R69" s="21">
        <f t="shared" si="4"/>
        <v>850.9521</v>
      </c>
      <c r="S69" s="21">
        <f t="shared" si="5"/>
        <v>850.9521</v>
      </c>
      <c r="T69" s="21" t="b">
        <f t="shared" si="6"/>
        <v>1</v>
      </c>
      <c r="U69" s="21" t="b">
        <f t="shared" si="7"/>
        <v>1</v>
      </c>
    </row>
    <row r="70" s="21" customFormat="1" ht="33.75" outlineLevel="1" spans="1:21">
      <c r="A70" s="53">
        <v>62</v>
      </c>
      <c r="B70" s="53" t="s">
        <v>461</v>
      </c>
      <c r="C70" s="53" t="s">
        <v>463</v>
      </c>
      <c r="D70" s="53" t="s">
        <v>379</v>
      </c>
      <c r="E70" s="53">
        <v>1</v>
      </c>
      <c r="F70" s="54">
        <v>10</v>
      </c>
      <c r="G70" s="55">
        <f t="shared" si="23"/>
        <v>166.65</v>
      </c>
      <c r="H70" s="56">
        <v>165</v>
      </c>
      <c r="I70" s="66">
        <v>0.01</v>
      </c>
      <c r="J70" s="67">
        <v>5</v>
      </c>
      <c r="K70" s="34">
        <f>(F70+G70+J70)*$K$5</f>
        <v>10.899</v>
      </c>
      <c r="L70" s="34">
        <f>(F70+G70+J70+K70)*$L$5</f>
        <v>17.32941</v>
      </c>
      <c r="M70" s="55">
        <f t="shared" si="24"/>
        <v>209.87841</v>
      </c>
      <c r="N70" s="55"/>
      <c r="O70" s="55">
        <f t="shared" si="25"/>
        <v>209.87841</v>
      </c>
      <c r="P70" s="53"/>
      <c r="R70" s="21">
        <f t="shared" si="4"/>
        <v>209.87841</v>
      </c>
      <c r="S70" s="21">
        <f t="shared" si="5"/>
        <v>209.87841</v>
      </c>
      <c r="T70" s="21" t="b">
        <f t="shared" si="6"/>
        <v>1</v>
      </c>
      <c r="U70" s="21" t="b">
        <f t="shared" si="7"/>
        <v>1</v>
      </c>
    </row>
    <row r="71" s="21" customFormat="1" ht="22.5" outlineLevel="1" spans="1:21">
      <c r="A71" s="53">
        <v>63</v>
      </c>
      <c r="B71" s="53" t="s">
        <v>464</v>
      </c>
      <c r="C71" s="53" t="s">
        <v>465</v>
      </c>
      <c r="D71" s="53" t="s">
        <v>379</v>
      </c>
      <c r="E71" s="53">
        <v>1</v>
      </c>
      <c r="F71" s="54">
        <v>200</v>
      </c>
      <c r="G71" s="55">
        <f t="shared" si="23"/>
        <v>2020</v>
      </c>
      <c r="H71" s="56">
        <v>2000</v>
      </c>
      <c r="I71" s="66">
        <v>0.01</v>
      </c>
      <c r="J71" s="67">
        <v>15</v>
      </c>
      <c r="K71" s="34">
        <f>(F71+G71+J71)*$K$5</f>
        <v>134.1</v>
      </c>
      <c r="L71" s="34">
        <f>(F71+G71+J71+K71)*$L$5</f>
        <v>213.219</v>
      </c>
      <c r="M71" s="55">
        <f t="shared" si="24"/>
        <v>2582.319</v>
      </c>
      <c r="N71" s="55"/>
      <c r="O71" s="55">
        <f t="shared" si="25"/>
        <v>2582.319</v>
      </c>
      <c r="P71" s="53"/>
      <c r="R71" s="21">
        <f t="shared" si="4"/>
        <v>2582.319</v>
      </c>
      <c r="S71" s="21">
        <f t="shared" si="5"/>
        <v>2582.319</v>
      </c>
      <c r="T71" s="21" t="b">
        <f t="shared" si="6"/>
        <v>1</v>
      </c>
      <c r="U71" s="21" t="b">
        <f t="shared" si="7"/>
        <v>1</v>
      </c>
    </row>
    <row r="72" s="21" customFormat="1" ht="33.75" outlineLevel="1" spans="1:21">
      <c r="A72" s="53">
        <v>64</v>
      </c>
      <c r="B72" s="53" t="s">
        <v>466</v>
      </c>
      <c r="C72" s="53" t="s">
        <v>467</v>
      </c>
      <c r="D72" s="53" t="s">
        <v>379</v>
      </c>
      <c r="E72" s="53">
        <v>1</v>
      </c>
      <c r="F72" s="54">
        <v>100</v>
      </c>
      <c r="G72" s="55">
        <f t="shared" si="23"/>
        <v>1515</v>
      </c>
      <c r="H72" s="56">
        <v>1500</v>
      </c>
      <c r="I72" s="66">
        <v>0.01</v>
      </c>
      <c r="J72" s="67">
        <v>15</v>
      </c>
      <c r="K72" s="34">
        <f>(F72+G72+J72)*$K$5</f>
        <v>97.8</v>
      </c>
      <c r="L72" s="34">
        <f>(F72+G72+J72+K72)*$L$5</f>
        <v>155.502</v>
      </c>
      <c r="M72" s="55">
        <f t="shared" si="24"/>
        <v>1883.302</v>
      </c>
      <c r="N72" s="55"/>
      <c r="O72" s="55">
        <f t="shared" si="25"/>
        <v>1883.302</v>
      </c>
      <c r="P72" s="53"/>
      <c r="R72" s="21">
        <f t="shared" si="4"/>
        <v>1883.302</v>
      </c>
      <c r="S72" s="21">
        <f t="shared" si="5"/>
        <v>1883.302</v>
      </c>
      <c r="T72" s="21" t="b">
        <f t="shared" si="6"/>
        <v>1</v>
      </c>
      <c r="U72" s="21" t="b">
        <f t="shared" si="7"/>
        <v>1</v>
      </c>
    </row>
    <row r="73" s="21" customFormat="1" ht="33.75" outlineLevel="1" spans="1:21">
      <c r="A73" s="53">
        <v>65</v>
      </c>
      <c r="B73" s="53" t="s">
        <v>426</v>
      </c>
      <c r="C73" s="53" t="s">
        <v>428</v>
      </c>
      <c r="D73" s="53" t="s">
        <v>138</v>
      </c>
      <c r="E73" s="53">
        <v>45</v>
      </c>
      <c r="F73" s="53">
        <f t="shared" ref="F73:J73" si="37">F40</f>
        <v>5</v>
      </c>
      <c r="G73" s="55">
        <f t="shared" si="23"/>
        <v>3.3128</v>
      </c>
      <c r="H73" s="58">
        <f t="shared" si="37"/>
        <v>3.28</v>
      </c>
      <c r="I73" s="68">
        <f t="shared" si="37"/>
        <v>0.01</v>
      </c>
      <c r="J73" s="69">
        <f t="shared" si="37"/>
        <v>2</v>
      </c>
      <c r="K73" s="34">
        <f>(F73+G73+J73)*$K$5</f>
        <v>0.618768</v>
      </c>
      <c r="L73" s="34">
        <f>(F73+G73+J73+K73)*$L$5</f>
        <v>0.98384112</v>
      </c>
      <c r="M73" s="55">
        <f t="shared" si="24"/>
        <v>11.91540912</v>
      </c>
      <c r="N73" s="55"/>
      <c r="O73" s="55">
        <f t="shared" si="25"/>
        <v>536.1934104</v>
      </c>
      <c r="P73" s="53"/>
      <c r="R73" s="21">
        <f t="shared" ref="R73:R136" si="38">E73*M73</f>
        <v>536.1934104</v>
      </c>
      <c r="S73" s="21">
        <f t="shared" ref="S73:S136" si="39">F73+G73+J73+K73+L73</f>
        <v>11.91540912</v>
      </c>
      <c r="T73" s="21" t="b">
        <f t="shared" ref="T73:T136" si="40">M73=S73</f>
        <v>1</v>
      </c>
      <c r="U73" s="21" t="b">
        <f t="shared" ref="U73:U136" si="41">R73=O73</f>
        <v>1</v>
      </c>
    </row>
    <row r="74" s="21" customFormat="1" spans="1:21">
      <c r="A74" s="53"/>
      <c r="B74" s="53" t="s">
        <v>468</v>
      </c>
      <c r="C74" s="53"/>
      <c r="D74" s="53"/>
      <c r="E74" s="53"/>
      <c r="F74" s="53"/>
      <c r="G74" s="55"/>
      <c r="H74" s="58"/>
      <c r="I74" s="68"/>
      <c r="J74" s="69"/>
      <c r="K74" s="34"/>
      <c r="L74" s="34"/>
      <c r="M74" s="55"/>
      <c r="N74" s="55"/>
      <c r="O74" s="55"/>
      <c r="P74" s="53"/>
      <c r="R74" s="21">
        <f t="shared" si="38"/>
        <v>0</v>
      </c>
      <c r="S74" s="21">
        <f t="shared" si="39"/>
        <v>0</v>
      </c>
      <c r="T74" s="21" t="b">
        <f t="shared" si="40"/>
        <v>1</v>
      </c>
      <c r="U74" s="21" t="b">
        <f t="shared" si="41"/>
        <v>1</v>
      </c>
    </row>
    <row r="75" s="21" customFormat="1" ht="78.75" outlineLevel="1" spans="1:21">
      <c r="A75" s="53">
        <v>66</v>
      </c>
      <c r="B75" s="53" t="s">
        <v>469</v>
      </c>
      <c r="C75" s="53" t="s">
        <v>470</v>
      </c>
      <c r="D75" s="53" t="s">
        <v>471</v>
      </c>
      <c r="E75" s="53">
        <v>4</v>
      </c>
      <c r="F75" s="54">
        <v>80</v>
      </c>
      <c r="G75" s="55">
        <f t="shared" ref="G75:G81" si="42">H75*(1+I75)</f>
        <v>1515</v>
      </c>
      <c r="H75" s="56">
        <v>1500</v>
      </c>
      <c r="I75" s="66">
        <v>0.01</v>
      </c>
      <c r="J75" s="67">
        <v>45</v>
      </c>
      <c r="K75" s="34">
        <f>(F75+G75+J75)*$K$5</f>
        <v>98.4</v>
      </c>
      <c r="L75" s="34">
        <f>(F75+G75+J75+K75)*$L$5</f>
        <v>156.456</v>
      </c>
      <c r="M75" s="55">
        <f t="shared" ref="M75:M81" si="43">F75+G75+J75+K75+L75</f>
        <v>1894.856</v>
      </c>
      <c r="N75" s="55"/>
      <c r="O75" s="55">
        <f t="shared" ref="O75:O81" si="44">M75*E75</f>
        <v>7579.424</v>
      </c>
      <c r="P75" s="53" t="s">
        <v>472</v>
      </c>
      <c r="R75" s="21">
        <f t="shared" si="38"/>
        <v>7579.424</v>
      </c>
      <c r="S75" s="21">
        <f t="shared" si="39"/>
        <v>1894.856</v>
      </c>
      <c r="T75" s="21" t="b">
        <f t="shared" si="40"/>
        <v>1</v>
      </c>
      <c r="U75" s="21" t="b">
        <f t="shared" si="41"/>
        <v>1</v>
      </c>
    </row>
    <row r="76" s="21" customFormat="1" ht="78.75" outlineLevel="1" spans="1:21">
      <c r="A76" s="53">
        <v>67</v>
      </c>
      <c r="B76" s="53" t="s">
        <v>473</v>
      </c>
      <c r="C76" s="53" t="s">
        <v>474</v>
      </c>
      <c r="D76" s="53" t="s">
        <v>471</v>
      </c>
      <c r="E76" s="53">
        <v>6</v>
      </c>
      <c r="F76" s="54">
        <v>80</v>
      </c>
      <c r="G76" s="55">
        <f t="shared" si="42"/>
        <v>858.5</v>
      </c>
      <c r="H76" s="56">
        <v>850</v>
      </c>
      <c r="I76" s="66">
        <v>0.01</v>
      </c>
      <c r="J76" s="67">
        <v>55</v>
      </c>
      <c r="K76" s="34">
        <f>(F76+G76+J76)*$K$5</f>
        <v>59.61</v>
      </c>
      <c r="L76" s="34">
        <f>(F76+G76+J76+K76)*$L$5</f>
        <v>94.7799</v>
      </c>
      <c r="M76" s="55">
        <f t="shared" si="43"/>
        <v>1147.8899</v>
      </c>
      <c r="N76" s="55"/>
      <c r="O76" s="55">
        <f t="shared" si="44"/>
        <v>6887.3394</v>
      </c>
      <c r="P76" s="53" t="s">
        <v>472</v>
      </c>
      <c r="R76" s="21">
        <f t="shared" si="38"/>
        <v>6887.3394</v>
      </c>
      <c r="S76" s="21">
        <f t="shared" si="39"/>
        <v>1147.8899</v>
      </c>
      <c r="T76" s="21" t="b">
        <f t="shared" si="40"/>
        <v>1</v>
      </c>
      <c r="U76" s="21" t="b">
        <f t="shared" si="41"/>
        <v>1</v>
      </c>
    </row>
    <row r="77" s="21" customFormat="1" ht="78.75" outlineLevel="1" spans="1:21">
      <c r="A77" s="53">
        <v>68</v>
      </c>
      <c r="B77" s="53" t="s">
        <v>475</v>
      </c>
      <c r="C77" s="53" t="s">
        <v>476</v>
      </c>
      <c r="D77" s="53" t="s">
        <v>471</v>
      </c>
      <c r="E77" s="53">
        <v>2</v>
      </c>
      <c r="F77" s="71">
        <f t="shared" ref="F77:J77" si="45">F76</f>
        <v>80</v>
      </c>
      <c r="G77" s="55">
        <f t="shared" si="42"/>
        <v>838.3</v>
      </c>
      <c r="H77" s="56">
        <v>830</v>
      </c>
      <c r="I77" s="68">
        <f t="shared" si="45"/>
        <v>0.01</v>
      </c>
      <c r="J77" s="76">
        <f t="shared" si="45"/>
        <v>55</v>
      </c>
      <c r="K77" s="34">
        <f>(F77+G77+J77)*$K$5</f>
        <v>58.398</v>
      </c>
      <c r="L77" s="34">
        <f>(F77+G77+J77+K77)*$L$5</f>
        <v>92.85282</v>
      </c>
      <c r="M77" s="55">
        <f t="shared" si="43"/>
        <v>1124.55082</v>
      </c>
      <c r="N77" s="55"/>
      <c r="O77" s="55">
        <f t="shared" si="44"/>
        <v>2249.10164</v>
      </c>
      <c r="P77" s="53" t="s">
        <v>472</v>
      </c>
      <c r="R77" s="21">
        <f t="shared" si="38"/>
        <v>2249.10164</v>
      </c>
      <c r="S77" s="21">
        <f t="shared" si="39"/>
        <v>1124.55082</v>
      </c>
      <c r="T77" s="21" t="b">
        <f t="shared" si="40"/>
        <v>1</v>
      </c>
      <c r="U77" s="21" t="b">
        <f t="shared" si="41"/>
        <v>1</v>
      </c>
    </row>
    <row r="78" s="21" customFormat="1" ht="78.75" outlineLevel="1" spans="1:21">
      <c r="A78" s="53">
        <v>69</v>
      </c>
      <c r="B78" s="53" t="s">
        <v>477</v>
      </c>
      <c r="C78" s="53" t="s">
        <v>478</v>
      </c>
      <c r="D78" s="53" t="s">
        <v>471</v>
      </c>
      <c r="E78" s="53">
        <v>1</v>
      </c>
      <c r="F78" s="54">
        <v>50</v>
      </c>
      <c r="G78" s="55">
        <f t="shared" si="42"/>
        <v>656.5</v>
      </c>
      <c r="H78" s="56">
        <v>650</v>
      </c>
      <c r="I78" s="66">
        <v>0.01</v>
      </c>
      <c r="J78" s="67">
        <v>35</v>
      </c>
      <c r="K78" s="34">
        <f>(F78+G78+J78)*$K$5</f>
        <v>44.49</v>
      </c>
      <c r="L78" s="34">
        <f>(F78+G78+J78+K78)*$L$5</f>
        <v>70.7391</v>
      </c>
      <c r="M78" s="55">
        <f t="shared" si="43"/>
        <v>856.7291</v>
      </c>
      <c r="N78" s="55"/>
      <c r="O78" s="55">
        <f t="shared" si="44"/>
        <v>856.7291</v>
      </c>
      <c r="P78" s="53"/>
      <c r="R78" s="21">
        <f t="shared" si="38"/>
        <v>856.7291</v>
      </c>
      <c r="S78" s="21">
        <f t="shared" si="39"/>
        <v>856.7291</v>
      </c>
      <c r="T78" s="21" t="b">
        <f t="shared" si="40"/>
        <v>1</v>
      </c>
      <c r="U78" s="21" t="b">
        <f t="shared" si="41"/>
        <v>1</v>
      </c>
    </row>
    <row r="79" s="21" customFormat="1" ht="22.5" outlineLevel="1" spans="1:21">
      <c r="A79" s="53">
        <v>70</v>
      </c>
      <c r="B79" s="53" t="s">
        <v>479</v>
      </c>
      <c r="C79" s="53" t="s">
        <v>480</v>
      </c>
      <c r="D79" s="53" t="s">
        <v>138</v>
      </c>
      <c r="E79" s="53">
        <v>4</v>
      </c>
      <c r="F79" s="54">
        <v>25</v>
      </c>
      <c r="G79" s="55">
        <f t="shared" si="42"/>
        <v>65.65</v>
      </c>
      <c r="H79" s="56">
        <v>65</v>
      </c>
      <c r="I79" s="66">
        <v>0.01</v>
      </c>
      <c r="J79" s="67">
        <v>5</v>
      </c>
      <c r="K79" s="34">
        <f>(F79+G79+J79)*$K$5</f>
        <v>5.739</v>
      </c>
      <c r="L79" s="34">
        <f>(F79+G79+J79+K79)*$L$5</f>
        <v>9.12501</v>
      </c>
      <c r="M79" s="55">
        <f t="shared" si="43"/>
        <v>110.51401</v>
      </c>
      <c r="N79" s="55"/>
      <c r="O79" s="55">
        <f t="shared" si="44"/>
        <v>442.05604</v>
      </c>
      <c r="P79" s="53"/>
      <c r="R79" s="21">
        <f t="shared" si="38"/>
        <v>442.05604</v>
      </c>
      <c r="S79" s="21">
        <f t="shared" si="39"/>
        <v>110.51401</v>
      </c>
      <c r="T79" s="21" t="b">
        <f t="shared" si="40"/>
        <v>1</v>
      </c>
      <c r="U79" s="21" t="b">
        <f t="shared" si="41"/>
        <v>1</v>
      </c>
    </row>
    <row r="80" s="21" customFormat="1" ht="22.5" outlineLevel="1" spans="1:21">
      <c r="A80" s="53">
        <v>71</v>
      </c>
      <c r="B80" s="53" t="s">
        <v>479</v>
      </c>
      <c r="C80" s="53" t="s">
        <v>481</v>
      </c>
      <c r="D80" s="53" t="s">
        <v>138</v>
      </c>
      <c r="E80" s="53">
        <v>1</v>
      </c>
      <c r="F80" s="54">
        <v>25</v>
      </c>
      <c r="G80" s="55">
        <f t="shared" si="42"/>
        <v>35.35</v>
      </c>
      <c r="H80" s="56">
        <v>35</v>
      </c>
      <c r="I80" s="66">
        <v>0.01</v>
      </c>
      <c r="J80" s="67">
        <v>5</v>
      </c>
      <c r="K80" s="34">
        <f>(F80+G80+J80)*$K$5</f>
        <v>3.921</v>
      </c>
      <c r="L80" s="34">
        <f>(F80+G80+J80+K80)*$L$5</f>
        <v>6.23439</v>
      </c>
      <c r="M80" s="55">
        <f t="shared" si="43"/>
        <v>75.50539</v>
      </c>
      <c r="N80" s="55"/>
      <c r="O80" s="55">
        <f t="shared" si="44"/>
        <v>75.50539</v>
      </c>
      <c r="P80" s="53"/>
      <c r="R80" s="21">
        <f t="shared" si="38"/>
        <v>75.50539</v>
      </c>
      <c r="S80" s="21">
        <f t="shared" si="39"/>
        <v>75.50539</v>
      </c>
      <c r="T80" s="21" t="b">
        <f t="shared" si="40"/>
        <v>1</v>
      </c>
      <c r="U80" s="21" t="b">
        <f t="shared" si="41"/>
        <v>1</v>
      </c>
    </row>
    <row r="81" s="21" customFormat="1" outlineLevel="1" spans="1:21">
      <c r="A81" s="53">
        <v>72</v>
      </c>
      <c r="B81" s="53" t="s">
        <v>482</v>
      </c>
      <c r="C81" s="53" t="s">
        <v>483</v>
      </c>
      <c r="D81" s="53" t="s">
        <v>144</v>
      </c>
      <c r="E81" s="53">
        <v>13.11</v>
      </c>
      <c r="F81" s="54">
        <v>18</v>
      </c>
      <c r="G81" s="53">
        <f t="shared" si="42"/>
        <v>32.96</v>
      </c>
      <c r="H81" s="54">
        <v>32</v>
      </c>
      <c r="I81" s="77">
        <v>0.03</v>
      </c>
      <c r="J81" s="78">
        <v>13</v>
      </c>
      <c r="K81" s="64">
        <f>(F81+G81+J81)*$K$5</f>
        <v>3.8376</v>
      </c>
      <c r="L81" s="64">
        <f>(F81+G81+J81+K81)*$L$5</f>
        <v>6.101784</v>
      </c>
      <c r="M81" s="79">
        <f t="shared" si="43"/>
        <v>73.899384</v>
      </c>
      <c r="N81" s="80"/>
      <c r="O81" s="53">
        <f t="shared" si="44"/>
        <v>968.82092424</v>
      </c>
      <c r="P81" s="53"/>
      <c r="R81" s="21">
        <f t="shared" si="38"/>
        <v>968.82092424</v>
      </c>
      <c r="S81" s="21">
        <f t="shared" si="39"/>
        <v>73.899384</v>
      </c>
      <c r="T81" s="21" t="b">
        <f t="shared" si="40"/>
        <v>1</v>
      </c>
      <c r="U81" s="21" t="b">
        <f t="shared" si="41"/>
        <v>1</v>
      </c>
    </row>
    <row r="82" s="21" customFormat="1" outlineLevel="1" spans="1:21">
      <c r="A82" s="53"/>
      <c r="B82" s="53"/>
      <c r="C82" s="53"/>
      <c r="D82" s="53"/>
      <c r="E82" s="53"/>
      <c r="F82" s="54"/>
      <c r="G82" s="53"/>
      <c r="H82" s="54"/>
      <c r="I82" s="77"/>
      <c r="J82" s="78"/>
      <c r="K82" s="64"/>
      <c r="L82" s="64"/>
      <c r="M82" s="81"/>
      <c r="N82" s="82"/>
      <c r="O82" s="53"/>
      <c r="P82" s="53"/>
      <c r="R82" s="21">
        <f t="shared" si="38"/>
        <v>0</v>
      </c>
      <c r="S82" s="21">
        <f t="shared" si="39"/>
        <v>0</v>
      </c>
      <c r="T82" s="21" t="b">
        <f t="shared" si="40"/>
        <v>1</v>
      </c>
      <c r="U82" s="21" t="b">
        <f t="shared" si="41"/>
        <v>1</v>
      </c>
    </row>
    <row r="83" s="21" customFormat="1" outlineLevel="1" spans="1:21">
      <c r="A83" s="53">
        <v>73</v>
      </c>
      <c r="B83" s="53" t="s">
        <v>482</v>
      </c>
      <c r="C83" s="53" t="s">
        <v>484</v>
      </c>
      <c r="D83" s="53" t="s">
        <v>144</v>
      </c>
      <c r="E83" s="53">
        <v>8.53</v>
      </c>
      <c r="F83" s="54">
        <v>25</v>
      </c>
      <c r="G83" s="53">
        <f t="shared" ref="G83:G87" si="46">H83*(1+I83)</f>
        <v>46.35</v>
      </c>
      <c r="H83" s="54">
        <v>45</v>
      </c>
      <c r="I83" s="77">
        <v>0.03</v>
      </c>
      <c r="J83" s="78">
        <v>18</v>
      </c>
      <c r="K83" s="64">
        <f>(F83+G83+J83)*$K$5</f>
        <v>5.361</v>
      </c>
      <c r="L83" s="64">
        <f>(F83+G83+J83+K83)*$L$5</f>
        <v>8.52399</v>
      </c>
      <c r="M83" s="79">
        <f t="shared" ref="M83:M87" si="47">F83+G83+J83+K83+L83</f>
        <v>103.23499</v>
      </c>
      <c r="N83" s="80"/>
      <c r="O83" s="53">
        <f t="shared" ref="O83:O87" si="48">M83*E83</f>
        <v>880.5944647</v>
      </c>
      <c r="P83" s="53"/>
      <c r="R83" s="21">
        <f t="shared" si="38"/>
        <v>880.5944647</v>
      </c>
      <c r="S83" s="21">
        <f t="shared" si="39"/>
        <v>103.23499</v>
      </c>
      <c r="T83" s="21" t="b">
        <f t="shared" si="40"/>
        <v>1</v>
      </c>
      <c r="U83" s="21" t="b">
        <f t="shared" si="41"/>
        <v>1</v>
      </c>
    </row>
    <row r="84" s="21" customFormat="1" outlineLevel="1" spans="1:21">
      <c r="A84" s="53"/>
      <c r="B84" s="53"/>
      <c r="C84" s="53"/>
      <c r="D84" s="53"/>
      <c r="E84" s="53"/>
      <c r="F84" s="54"/>
      <c r="G84" s="53"/>
      <c r="H84" s="54"/>
      <c r="I84" s="77"/>
      <c r="J84" s="78"/>
      <c r="K84" s="64"/>
      <c r="L84" s="64"/>
      <c r="M84" s="81"/>
      <c r="N84" s="82"/>
      <c r="O84" s="53"/>
      <c r="P84" s="53"/>
      <c r="R84" s="21">
        <f t="shared" si="38"/>
        <v>0</v>
      </c>
      <c r="S84" s="21">
        <f t="shared" si="39"/>
        <v>0</v>
      </c>
      <c r="T84" s="21" t="b">
        <f t="shared" si="40"/>
        <v>1</v>
      </c>
      <c r="U84" s="21" t="b">
        <f t="shared" si="41"/>
        <v>1</v>
      </c>
    </row>
    <row r="85" s="21" customFormat="1" outlineLevel="1" spans="1:21">
      <c r="A85" s="72">
        <v>74</v>
      </c>
      <c r="B85" s="72" t="s">
        <v>482</v>
      </c>
      <c r="C85" s="72" t="s">
        <v>485</v>
      </c>
      <c r="D85" s="72" t="s">
        <v>144</v>
      </c>
      <c r="E85" s="72">
        <v>14.12</v>
      </c>
      <c r="F85" s="73">
        <v>30</v>
      </c>
      <c r="G85" s="72">
        <f t="shared" si="46"/>
        <v>56.65</v>
      </c>
      <c r="H85" s="73">
        <v>55</v>
      </c>
      <c r="I85" s="83">
        <v>0.03</v>
      </c>
      <c r="J85" s="84">
        <v>22</v>
      </c>
      <c r="K85" s="85">
        <f>(F85+G85+J85)*$K$5</f>
        <v>6.519</v>
      </c>
      <c r="L85" s="85">
        <f>(F85+G85+J85+K85)*$L$5</f>
        <v>10.36521</v>
      </c>
      <c r="M85" s="79">
        <f t="shared" si="47"/>
        <v>125.53421</v>
      </c>
      <c r="N85" s="80"/>
      <c r="O85" s="72">
        <f t="shared" si="48"/>
        <v>1772.5430452</v>
      </c>
      <c r="P85" s="72"/>
      <c r="R85" s="21">
        <f t="shared" si="38"/>
        <v>1772.5430452</v>
      </c>
      <c r="S85" s="21">
        <f t="shared" si="39"/>
        <v>125.53421</v>
      </c>
      <c r="T85" s="21" t="b">
        <f t="shared" si="40"/>
        <v>1</v>
      </c>
      <c r="U85" s="21" t="b">
        <f t="shared" si="41"/>
        <v>1</v>
      </c>
    </row>
    <row r="86" s="21" customFormat="1" outlineLevel="1" spans="1:21">
      <c r="A86" s="74"/>
      <c r="B86" s="74"/>
      <c r="C86" s="74"/>
      <c r="D86" s="74"/>
      <c r="E86" s="74"/>
      <c r="F86" s="75"/>
      <c r="G86" s="74"/>
      <c r="H86" s="75"/>
      <c r="I86" s="86"/>
      <c r="J86" s="87"/>
      <c r="K86" s="88"/>
      <c r="L86" s="88"/>
      <c r="M86" s="81"/>
      <c r="N86" s="82"/>
      <c r="O86" s="74"/>
      <c r="P86" s="74"/>
      <c r="R86" s="21">
        <f t="shared" si="38"/>
        <v>0</v>
      </c>
      <c r="S86" s="21">
        <f t="shared" si="39"/>
        <v>0</v>
      </c>
      <c r="T86" s="21" t="b">
        <f t="shared" si="40"/>
        <v>1</v>
      </c>
      <c r="U86" s="21" t="b">
        <f t="shared" si="41"/>
        <v>1</v>
      </c>
    </row>
    <row r="87" s="21" customFormat="1" outlineLevel="1" spans="1:21">
      <c r="A87" s="53">
        <v>75</v>
      </c>
      <c r="B87" s="53" t="s">
        <v>482</v>
      </c>
      <c r="C87" s="53" t="s">
        <v>486</v>
      </c>
      <c r="D87" s="53" t="s">
        <v>144</v>
      </c>
      <c r="E87" s="53">
        <v>16.41</v>
      </c>
      <c r="F87" s="54">
        <v>15</v>
      </c>
      <c r="G87" s="53">
        <f t="shared" si="46"/>
        <v>8.4</v>
      </c>
      <c r="H87" s="54">
        <v>8</v>
      </c>
      <c r="I87" s="77">
        <v>0.05</v>
      </c>
      <c r="J87" s="78">
        <v>3</v>
      </c>
      <c r="K87" s="64">
        <f>(F87+G87+J87)*$K$5</f>
        <v>1.584</v>
      </c>
      <c r="L87" s="64">
        <f>(F87+G87+J87+K87)*$L$5</f>
        <v>2.51856</v>
      </c>
      <c r="M87" s="79">
        <f t="shared" si="47"/>
        <v>30.50256</v>
      </c>
      <c r="N87" s="80"/>
      <c r="O87" s="53">
        <f t="shared" si="48"/>
        <v>500.5470096</v>
      </c>
      <c r="P87" s="53"/>
      <c r="R87" s="21">
        <f t="shared" si="38"/>
        <v>500.5470096</v>
      </c>
      <c r="S87" s="21">
        <f t="shared" si="39"/>
        <v>30.50256</v>
      </c>
      <c r="T87" s="21" t="b">
        <f t="shared" si="40"/>
        <v>1</v>
      </c>
      <c r="U87" s="21" t="b">
        <f t="shared" si="41"/>
        <v>1</v>
      </c>
    </row>
    <row r="88" s="21" customFormat="1" outlineLevel="1" spans="1:21">
      <c r="A88" s="53"/>
      <c r="B88" s="53"/>
      <c r="C88" s="53"/>
      <c r="D88" s="53"/>
      <c r="E88" s="53"/>
      <c r="F88" s="54"/>
      <c r="G88" s="53"/>
      <c r="H88" s="54"/>
      <c r="I88" s="77"/>
      <c r="J88" s="78"/>
      <c r="K88" s="64"/>
      <c r="L88" s="64"/>
      <c r="M88" s="81"/>
      <c r="N88" s="82"/>
      <c r="O88" s="53"/>
      <c r="P88" s="53"/>
      <c r="R88" s="21">
        <f t="shared" si="38"/>
        <v>0</v>
      </c>
      <c r="S88" s="21">
        <f t="shared" si="39"/>
        <v>0</v>
      </c>
      <c r="T88" s="21" t="b">
        <f t="shared" si="40"/>
        <v>1</v>
      </c>
      <c r="U88" s="21" t="b">
        <f t="shared" si="41"/>
        <v>1</v>
      </c>
    </row>
    <row r="89" s="21" customFormat="1" outlineLevel="1" spans="1:21">
      <c r="A89" s="72">
        <v>76</v>
      </c>
      <c r="B89" s="72" t="s">
        <v>482</v>
      </c>
      <c r="C89" s="72" t="s">
        <v>487</v>
      </c>
      <c r="D89" s="72" t="s">
        <v>144</v>
      </c>
      <c r="E89" s="72">
        <v>12.5</v>
      </c>
      <c r="F89" s="72">
        <f t="shared" ref="F89:J89" si="49">F87</f>
        <v>15</v>
      </c>
      <c r="G89" s="72">
        <f t="shared" ref="G89:G93" si="50">H89*(1+I89)</f>
        <v>10.5</v>
      </c>
      <c r="H89" s="73">
        <v>10</v>
      </c>
      <c r="I89" s="89">
        <f t="shared" si="49"/>
        <v>0.05</v>
      </c>
      <c r="J89" s="85">
        <f t="shared" si="49"/>
        <v>3</v>
      </c>
      <c r="K89" s="85">
        <f>(F89+G89+J89)*$K$5</f>
        <v>1.71</v>
      </c>
      <c r="L89" s="85">
        <f>(F89+G89+J89+K89)*$L$5</f>
        <v>2.7189</v>
      </c>
      <c r="M89" s="79">
        <f t="shared" ref="M89:M93" si="51">F89+G89+J89+K89+L89</f>
        <v>32.9289</v>
      </c>
      <c r="N89" s="80"/>
      <c r="O89" s="72">
        <f t="shared" ref="O89:O93" si="52">M89*E89</f>
        <v>411.61125</v>
      </c>
      <c r="P89" s="72"/>
      <c r="R89" s="21">
        <f t="shared" si="38"/>
        <v>411.61125</v>
      </c>
      <c r="S89" s="21">
        <f t="shared" si="39"/>
        <v>32.9289</v>
      </c>
      <c r="T89" s="21" t="b">
        <f t="shared" si="40"/>
        <v>1</v>
      </c>
      <c r="U89" s="21" t="b">
        <f t="shared" si="41"/>
        <v>1</v>
      </c>
    </row>
    <row r="90" s="21" customFormat="1" outlineLevel="1" spans="1:21">
      <c r="A90" s="74"/>
      <c r="B90" s="74"/>
      <c r="C90" s="74"/>
      <c r="D90" s="74"/>
      <c r="E90" s="74"/>
      <c r="F90" s="74"/>
      <c r="G90" s="74"/>
      <c r="H90" s="75"/>
      <c r="I90" s="90"/>
      <c r="J90" s="88"/>
      <c r="K90" s="88"/>
      <c r="L90" s="88"/>
      <c r="M90" s="81"/>
      <c r="N90" s="82"/>
      <c r="O90" s="74"/>
      <c r="P90" s="74"/>
      <c r="R90" s="21">
        <f t="shared" si="38"/>
        <v>0</v>
      </c>
      <c r="S90" s="21">
        <f t="shared" si="39"/>
        <v>0</v>
      </c>
      <c r="T90" s="21" t="b">
        <f t="shared" si="40"/>
        <v>1</v>
      </c>
      <c r="U90" s="21" t="b">
        <f t="shared" si="41"/>
        <v>1</v>
      </c>
    </row>
    <row r="91" s="21" customFormat="1" outlineLevel="1" spans="1:21">
      <c r="A91" s="53">
        <v>77</v>
      </c>
      <c r="B91" s="53" t="s">
        <v>482</v>
      </c>
      <c r="C91" s="53" t="s">
        <v>488</v>
      </c>
      <c r="D91" s="53" t="s">
        <v>144</v>
      </c>
      <c r="E91" s="53">
        <v>10.71</v>
      </c>
      <c r="F91" s="53">
        <f t="shared" ref="F91:J91" si="53">F87</f>
        <v>15</v>
      </c>
      <c r="G91" s="53">
        <f t="shared" si="50"/>
        <v>12.6</v>
      </c>
      <c r="H91" s="54">
        <v>12</v>
      </c>
      <c r="I91" s="65">
        <f t="shared" si="53"/>
        <v>0.05</v>
      </c>
      <c r="J91" s="64">
        <f t="shared" si="53"/>
        <v>3</v>
      </c>
      <c r="K91" s="64">
        <f>(F91+G91+J91)*$K$5</f>
        <v>1.836</v>
      </c>
      <c r="L91" s="64">
        <f>(F91+G91+J91+K91)*$L$5</f>
        <v>2.91924</v>
      </c>
      <c r="M91" s="79">
        <f t="shared" si="51"/>
        <v>35.35524</v>
      </c>
      <c r="N91" s="80"/>
      <c r="O91" s="53">
        <f t="shared" si="52"/>
        <v>378.6546204</v>
      </c>
      <c r="P91" s="53"/>
      <c r="R91" s="21">
        <f t="shared" si="38"/>
        <v>378.6546204</v>
      </c>
      <c r="S91" s="21">
        <f t="shared" si="39"/>
        <v>35.35524</v>
      </c>
      <c r="T91" s="21" t="b">
        <f t="shared" si="40"/>
        <v>1</v>
      </c>
      <c r="U91" s="21" t="b">
        <f t="shared" si="41"/>
        <v>1</v>
      </c>
    </row>
    <row r="92" s="21" customFormat="1" outlineLevel="1" spans="1:21">
      <c r="A92" s="53"/>
      <c r="B92" s="53"/>
      <c r="C92" s="53"/>
      <c r="D92" s="53"/>
      <c r="E92" s="53"/>
      <c r="F92" s="53"/>
      <c r="G92" s="53"/>
      <c r="H92" s="54"/>
      <c r="I92" s="65"/>
      <c r="J92" s="64"/>
      <c r="K92" s="64"/>
      <c r="L92" s="64"/>
      <c r="M92" s="81"/>
      <c r="N92" s="82"/>
      <c r="O92" s="53"/>
      <c r="P92" s="53"/>
      <c r="R92" s="21">
        <f t="shared" si="38"/>
        <v>0</v>
      </c>
      <c r="S92" s="21">
        <f t="shared" si="39"/>
        <v>0</v>
      </c>
      <c r="T92" s="21" t="b">
        <f t="shared" si="40"/>
        <v>1</v>
      </c>
      <c r="U92" s="21" t="b">
        <f t="shared" si="41"/>
        <v>1</v>
      </c>
    </row>
    <row r="93" s="21" customFormat="1" outlineLevel="1" spans="1:21">
      <c r="A93" s="72">
        <v>78</v>
      </c>
      <c r="B93" s="72" t="s">
        <v>482</v>
      </c>
      <c r="C93" s="72" t="s">
        <v>489</v>
      </c>
      <c r="D93" s="72" t="s">
        <v>144</v>
      </c>
      <c r="E93" s="72">
        <v>6.28</v>
      </c>
      <c r="F93" s="72">
        <f>F87</f>
        <v>15</v>
      </c>
      <c r="G93" s="72">
        <f t="shared" si="50"/>
        <v>24.15</v>
      </c>
      <c r="H93" s="73">
        <v>23</v>
      </c>
      <c r="I93" s="89">
        <v>0.05</v>
      </c>
      <c r="J93" s="84">
        <v>10</v>
      </c>
      <c r="K93" s="85">
        <f>(F93+G93+J93)*$K$5</f>
        <v>2.949</v>
      </c>
      <c r="L93" s="85">
        <f>(F93+G93+J93+K93)*$L$5</f>
        <v>4.68891</v>
      </c>
      <c r="M93" s="79">
        <f t="shared" si="51"/>
        <v>56.78791</v>
      </c>
      <c r="N93" s="80"/>
      <c r="O93" s="72">
        <f t="shared" si="52"/>
        <v>356.6280748</v>
      </c>
      <c r="P93" s="72"/>
      <c r="R93" s="21">
        <f t="shared" si="38"/>
        <v>356.6280748</v>
      </c>
      <c r="S93" s="21">
        <f t="shared" si="39"/>
        <v>56.78791</v>
      </c>
      <c r="T93" s="21" t="b">
        <f t="shared" si="40"/>
        <v>1</v>
      </c>
      <c r="U93" s="21" t="b">
        <f t="shared" si="41"/>
        <v>1</v>
      </c>
    </row>
    <row r="94" s="21" customFormat="1" outlineLevel="1" spans="1:21">
      <c r="A94" s="74"/>
      <c r="B94" s="74"/>
      <c r="C94" s="74"/>
      <c r="D94" s="74"/>
      <c r="E94" s="74"/>
      <c r="F94" s="74"/>
      <c r="G94" s="74"/>
      <c r="H94" s="75"/>
      <c r="I94" s="90"/>
      <c r="J94" s="87"/>
      <c r="K94" s="88"/>
      <c r="L94" s="88"/>
      <c r="M94" s="81"/>
      <c r="N94" s="82"/>
      <c r="O94" s="74"/>
      <c r="P94" s="74"/>
      <c r="R94" s="21">
        <f t="shared" si="38"/>
        <v>0</v>
      </c>
      <c r="S94" s="21">
        <f t="shared" si="39"/>
        <v>0</v>
      </c>
      <c r="T94" s="21" t="b">
        <f t="shared" si="40"/>
        <v>1</v>
      </c>
      <c r="U94" s="21" t="b">
        <f t="shared" si="41"/>
        <v>1</v>
      </c>
    </row>
    <row r="95" s="21" customFormat="1" ht="33.75" outlineLevel="1" spans="1:21">
      <c r="A95" s="53">
        <v>79</v>
      </c>
      <c r="B95" s="53" t="s">
        <v>490</v>
      </c>
      <c r="C95" s="53" t="s">
        <v>491</v>
      </c>
      <c r="D95" s="53" t="s">
        <v>138</v>
      </c>
      <c r="E95" s="53">
        <v>1</v>
      </c>
      <c r="F95" s="54">
        <v>20</v>
      </c>
      <c r="G95" s="55">
        <f t="shared" ref="G95:G111" si="54">H95*(1+I95)</f>
        <v>65.65</v>
      </c>
      <c r="H95" s="56">
        <v>65</v>
      </c>
      <c r="I95" s="66">
        <v>0.01</v>
      </c>
      <c r="J95" s="67">
        <v>3</v>
      </c>
      <c r="K95" s="34">
        <f>(F95+G95+J95)*$K$5</f>
        <v>5.319</v>
      </c>
      <c r="L95" s="34">
        <f>(F95+G95+J95+K95)*$L$5</f>
        <v>8.45721</v>
      </c>
      <c r="M95" s="55">
        <f t="shared" ref="M95:M111" si="55">F95+G95+J95+K95+L95</f>
        <v>102.42621</v>
      </c>
      <c r="N95" s="55"/>
      <c r="O95" s="55">
        <f t="shared" ref="O95:O111" si="56">M95*E95</f>
        <v>102.42621</v>
      </c>
      <c r="P95" s="53"/>
      <c r="R95" s="21">
        <f t="shared" si="38"/>
        <v>102.42621</v>
      </c>
      <c r="S95" s="21">
        <f t="shared" si="39"/>
        <v>102.42621</v>
      </c>
      <c r="T95" s="21" t="b">
        <f t="shared" si="40"/>
        <v>1</v>
      </c>
      <c r="U95" s="21" t="b">
        <f t="shared" si="41"/>
        <v>1</v>
      </c>
    </row>
    <row r="96" s="21" customFormat="1" ht="33.75" outlineLevel="1" spans="1:21">
      <c r="A96" s="53">
        <v>80</v>
      </c>
      <c r="B96" s="53" t="s">
        <v>490</v>
      </c>
      <c r="C96" s="53" t="s">
        <v>492</v>
      </c>
      <c r="D96" s="53" t="s">
        <v>138</v>
      </c>
      <c r="E96" s="53">
        <v>1</v>
      </c>
      <c r="F96" s="53">
        <f t="shared" ref="F96:J96" si="57">F95</f>
        <v>20</v>
      </c>
      <c r="G96" s="55">
        <f t="shared" si="54"/>
        <v>85.85</v>
      </c>
      <c r="H96" s="56">
        <v>85</v>
      </c>
      <c r="I96" s="68">
        <f t="shared" si="57"/>
        <v>0.01</v>
      </c>
      <c r="J96" s="69">
        <f t="shared" si="57"/>
        <v>3</v>
      </c>
      <c r="K96" s="34">
        <f>(F96+G96+J96)*$K$5</f>
        <v>6.531</v>
      </c>
      <c r="L96" s="34">
        <f>(F96+G96+J96+K96)*$L$5</f>
        <v>10.38429</v>
      </c>
      <c r="M96" s="55">
        <f t="shared" si="55"/>
        <v>125.76529</v>
      </c>
      <c r="N96" s="55"/>
      <c r="O96" s="55">
        <f t="shared" si="56"/>
        <v>125.76529</v>
      </c>
      <c r="P96" s="53"/>
      <c r="R96" s="21">
        <f t="shared" si="38"/>
        <v>125.76529</v>
      </c>
      <c r="S96" s="21">
        <f t="shared" si="39"/>
        <v>125.76529</v>
      </c>
      <c r="T96" s="21" t="b">
        <f t="shared" si="40"/>
        <v>1</v>
      </c>
      <c r="U96" s="21" t="b">
        <f t="shared" si="41"/>
        <v>1</v>
      </c>
    </row>
    <row r="97" s="21" customFormat="1" spans="1:21">
      <c r="A97" s="53"/>
      <c r="B97" s="53" t="s">
        <v>493</v>
      </c>
      <c r="C97" s="53"/>
      <c r="D97" s="53"/>
      <c r="E97" s="53"/>
      <c r="F97" s="53"/>
      <c r="G97" s="55"/>
      <c r="H97" s="58"/>
      <c r="I97" s="68"/>
      <c r="J97" s="69"/>
      <c r="K97" s="34"/>
      <c r="L97" s="34"/>
      <c r="M97" s="55"/>
      <c r="N97" s="55"/>
      <c r="O97" s="55"/>
      <c r="P97" s="53"/>
      <c r="R97" s="21">
        <f t="shared" si="38"/>
        <v>0</v>
      </c>
      <c r="S97" s="21">
        <f t="shared" si="39"/>
        <v>0</v>
      </c>
      <c r="T97" s="21" t="b">
        <f t="shared" si="40"/>
        <v>1</v>
      </c>
      <c r="U97" s="21" t="b">
        <f t="shared" si="41"/>
        <v>1</v>
      </c>
    </row>
    <row r="98" s="21" customFormat="1" ht="90" outlineLevel="1" spans="1:21">
      <c r="A98" s="53">
        <v>81</v>
      </c>
      <c r="B98" s="53" t="s">
        <v>494</v>
      </c>
      <c r="C98" s="53" t="s">
        <v>495</v>
      </c>
      <c r="D98" s="53" t="s">
        <v>379</v>
      </c>
      <c r="E98" s="53">
        <v>2</v>
      </c>
      <c r="F98" s="54">
        <v>100</v>
      </c>
      <c r="G98" s="55">
        <f t="shared" si="54"/>
        <v>555.5</v>
      </c>
      <c r="H98" s="56">
        <v>550</v>
      </c>
      <c r="I98" s="66">
        <v>0.01</v>
      </c>
      <c r="J98" s="67">
        <v>50</v>
      </c>
      <c r="K98" s="34">
        <f>(F98+G98+J98)*$K$5</f>
        <v>42.33</v>
      </c>
      <c r="L98" s="34">
        <f>(F98+G98+J98+K98)*$L$5</f>
        <v>67.3047</v>
      </c>
      <c r="M98" s="55">
        <f t="shared" si="55"/>
        <v>815.1347</v>
      </c>
      <c r="N98" s="55"/>
      <c r="O98" s="55">
        <f t="shared" si="56"/>
        <v>1630.2694</v>
      </c>
      <c r="P98" s="53"/>
      <c r="R98" s="21">
        <f t="shared" si="38"/>
        <v>1630.2694</v>
      </c>
      <c r="S98" s="21">
        <f t="shared" si="39"/>
        <v>815.1347</v>
      </c>
      <c r="T98" s="21" t="b">
        <f t="shared" si="40"/>
        <v>1</v>
      </c>
      <c r="U98" s="21" t="b">
        <f t="shared" si="41"/>
        <v>1</v>
      </c>
    </row>
    <row r="99" s="21" customFormat="1" ht="45" outlineLevel="1" spans="1:21">
      <c r="A99" s="53">
        <v>82</v>
      </c>
      <c r="B99" s="53" t="s">
        <v>496</v>
      </c>
      <c r="C99" s="53" t="s">
        <v>497</v>
      </c>
      <c r="D99" s="53" t="s">
        <v>110</v>
      </c>
      <c r="E99" s="53">
        <v>32.58</v>
      </c>
      <c r="F99" s="54">
        <v>150</v>
      </c>
      <c r="G99" s="55">
        <f t="shared" si="54"/>
        <v>606</v>
      </c>
      <c r="H99" s="56">
        <v>600</v>
      </c>
      <c r="I99" s="66">
        <v>0.01</v>
      </c>
      <c r="J99" s="67">
        <v>35</v>
      </c>
      <c r="K99" s="34">
        <f>(F99+G99+J99)*$K$5</f>
        <v>47.46</v>
      </c>
      <c r="L99" s="34">
        <f>(F99+G99+J99+K99)*$L$5</f>
        <v>75.4614</v>
      </c>
      <c r="M99" s="55">
        <f t="shared" si="55"/>
        <v>913.9214</v>
      </c>
      <c r="N99" s="55"/>
      <c r="O99" s="55">
        <f t="shared" si="56"/>
        <v>29775.559212</v>
      </c>
      <c r="P99" s="53"/>
      <c r="R99" s="21">
        <f t="shared" si="38"/>
        <v>29775.559212</v>
      </c>
      <c r="S99" s="21">
        <f t="shared" si="39"/>
        <v>913.9214</v>
      </c>
      <c r="T99" s="21" t="b">
        <f t="shared" si="40"/>
        <v>1</v>
      </c>
      <c r="U99" s="21" t="b">
        <f t="shared" si="41"/>
        <v>1</v>
      </c>
    </row>
    <row r="100" s="21" customFormat="1" ht="112.5" outlineLevel="1" spans="1:21">
      <c r="A100" s="53">
        <v>83</v>
      </c>
      <c r="B100" s="53" t="s">
        <v>498</v>
      </c>
      <c r="C100" s="53" t="s">
        <v>499</v>
      </c>
      <c r="D100" s="53" t="s">
        <v>379</v>
      </c>
      <c r="E100" s="53">
        <v>1</v>
      </c>
      <c r="F100" s="54">
        <v>550</v>
      </c>
      <c r="G100" s="55">
        <f t="shared" si="54"/>
        <v>3131</v>
      </c>
      <c r="H100" s="56">
        <v>3100</v>
      </c>
      <c r="I100" s="66">
        <v>0.01</v>
      </c>
      <c r="J100" s="67">
        <v>150</v>
      </c>
      <c r="K100" s="34">
        <f>(F100+G100+J100)*$K$5</f>
        <v>229.86</v>
      </c>
      <c r="L100" s="34">
        <f>(F100+G100+J100+K100)*$L$5</f>
        <v>365.4774</v>
      </c>
      <c r="M100" s="55">
        <f t="shared" si="55"/>
        <v>4426.3374</v>
      </c>
      <c r="N100" s="55"/>
      <c r="O100" s="55">
        <f t="shared" si="56"/>
        <v>4426.3374</v>
      </c>
      <c r="P100" s="53" t="s">
        <v>500</v>
      </c>
      <c r="R100" s="21">
        <f t="shared" si="38"/>
        <v>4426.3374</v>
      </c>
      <c r="S100" s="21">
        <f t="shared" si="39"/>
        <v>4426.3374</v>
      </c>
      <c r="T100" s="21" t="b">
        <f t="shared" si="40"/>
        <v>1</v>
      </c>
      <c r="U100" s="21" t="b">
        <f t="shared" si="41"/>
        <v>1</v>
      </c>
    </row>
    <row r="101" s="21" customFormat="1" ht="112.5" outlineLevel="1" spans="1:21">
      <c r="A101" s="53">
        <v>84</v>
      </c>
      <c r="B101" s="53" t="s">
        <v>498</v>
      </c>
      <c r="C101" s="53" t="s">
        <v>501</v>
      </c>
      <c r="D101" s="53" t="s">
        <v>379</v>
      </c>
      <c r="E101" s="53">
        <v>1</v>
      </c>
      <c r="F101" s="53">
        <f t="shared" ref="F101:J101" si="58">F100</f>
        <v>550</v>
      </c>
      <c r="G101" s="55">
        <f t="shared" si="54"/>
        <v>2828</v>
      </c>
      <c r="H101" s="56">
        <v>2800</v>
      </c>
      <c r="I101" s="65">
        <f t="shared" si="58"/>
        <v>0.01</v>
      </c>
      <c r="J101" s="64">
        <f t="shared" si="58"/>
        <v>150</v>
      </c>
      <c r="K101" s="34">
        <f>(F101+G101+J101)*$K$5</f>
        <v>211.68</v>
      </c>
      <c r="L101" s="34">
        <f>(F101+G101+J101+K101)*$L$5</f>
        <v>336.5712</v>
      </c>
      <c r="M101" s="55">
        <f t="shared" si="55"/>
        <v>4076.2512</v>
      </c>
      <c r="N101" s="55"/>
      <c r="O101" s="55">
        <f t="shared" si="56"/>
        <v>4076.2512</v>
      </c>
      <c r="P101" s="53" t="str">
        <f>P100</f>
        <v>海信</v>
      </c>
      <c r="R101" s="21">
        <f t="shared" si="38"/>
        <v>4076.2512</v>
      </c>
      <c r="S101" s="21">
        <f t="shared" si="39"/>
        <v>4076.2512</v>
      </c>
      <c r="T101" s="21" t="b">
        <f t="shared" si="40"/>
        <v>1</v>
      </c>
      <c r="U101" s="21" t="b">
        <f t="shared" si="41"/>
        <v>1</v>
      </c>
    </row>
    <row r="102" s="21" customFormat="1" ht="101.25" outlineLevel="1" spans="1:21">
      <c r="A102" s="53">
        <v>85</v>
      </c>
      <c r="B102" s="53" t="s">
        <v>498</v>
      </c>
      <c r="C102" s="53" t="s">
        <v>502</v>
      </c>
      <c r="D102" s="53" t="s">
        <v>379</v>
      </c>
      <c r="E102" s="53">
        <v>1</v>
      </c>
      <c r="F102" s="53">
        <f t="shared" ref="F102:J102" si="59">F100</f>
        <v>550</v>
      </c>
      <c r="G102" s="55">
        <f t="shared" si="54"/>
        <v>2727</v>
      </c>
      <c r="H102" s="56">
        <v>2700</v>
      </c>
      <c r="I102" s="65">
        <f t="shared" si="59"/>
        <v>0.01</v>
      </c>
      <c r="J102" s="64">
        <f t="shared" si="59"/>
        <v>150</v>
      </c>
      <c r="K102" s="34">
        <f>(F102+G102+J102)*$K$5</f>
        <v>205.62</v>
      </c>
      <c r="L102" s="34">
        <f>(F102+G102+J102+K102)*$L$5</f>
        <v>326.9358</v>
      </c>
      <c r="M102" s="55">
        <f t="shared" si="55"/>
        <v>3959.5558</v>
      </c>
      <c r="N102" s="55"/>
      <c r="O102" s="55">
        <f t="shared" si="56"/>
        <v>3959.5558</v>
      </c>
      <c r="P102" s="53" t="str">
        <f>P100</f>
        <v>海信</v>
      </c>
      <c r="R102" s="21">
        <f t="shared" si="38"/>
        <v>3959.5558</v>
      </c>
      <c r="S102" s="21">
        <f t="shared" si="39"/>
        <v>3959.5558</v>
      </c>
      <c r="T102" s="21" t="b">
        <f t="shared" si="40"/>
        <v>1</v>
      </c>
      <c r="U102" s="21" t="b">
        <f t="shared" si="41"/>
        <v>1</v>
      </c>
    </row>
    <row r="103" s="21" customFormat="1" ht="101.25" outlineLevel="1" spans="1:21">
      <c r="A103" s="53">
        <v>86</v>
      </c>
      <c r="B103" s="53" t="s">
        <v>498</v>
      </c>
      <c r="C103" s="53" t="s">
        <v>503</v>
      </c>
      <c r="D103" s="53" t="s">
        <v>379</v>
      </c>
      <c r="E103" s="53">
        <v>2</v>
      </c>
      <c r="F103" s="53">
        <f t="shared" ref="F103:J103" si="60">F100</f>
        <v>550</v>
      </c>
      <c r="G103" s="55">
        <f t="shared" si="54"/>
        <v>2676.5</v>
      </c>
      <c r="H103" s="56">
        <v>2650</v>
      </c>
      <c r="I103" s="65">
        <f t="shared" si="60"/>
        <v>0.01</v>
      </c>
      <c r="J103" s="64">
        <f t="shared" si="60"/>
        <v>150</v>
      </c>
      <c r="K103" s="34">
        <f>(F103+G103+J103)*$K$5</f>
        <v>202.59</v>
      </c>
      <c r="L103" s="34">
        <f>(F103+G103+J103+K103)*$L$5</f>
        <v>322.1181</v>
      </c>
      <c r="M103" s="55">
        <f t="shared" si="55"/>
        <v>3901.2081</v>
      </c>
      <c r="N103" s="55"/>
      <c r="O103" s="55">
        <f t="shared" si="56"/>
        <v>7802.4162</v>
      </c>
      <c r="P103" s="53" t="str">
        <f>P101</f>
        <v>海信</v>
      </c>
      <c r="R103" s="21">
        <f t="shared" si="38"/>
        <v>7802.4162</v>
      </c>
      <c r="S103" s="21">
        <f t="shared" si="39"/>
        <v>3901.2081</v>
      </c>
      <c r="T103" s="21" t="b">
        <f t="shared" si="40"/>
        <v>1</v>
      </c>
      <c r="U103" s="21" t="b">
        <f t="shared" si="41"/>
        <v>1</v>
      </c>
    </row>
    <row r="104" s="21" customFormat="1" ht="101.25" outlineLevel="1" spans="1:21">
      <c r="A104" s="53">
        <v>87</v>
      </c>
      <c r="B104" s="53" t="s">
        <v>498</v>
      </c>
      <c r="C104" s="53" t="s">
        <v>504</v>
      </c>
      <c r="D104" s="53" t="s">
        <v>379</v>
      </c>
      <c r="E104" s="53">
        <v>1</v>
      </c>
      <c r="F104" s="53">
        <f t="shared" ref="F104:J104" si="61">F100</f>
        <v>550</v>
      </c>
      <c r="G104" s="55">
        <f t="shared" si="54"/>
        <v>2626</v>
      </c>
      <c r="H104" s="56">
        <v>2600</v>
      </c>
      <c r="I104" s="65">
        <f t="shared" si="61"/>
        <v>0.01</v>
      </c>
      <c r="J104" s="64">
        <f t="shared" si="61"/>
        <v>150</v>
      </c>
      <c r="K104" s="34">
        <f>(F104+G104+J104)*$K$5</f>
        <v>199.56</v>
      </c>
      <c r="L104" s="34">
        <f>(F104+G104+J104+K104)*$L$5</f>
        <v>317.3004</v>
      </c>
      <c r="M104" s="55">
        <f t="shared" si="55"/>
        <v>3842.8604</v>
      </c>
      <c r="N104" s="55"/>
      <c r="O104" s="55">
        <f t="shared" si="56"/>
        <v>3842.8604</v>
      </c>
      <c r="P104" s="53" t="str">
        <f t="shared" ref="P104:P110" si="62">P103</f>
        <v>海信</v>
      </c>
      <c r="R104" s="21">
        <f t="shared" si="38"/>
        <v>3842.8604</v>
      </c>
      <c r="S104" s="21">
        <f t="shared" si="39"/>
        <v>3842.8604</v>
      </c>
      <c r="T104" s="21" t="b">
        <f t="shared" si="40"/>
        <v>1</v>
      </c>
      <c r="U104" s="21" t="b">
        <f t="shared" si="41"/>
        <v>1</v>
      </c>
    </row>
    <row r="105" s="21" customFormat="1" ht="101.25" outlineLevel="1" spans="1:21">
      <c r="A105" s="53">
        <v>88</v>
      </c>
      <c r="B105" s="53" t="s">
        <v>498</v>
      </c>
      <c r="C105" s="53" t="s">
        <v>505</v>
      </c>
      <c r="D105" s="53" t="s">
        <v>379</v>
      </c>
      <c r="E105" s="53">
        <v>1</v>
      </c>
      <c r="F105" s="53">
        <f t="shared" ref="F105:J105" si="63">F100</f>
        <v>550</v>
      </c>
      <c r="G105" s="55">
        <f t="shared" si="54"/>
        <v>2575.5</v>
      </c>
      <c r="H105" s="56">
        <v>2550</v>
      </c>
      <c r="I105" s="65">
        <f t="shared" si="63"/>
        <v>0.01</v>
      </c>
      <c r="J105" s="64">
        <f t="shared" si="63"/>
        <v>150</v>
      </c>
      <c r="K105" s="34">
        <f>(F105+G105+J105)*$K$5</f>
        <v>196.53</v>
      </c>
      <c r="L105" s="34">
        <f>(F105+G105+J105+K105)*$L$5</f>
        <v>312.4827</v>
      </c>
      <c r="M105" s="55">
        <f t="shared" si="55"/>
        <v>3784.5127</v>
      </c>
      <c r="N105" s="55"/>
      <c r="O105" s="55">
        <f t="shared" si="56"/>
        <v>3784.5127</v>
      </c>
      <c r="P105" s="53" t="str">
        <f t="shared" si="62"/>
        <v>海信</v>
      </c>
      <c r="R105" s="21">
        <f t="shared" si="38"/>
        <v>3784.5127</v>
      </c>
      <c r="S105" s="21">
        <f t="shared" si="39"/>
        <v>3784.5127</v>
      </c>
      <c r="T105" s="21" t="b">
        <f t="shared" si="40"/>
        <v>1</v>
      </c>
      <c r="U105" s="21" t="b">
        <f t="shared" si="41"/>
        <v>1</v>
      </c>
    </row>
    <row r="106" s="21" customFormat="1" ht="101.25" outlineLevel="1" spans="1:21">
      <c r="A106" s="53">
        <v>89</v>
      </c>
      <c r="B106" s="53" t="s">
        <v>498</v>
      </c>
      <c r="C106" s="53" t="s">
        <v>506</v>
      </c>
      <c r="D106" s="53" t="s">
        <v>379</v>
      </c>
      <c r="E106" s="53">
        <v>1</v>
      </c>
      <c r="F106" s="53">
        <f t="shared" ref="F106:J106" si="64">F100</f>
        <v>550</v>
      </c>
      <c r="G106" s="55">
        <f t="shared" si="54"/>
        <v>2575.5</v>
      </c>
      <c r="H106" s="56">
        <f>H105</f>
        <v>2550</v>
      </c>
      <c r="I106" s="65">
        <f t="shared" si="64"/>
        <v>0.01</v>
      </c>
      <c r="J106" s="64">
        <f t="shared" si="64"/>
        <v>150</v>
      </c>
      <c r="K106" s="34">
        <f>(F106+G106+J106)*$K$5</f>
        <v>196.53</v>
      </c>
      <c r="L106" s="34">
        <f>(F106+G106+J106+K106)*$L$5</f>
        <v>312.4827</v>
      </c>
      <c r="M106" s="55">
        <f t="shared" si="55"/>
        <v>3784.5127</v>
      </c>
      <c r="N106" s="55"/>
      <c r="O106" s="55">
        <f t="shared" si="56"/>
        <v>3784.5127</v>
      </c>
      <c r="P106" s="53" t="str">
        <f t="shared" si="62"/>
        <v>海信</v>
      </c>
      <c r="R106" s="21">
        <f t="shared" si="38"/>
        <v>3784.5127</v>
      </c>
      <c r="S106" s="21">
        <f t="shared" si="39"/>
        <v>3784.5127</v>
      </c>
      <c r="T106" s="21" t="b">
        <f t="shared" si="40"/>
        <v>1</v>
      </c>
      <c r="U106" s="21" t="b">
        <f t="shared" si="41"/>
        <v>1</v>
      </c>
    </row>
    <row r="107" s="21" customFormat="1" ht="101.25" outlineLevel="1" spans="1:21">
      <c r="A107" s="53">
        <v>90</v>
      </c>
      <c r="B107" s="53" t="s">
        <v>498</v>
      </c>
      <c r="C107" s="53" t="s">
        <v>507</v>
      </c>
      <c r="D107" s="53" t="s">
        <v>379</v>
      </c>
      <c r="E107" s="53">
        <v>1</v>
      </c>
      <c r="F107" s="53">
        <f t="shared" ref="F107:J107" si="65">F100</f>
        <v>550</v>
      </c>
      <c r="G107" s="55">
        <f t="shared" si="54"/>
        <v>2575.5</v>
      </c>
      <c r="H107" s="56">
        <f>H105</f>
        <v>2550</v>
      </c>
      <c r="I107" s="65">
        <f t="shared" si="65"/>
        <v>0.01</v>
      </c>
      <c r="J107" s="64">
        <f t="shared" si="65"/>
        <v>150</v>
      </c>
      <c r="K107" s="34">
        <f>(F107+G107+J107)*$K$5</f>
        <v>196.53</v>
      </c>
      <c r="L107" s="34">
        <f>(F107+G107+J107+K107)*$L$5</f>
        <v>312.4827</v>
      </c>
      <c r="M107" s="55">
        <f t="shared" si="55"/>
        <v>3784.5127</v>
      </c>
      <c r="N107" s="55"/>
      <c r="O107" s="55">
        <f t="shared" si="56"/>
        <v>3784.5127</v>
      </c>
      <c r="P107" s="53" t="str">
        <f t="shared" si="62"/>
        <v>海信</v>
      </c>
      <c r="R107" s="21">
        <f t="shared" si="38"/>
        <v>3784.5127</v>
      </c>
      <c r="S107" s="21">
        <f t="shared" si="39"/>
        <v>3784.5127</v>
      </c>
      <c r="T107" s="21" t="b">
        <f t="shared" si="40"/>
        <v>1</v>
      </c>
      <c r="U107" s="21" t="b">
        <f t="shared" si="41"/>
        <v>1</v>
      </c>
    </row>
    <row r="108" s="21" customFormat="1" ht="101.25" outlineLevel="1" spans="1:21">
      <c r="A108" s="53">
        <v>91</v>
      </c>
      <c r="B108" s="53" t="s">
        <v>498</v>
      </c>
      <c r="C108" s="53" t="s">
        <v>508</v>
      </c>
      <c r="D108" s="53" t="s">
        <v>379</v>
      </c>
      <c r="E108" s="53">
        <v>1</v>
      </c>
      <c r="F108" s="53">
        <f t="shared" ref="F108:J108" si="66">F100</f>
        <v>550</v>
      </c>
      <c r="G108" s="55">
        <f t="shared" si="54"/>
        <v>2575.5</v>
      </c>
      <c r="H108" s="56">
        <f>H105</f>
        <v>2550</v>
      </c>
      <c r="I108" s="65">
        <f t="shared" si="66"/>
        <v>0.01</v>
      </c>
      <c r="J108" s="64">
        <f t="shared" si="66"/>
        <v>150</v>
      </c>
      <c r="K108" s="34">
        <f>(F108+G108+J108)*$K$5</f>
        <v>196.53</v>
      </c>
      <c r="L108" s="34">
        <f>(F108+G108+J108+K108)*$L$5</f>
        <v>312.4827</v>
      </c>
      <c r="M108" s="55">
        <f t="shared" si="55"/>
        <v>3784.5127</v>
      </c>
      <c r="N108" s="55"/>
      <c r="O108" s="55">
        <f t="shared" si="56"/>
        <v>3784.5127</v>
      </c>
      <c r="P108" s="53" t="str">
        <f t="shared" si="62"/>
        <v>海信</v>
      </c>
      <c r="R108" s="21">
        <f t="shared" si="38"/>
        <v>3784.5127</v>
      </c>
      <c r="S108" s="21">
        <f t="shared" si="39"/>
        <v>3784.5127</v>
      </c>
      <c r="T108" s="21" t="b">
        <f t="shared" si="40"/>
        <v>1</v>
      </c>
      <c r="U108" s="21" t="b">
        <f t="shared" si="41"/>
        <v>1</v>
      </c>
    </row>
    <row r="109" s="21" customFormat="1" ht="101.25" outlineLevel="1" spans="1:21">
      <c r="A109" s="53">
        <v>92</v>
      </c>
      <c r="B109" s="53" t="s">
        <v>498</v>
      </c>
      <c r="C109" s="53" t="s">
        <v>509</v>
      </c>
      <c r="D109" s="53" t="s">
        <v>379</v>
      </c>
      <c r="E109" s="53">
        <v>1</v>
      </c>
      <c r="F109" s="53">
        <f t="shared" ref="F109:J109" si="67">F100</f>
        <v>550</v>
      </c>
      <c r="G109" s="55">
        <f t="shared" si="54"/>
        <v>2575.5</v>
      </c>
      <c r="H109" s="56">
        <f>H108</f>
        <v>2550</v>
      </c>
      <c r="I109" s="65">
        <f t="shared" si="67"/>
        <v>0.01</v>
      </c>
      <c r="J109" s="64">
        <f t="shared" si="67"/>
        <v>150</v>
      </c>
      <c r="K109" s="34">
        <f>(F109+G109+J109)*$K$5</f>
        <v>196.53</v>
      </c>
      <c r="L109" s="34">
        <f>(F109+G109+J109+K109)*$L$5</f>
        <v>312.4827</v>
      </c>
      <c r="M109" s="55">
        <f t="shared" si="55"/>
        <v>3784.5127</v>
      </c>
      <c r="N109" s="55"/>
      <c r="O109" s="55">
        <f t="shared" si="56"/>
        <v>3784.5127</v>
      </c>
      <c r="P109" s="53" t="str">
        <f t="shared" si="62"/>
        <v>海信</v>
      </c>
      <c r="R109" s="21">
        <f t="shared" si="38"/>
        <v>3784.5127</v>
      </c>
      <c r="S109" s="21">
        <f t="shared" si="39"/>
        <v>3784.5127</v>
      </c>
      <c r="T109" s="21" t="b">
        <f t="shared" si="40"/>
        <v>1</v>
      </c>
      <c r="U109" s="21" t="b">
        <f t="shared" si="41"/>
        <v>1</v>
      </c>
    </row>
    <row r="110" s="21" customFormat="1" ht="112.5" outlineLevel="1" spans="1:21">
      <c r="A110" s="53">
        <v>93</v>
      </c>
      <c r="B110" s="53" t="s">
        <v>498</v>
      </c>
      <c r="C110" s="53" t="s">
        <v>510</v>
      </c>
      <c r="D110" s="53" t="s">
        <v>379</v>
      </c>
      <c r="E110" s="53">
        <v>12</v>
      </c>
      <c r="F110" s="53">
        <f t="shared" ref="F110:J110" si="68">F100</f>
        <v>550</v>
      </c>
      <c r="G110" s="55">
        <f t="shared" si="54"/>
        <v>4545</v>
      </c>
      <c r="H110" s="56">
        <v>4500</v>
      </c>
      <c r="I110" s="65">
        <f t="shared" si="68"/>
        <v>0.01</v>
      </c>
      <c r="J110" s="64">
        <f t="shared" si="68"/>
        <v>150</v>
      </c>
      <c r="K110" s="34">
        <f>(F110+G110+J110)*$K$5</f>
        <v>314.7</v>
      </c>
      <c r="L110" s="34">
        <f>(F110+G110+J110+K110)*$L$5</f>
        <v>500.373</v>
      </c>
      <c r="M110" s="55">
        <f t="shared" si="55"/>
        <v>6060.073</v>
      </c>
      <c r="N110" s="55"/>
      <c r="O110" s="55">
        <f t="shared" si="56"/>
        <v>72720.876</v>
      </c>
      <c r="P110" s="53" t="str">
        <f t="shared" si="62"/>
        <v>海信</v>
      </c>
      <c r="R110" s="21">
        <f t="shared" si="38"/>
        <v>72720.876</v>
      </c>
      <c r="S110" s="21">
        <f t="shared" si="39"/>
        <v>6060.073</v>
      </c>
      <c r="T110" s="21" t="b">
        <f t="shared" si="40"/>
        <v>1</v>
      </c>
      <c r="U110" s="21" t="b">
        <f t="shared" si="41"/>
        <v>1</v>
      </c>
    </row>
    <row r="111" s="21" customFormat="1" outlineLevel="1" spans="1:21">
      <c r="A111" s="53">
        <v>94</v>
      </c>
      <c r="B111" s="53" t="s">
        <v>511</v>
      </c>
      <c r="C111" s="53" t="s">
        <v>512</v>
      </c>
      <c r="D111" s="53" t="s">
        <v>110</v>
      </c>
      <c r="E111" s="53">
        <v>71.17</v>
      </c>
      <c r="F111" s="54">
        <v>35</v>
      </c>
      <c r="G111" s="53">
        <f t="shared" si="54"/>
        <v>68.25</v>
      </c>
      <c r="H111" s="54">
        <v>65</v>
      </c>
      <c r="I111" s="77">
        <v>0.05</v>
      </c>
      <c r="J111" s="78">
        <v>15</v>
      </c>
      <c r="K111" s="64">
        <f>(F111+G111+J111)*$K$5</f>
        <v>7.095</v>
      </c>
      <c r="L111" s="64">
        <f>(F111+G111+J111+K111)*$L$5</f>
        <v>11.28105</v>
      </c>
      <c r="M111" s="79">
        <f t="shared" si="55"/>
        <v>136.62605</v>
      </c>
      <c r="N111" s="80"/>
      <c r="O111" s="53">
        <f t="shared" si="56"/>
        <v>9723.6759785</v>
      </c>
      <c r="P111" s="53"/>
      <c r="R111" s="21">
        <f t="shared" si="38"/>
        <v>9723.6759785</v>
      </c>
      <c r="S111" s="21">
        <f t="shared" si="39"/>
        <v>136.62605</v>
      </c>
      <c r="T111" s="21" t="b">
        <f t="shared" si="40"/>
        <v>1</v>
      </c>
      <c r="U111" s="21" t="b">
        <f t="shared" si="41"/>
        <v>1</v>
      </c>
    </row>
    <row r="112" s="21" customFormat="1" outlineLevel="1" spans="1:21">
      <c r="A112" s="53"/>
      <c r="B112" s="53"/>
      <c r="C112" s="53"/>
      <c r="D112" s="53"/>
      <c r="E112" s="53"/>
      <c r="F112" s="54"/>
      <c r="G112" s="53"/>
      <c r="H112" s="54"/>
      <c r="I112" s="77"/>
      <c r="J112" s="78"/>
      <c r="K112" s="64"/>
      <c r="L112" s="64"/>
      <c r="M112" s="81"/>
      <c r="N112" s="82"/>
      <c r="O112" s="53"/>
      <c r="P112" s="53"/>
      <c r="R112" s="21">
        <f t="shared" si="38"/>
        <v>0</v>
      </c>
      <c r="S112" s="21">
        <f t="shared" si="39"/>
        <v>0</v>
      </c>
      <c r="T112" s="21" t="b">
        <f t="shared" si="40"/>
        <v>1</v>
      </c>
      <c r="U112" s="21" t="b">
        <f t="shared" si="41"/>
        <v>1</v>
      </c>
    </row>
    <row r="113" s="21" customFormat="1" outlineLevel="1" spans="1:21">
      <c r="A113" s="72">
        <v>95</v>
      </c>
      <c r="B113" s="72" t="s">
        <v>511</v>
      </c>
      <c r="C113" s="72" t="s">
        <v>513</v>
      </c>
      <c r="D113" s="72" t="s">
        <v>110</v>
      </c>
      <c r="E113" s="72">
        <v>54.25</v>
      </c>
      <c r="F113" s="72">
        <f t="shared" ref="F113:J113" si="69">F111</f>
        <v>35</v>
      </c>
      <c r="G113" s="72">
        <f t="shared" ref="G113:G128" si="70">H113*(1+I113)</f>
        <v>68.25</v>
      </c>
      <c r="H113" s="72">
        <f t="shared" si="69"/>
        <v>65</v>
      </c>
      <c r="I113" s="89">
        <f t="shared" si="69"/>
        <v>0.05</v>
      </c>
      <c r="J113" s="85">
        <f t="shared" si="69"/>
        <v>15</v>
      </c>
      <c r="K113" s="85">
        <f>(F113+G113+J113)*$K$5</f>
        <v>7.095</v>
      </c>
      <c r="L113" s="85">
        <f>(F113+G113+J113+K113)*$L$5</f>
        <v>11.28105</v>
      </c>
      <c r="M113" s="79">
        <f t="shared" ref="M113:M128" si="71">F113+G113+J113+K113+L113</f>
        <v>136.62605</v>
      </c>
      <c r="N113" s="80"/>
      <c r="O113" s="72">
        <f t="shared" ref="O113:O128" si="72">M113*E113</f>
        <v>7411.9632125</v>
      </c>
      <c r="P113" s="85"/>
      <c r="R113" s="21">
        <f t="shared" si="38"/>
        <v>7411.9632125</v>
      </c>
      <c r="S113" s="21">
        <f t="shared" si="39"/>
        <v>136.62605</v>
      </c>
      <c r="T113" s="21" t="b">
        <f t="shared" si="40"/>
        <v>1</v>
      </c>
      <c r="U113" s="21" t="b">
        <f t="shared" si="41"/>
        <v>1</v>
      </c>
    </row>
    <row r="114" s="21" customFormat="1" outlineLevel="1" spans="1:21">
      <c r="A114" s="74"/>
      <c r="B114" s="74"/>
      <c r="C114" s="74"/>
      <c r="D114" s="74"/>
      <c r="E114" s="74"/>
      <c r="F114" s="74"/>
      <c r="G114" s="74"/>
      <c r="H114" s="74"/>
      <c r="I114" s="90"/>
      <c r="J114" s="88"/>
      <c r="K114" s="88"/>
      <c r="L114" s="88"/>
      <c r="M114" s="81"/>
      <c r="N114" s="82"/>
      <c r="O114" s="74"/>
      <c r="P114" s="88"/>
      <c r="R114" s="21">
        <f t="shared" si="38"/>
        <v>0</v>
      </c>
      <c r="S114" s="21">
        <f t="shared" si="39"/>
        <v>0</v>
      </c>
      <c r="T114" s="21" t="b">
        <f t="shared" si="40"/>
        <v>1</v>
      </c>
      <c r="U114" s="21" t="b">
        <f t="shared" si="41"/>
        <v>1</v>
      </c>
    </row>
    <row r="115" s="21" customFormat="1" outlineLevel="1" spans="1:21">
      <c r="A115" s="72">
        <v>96</v>
      </c>
      <c r="B115" s="72" t="s">
        <v>511</v>
      </c>
      <c r="C115" s="72" t="s">
        <v>514</v>
      </c>
      <c r="D115" s="72" t="s">
        <v>110</v>
      </c>
      <c r="E115" s="72">
        <v>10.73</v>
      </c>
      <c r="F115" s="72">
        <f t="shared" ref="F115:J115" si="73">F111</f>
        <v>35</v>
      </c>
      <c r="G115" s="72">
        <f t="shared" si="70"/>
        <v>68.25</v>
      </c>
      <c r="H115" s="72">
        <f t="shared" si="73"/>
        <v>65</v>
      </c>
      <c r="I115" s="89">
        <f t="shared" si="73"/>
        <v>0.05</v>
      </c>
      <c r="J115" s="85">
        <f t="shared" si="73"/>
        <v>15</v>
      </c>
      <c r="K115" s="85">
        <f>(F115+G115+J115)*$K$5</f>
        <v>7.095</v>
      </c>
      <c r="L115" s="85">
        <f>(F115+G115+J115+K115)*$L$5</f>
        <v>11.28105</v>
      </c>
      <c r="M115" s="79">
        <f t="shared" si="71"/>
        <v>136.62605</v>
      </c>
      <c r="N115" s="80"/>
      <c r="O115" s="72">
        <f t="shared" si="72"/>
        <v>1465.9975165</v>
      </c>
      <c r="P115" s="85"/>
      <c r="R115" s="21">
        <f t="shared" si="38"/>
        <v>1465.9975165</v>
      </c>
      <c r="S115" s="21">
        <f t="shared" si="39"/>
        <v>136.62605</v>
      </c>
      <c r="T115" s="21" t="b">
        <f t="shared" si="40"/>
        <v>1</v>
      </c>
      <c r="U115" s="21" t="b">
        <f t="shared" si="41"/>
        <v>1</v>
      </c>
    </row>
    <row r="116" s="21" customFormat="1" outlineLevel="1" spans="1:21">
      <c r="A116" s="74"/>
      <c r="B116" s="74"/>
      <c r="C116" s="74"/>
      <c r="D116" s="74"/>
      <c r="E116" s="74"/>
      <c r="F116" s="74"/>
      <c r="G116" s="74"/>
      <c r="H116" s="74"/>
      <c r="I116" s="90"/>
      <c r="J116" s="88"/>
      <c r="K116" s="88"/>
      <c r="L116" s="88"/>
      <c r="M116" s="81"/>
      <c r="N116" s="82"/>
      <c r="O116" s="74"/>
      <c r="P116" s="88"/>
      <c r="R116" s="21">
        <f t="shared" si="38"/>
        <v>0</v>
      </c>
      <c r="S116" s="21">
        <f t="shared" si="39"/>
        <v>0</v>
      </c>
      <c r="T116" s="21" t="b">
        <f t="shared" si="40"/>
        <v>1</v>
      </c>
      <c r="U116" s="21" t="b">
        <f t="shared" si="41"/>
        <v>1</v>
      </c>
    </row>
    <row r="117" s="21" customFormat="1" ht="33.75" outlineLevel="1" spans="1:21">
      <c r="A117" s="53">
        <v>97</v>
      </c>
      <c r="B117" s="53" t="s">
        <v>515</v>
      </c>
      <c r="C117" s="53" t="s">
        <v>516</v>
      </c>
      <c r="D117" s="53" t="s">
        <v>110</v>
      </c>
      <c r="E117" s="53">
        <v>18.82</v>
      </c>
      <c r="F117" s="54">
        <v>185</v>
      </c>
      <c r="G117" s="55">
        <f t="shared" si="70"/>
        <v>231</v>
      </c>
      <c r="H117" s="56">
        <v>220</v>
      </c>
      <c r="I117" s="66">
        <v>0.05</v>
      </c>
      <c r="J117" s="67">
        <v>15</v>
      </c>
      <c r="K117" s="34">
        <f>(F117+G117+J117)*$K$5</f>
        <v>25.86</v>
      </c>
      <c r="L117" s="34">
        <f>(F117+G117+J117+K117)*$L$5</f>
        <v>41.1174</v>
      </c>
      <c r="M117" s="55">
        <f t="shared" si="71"/>
        <v>497.9774</v>
      </c>
      <c r="N117" s="55"/>
      <c r="O117" s="55">
        <f t="shared" si="72"/>
        <v>9371.934668</v>
      </c>
      <c r="P117" s="53"/>
      <c r="R117" s="21">
        <f t="shared" si="38"/>
        <v>9371.934668</v>
      </c>
      <c r="S117" s="21">
        <f t="shared" si="39"/>
        <v>497.9774</v>
      </c>
      <c r="T117" s="21" t="b">
        <f t="shared" si="40"/>
        <v>1</v>
      </c>
      <c r="U117" s="21" t="b">
        <f t="shared" si="41"/>
        <v>1</v>
      </c>
    </row>
    <row r="118" s="21" customFormat="1" ht="78.75" outlineLevel="1" spans="1:21">
      <c r="A118" s="53">
        <v>98</v>
      </c>
      <c r="B118" s="53" t="s">
        <v>517</v>
      </c>
      <c r="C118" s="53" t="s">
        <v>518</v>
      </c>
      <c r="D118" s="53" t="s">
        <v>144</v>
      </c>
      <c r="E118" s="53">
        <v>51.62</v>
      </c>
      <c r="F118" s="54">
        <v>15</v>
      </c>
      <c r="G118" s="55">
        <f t="shared" si="70"/>
        <v>78.75</v>
      </c>
      <c r="H118" s="56">
        <v>75</v>
      </c>
      <c r="I118" s="68">
        <v>0.05</v>
      </c>
      <c r="J118" s="69">
        <v>1</v>
      </c>
      <c r="K118" s="34">
        <f>(F118+G118+J118)*$K$5</f>
        <v>5.685</v>
      </c>
      <c r="L118" s="34">
        <f>(F118+G118+J118+K118)*$L$5</f>
        <v>9.03915</v>
      </c>
      <c r="M118" s="55">
        <f t="shared" si="71"/>
        <v>109.47415</v>
      </c>
      <c r="N118" s="55"/>
      <c r="O118" s="55">
        <f t="shared" si="72"/>
        <v>5651.055623</v>
      </c>
      <c r="P118" s="91" t="s">
        <v>519</v>
      </c>
      <c r="R118" s="21">
        <f t="shared" si="38"/>
        <v>5651.055623</v>
      </c>
      <c r="S118" s="21">
        <f t="shared" si="39"/>
        <v>109.47415</v>
      </c>
      <c r="T118" s="21" t="b">
        <f t="shared" si="40"/>
        <v>1</v>
      </c>
      <c r="U118" s="21" t="b">
        <f t="shared" si="41"/>
        <v>1</v>
      </c>
    </row>
    <row r="119" s="21" customFormat="1" ht="78.75" outlineLevel="1" spans="1:21">
      <c r="A119" s="53">
        <v>99</v>
      </c>
      <c r="B119" s="53" t="s">
        <v>517</v>
      </c>
      <c r="C119" s="53" t="s">
        <v>520</v>
      </c>
      <c r="D119" s="53" t="s">
        <v>144</v>
      </c>
      <c r="E119" s="53">
        <v>7.39</v>
      </c>
      <c r="F119" s="71">
        <f t="shared" ref="F119:J119" si="74">F118</f>
        <v>15</v>
      </c>
      <c r="G119" s="55">
        <f t="shared" si="70"/>
        <v>71.4</v>
      </c>
      <c r="H119" s="56">
        <v>68</v>
      </c>
      <c r="I119" s="68">
        <f t="shared" si="74"/>
        <v>0.05</v>
      </c>
      <c r="J119" s="69">
        <f t="shared" si="74"/>
        <v>1</v>
      </c>
      <c r="K119" s="34">
        <f>(F119+G119+J119)*$K$5</f>
        <v>5.244</v>
      </c>
      <c r="L119" s="34">
        <f>(F119+G119+J119+K119)*$L$5</f>
        <v>8.33796</v>
      </c>
      <c r="M119" s="55">
        <f t="shared" si="71"/>
        <v>100.98196</v>
      </c>
      <c r="N119" s="55"/>
      <c r="O119" s="55">
        <f t="shared" si="72"/>
        <v>746.2566844</v>
      </c>
      <c r="P119" s="91" t="s">
        <v>519</v>
      </c>
      <c r="R119" s="21">
        <f t="shared" si="38"/>
        <v>746.2566844</v>
      </c>
      <c r="S119" s="21">
        <f t="shared" si="39"/>
        <v>100.98196</v>
      </c>
      <c r="T119" s="21" t="b">
        <f t="shared" si="40"/>
        <v>1</v>
      </c>
      <c r="U119" s="21" t="b">
        <f t="shared" si="41"/>
        <v>1</v>
      </c>
    </row>
    <row r="120" s="21" customFormat="1" ht="90" outlineLevel="1" spans="1:21">
      <c r="A120" s="53">
        <v>100</v>
      </c>
      <c r="B120" s="53" t="s">
        <v>517</v>
      </c>
      <c r="C120" s="53" t="s">
        <v>521</v>
      </c>
      <c r="D120" s="53" t="s">
        <v>144</v>
      </c>
      <c r="E120" s="53">
        <v>40.63</v>
      </c>
      <c r="F120" s="71">
        <f t="shared" ref="F120:J120" si="75">F118</f>
        <v>15</v>
      </c>
      <c r="G120" s="55">
        <f t="shared" si="70"/>
        <v>65.1</v>
      </c>
      <c r="H120" s="56">
        <v>62</v>
      </c>
      <c r="I120" s="68">
        <f t="shared" si="75"/>
        <v>0.05</v>
      </c>
      <c r="J120" s="69">
        <f t="shared" si="75"/>
        <v>1</v>
      </c>
      <c r="K120" s="34">
        <f>(F120+G120+J120)*$K$5</f>
        <v>4.866</v>
      </c>
      <c r="L120" s="34">
        <f>(F120+G120+J120+K120)*$L$5</f>
        <v>7.73694</v>
      </c>
      <c r="M120" s="55">
        <f t="shared" si="71"/>
        <v>93.70294</v>
      </c>
      <c r="N120" s="55"/>
      <c r="O120" s="55">
        <f t="shared" si="72"/>
        <v>3807.1504522</v>
      </c>
      <c r="P120" s="91" t="s">
        <v>519</v>
      </c>
      <c r="R120" s="21">
        <f t="shared" si="38"/>
        <v>3807.1504522</v>
      </c>
      <c r="S120" s="21">
        <f t="shared" si="39"/>
        <v>93.70294</v>
      </c>
      <c r="T120" s="21" t="b">
        <f t="shared" si="40"/>
        <v>1</v>
      </c>
      <c r="U120" s="21" t="b">
        <f t="shared" si="41"/>
        <v>1</v>
      </c>
    </row>
    <row r="121" s="21" customFormat="1" ht="78.75" outlineLevel="1" spans="1:21">
      <c r="A121" s="53">
        <v>101</v>
      </c>
      <c r="B121" s="53" t="s">
        <v>517</v>
      </c>
      <c r="C121" s="53" t="s">
        <v>522</v>
      </c>
      <c r="D121" s="53" t="s">
        <v>144</v>
      </c>
      <c r="E121" s="53">
        <v>39.36</v>
      </c>
      <c r="F121" s="71">
        <f t="shared" ref="F121:J121" si="76">F118</f>
        <v>15</v>
      </c>
      <c r="G121" s="55">
        <f t="shared" si="70"/>
        <v>57.75</v>
      </c>
      <c r="H121" s="56">
        <v>55</v>
      </c>
      <c r="I121" s="68">
        <f t="shared" si="76"/>
        <v>0.05</v>
      </c>
      <c r="J121" s="69">
        <f t="shared" si="76"/>
        <v>1</v>
      </c>
      <c r="K121" s="34">
        <f>(F121+G121+J121)*$K$5</f>
        <v>4.425</v>
      </c>
      <c r="L121" s="34">
        <f>(F121+G121+J121+K121)*$L$5</f>
        <v>7.03575</v>
      </c>
      <c r="M121" s="55">
        <f t="shared" si="71"/>
        <v>85.21075</v>
      </c>
      <c r="N121" s="55"/>
      <c r="O121" s="55">
        <f t="shared" si="72"/>
        <v>3353.89512</v>
      </c>
      <c r="P121" s="91" t="s">
        <v>519</v>
      </c>
      <c r="R121" s="21">
        <f t="shared" si="38"/>
        <v>3353.89512</v>
      </c>
      <c r="S121" s="21">
        <f t="shared" si="39"/>
        <v>85.21075</v>
      </c>
      <c r="T121" s="21" t="b">
        <f t="shared" si="40"/>
        <v>1</v>
      </c>
      <c r="U121" s="21" t="b">
        <f t="shared" si="41"/>
        <v>1</v>
      </c>
    </row>
    <row r="122" s="21" customFormat="1" ht="78.75" outlineLevel="1" spans="1:21">
      <c r="A122" s="53">
        <v>102</v>
      </c>
      <c r="B122" s="53" t="s">
        <v>517</v>
      </c>
      <c r="C122" s="53" t="s">
        <v>523</v>
      </c>
      <c r="D122" s="53" t="s">
        <v>144</v>
      </c>
      <c r="E122" s="53">
        <v>12.89</v>
      </c>
      <c r="F122" s="53">
        <v>10</v>
      </c>
      <c r="G122" s="55">
        <f t="shared" si="70"/>
        <v>47.25</v>
      </c>
      <c r="H122" s="56">
        <v>45</v>
      </c>
      <c r="I122" s="68">
        <f>I118</f>
        <v>0.05</v>
      </c>
      <c r="J122" s="69">
        <f>J118</f>
        <v>1</v>
      </c>
      <c r="K122" s="34">
        <f>(F122+G122+J122)*$K$5</f>
        <v>3.495</v>
      </c>
      <c r="L122" s="34">
        <f>(F122+G122+J122+K122)*$L$5</f>
        <v>5.55705</v>
      </c>
      <c r="M122" s="55">
        <f t="shared" si="71"/>
        <v>67.30205</v>
      </c>
      <c r="N122" s="55"/>
      <c r="O122" s="55">
        <f t="shared" si="72"/>
        <v>867.5234245</v>
      </c>
      <c r="P122" s="91" t="s">
        <v>519</v>
      </c>
      <c r="R122" s="21">
        <f t="shared" si="38"/>
        <v>867.5234245</v>
      </c>
      <c r="S122" s="21">
        <f t="shared" si="39"/>
        <v>67.30205</v>
      </c>
      <c r="T122" s="21" t="b">
        <f t="shared" si="40"/>
        <v>1</v>
      </c>
      <c r="U122" s="21" t="b">
        <f t="shared" si="41"/>
        <v>1</v>
      </c>
    </row>
    <row r="123" s="21" customFormat="1" ht="78.75" outlineLevel="1" spans="1:21">
      <c r="A123" s="53">
        <v>103</v>
      </c>
      <c r="B123" s="53" t="s">
        <v>517</v>
      </c>
      <c r="C123" s="53" t="s">
        <v>524</v>
      </c>
      <c r="D123" s="53" t="s">
        <v>144</v>
      </c>
      <c r="E123" s="53">
        <v>59.01</v>
      </c>
      <c r="F123" s="53">
        <f>F122</f>
        <v>10</v>
      </c>
      <c r="G123" s="55">
        <f t="shared" si="70"/>
        <v>44.1</v>
      </c>
      <c r="H123" s="56">
        <v>42</v>
      </c>
      <c r="I123" s="68">
        <f>I118</f>
        <v>0.05</v>
      </c>
      <c r="J123" s="69">
        <f>J118</f>
        <v>1</v>
      </c>
      <c r="K123" s="34">
        <f>(F123+G123+J123)*$K$5</f>
        <v>3.306</v>
      </c>
      <c r="L123" s="34">
        <f>(F123+G123+J123+K123)*$L$5</f>
        <v>5.25654</v>
      </c>
      <c r="M123" s="55">
        <f t="shared" si="71"/>
        <v>63.66254</v>
      </c>
      <c r="N123" s="55"/>
      <c r="O123" s="55">
        <f t="shared" si="72"/>
        <v>3756.7264854</v>
      </c>
      <c r="P123" s="91" t="s">
        <v>519</v>
      </c>
      <c r="R123" s="21">
        <f t="shared" si="38"/>
        <v>3756.7264854</v>
      </c>
      <c r="S123" s="21">
        <f t="shared" si="39"/>
        <v>63.66254</v>
      </c>
      <c r="T123" s="21" t="b">
        <f t="shared" si="40"/>
        <v>1</v>
      </c>
      <c r="U123" s="21" t="b">
        <f t="shared" si="41"/>
        <v>1</v>
      </c>
    </row>
    <row r="124" s="21" customFormat="1" ht="90" outlineLevel="1" spans="1:21">
      <c r="A124" s="53">
        <v>104</v>
      </c>
      <c r="B124" s="53" t="s">
        <v>517</v>
      </c>
      <c r="C124" s="53" t="s">
        <v>525</v>
      </c>
      <c r="D124" s="53" t="s">
        <v>144</v>
      </c>
      <c r="E124" s="53">
        <v>53.18</v>
      </c>
      <c r="F124" s="53">
        <f>F122</f>
        <v>10</v>
      </c>
      <c r="G124" s="55">
        <f t="shared" si="70"/>
        <v>36.75</v>
      </c>
      <c r="H124" s="56">
        <v>35</v>
      </c>
      <c r="I124" s="68">
        <f>I118</f>
        <v>0.05</v>
      </c>
      <c r="J124" s="69">
        <f>J118</f>
        <v>1</v>
      </c>
      <c r="K124" s="34">
        <f>(F124+G124+J124)*$K$5</f>
        <v>2.865</v>
      </c>
      <c r="L124" s="34">
        <f>(F124+G124+J124+K124)*$L$5</f>
        <v>4.55535</v>
      </c>
      <c r="M124" s="55">
        <f t="shared" si="71"/>
        <v>55.17035</v>
      </c>
      <c r="N124" s="55"/>
      <c r="O124" s="55">
        <f t="shared" si="72"/>
        <v>2933.959213</v>
      </c>
      <c r="P124" s="91" t="s">
        <v>519</v>
      </c>
      <c r="R124" s="21">
        <f t="shared" si="38"/>
        <v>2933.959213</v>
      </c>
      <c r="S124" s="21">
        <f t="shared" si="39"/>
        <v>55.17035</v>
      </c>
      <c r="T124" s="21" t="b">
        <f t="shared" si="40"/>
        <v>1</v>
      </c>
      <c r="U124" s="21" t="b">
        <f t="shared" si="41"/>
        <v>1</v>
      </c>
    </row>
    <row r="125" s="21" customFormat="1" ht="90" outlineLevel="1" spans="1:21">
      <c r="A125" s="53">
        <v>105</v>
      </c>
      <c r="B125" s="53" t="s">
        <v>517</v>
      </c>
      <c r="C125" s="53" t="s">
        <v>526</v>
      </c>
      <c r="D125" s="53" t="s">
        <v>144</v>
      </c>
      <c r="E125" s="53">
        <v>143.52</v>
      </c>
      <c r="F125" s="53">
        <f>F122</f>
        <v>10</v>
      </c>
      <c r="G125" s="55">
        <f t="shared" si="70"/>
        <v>33.6</v>
      </c>
      <c r="H125" s="56">
        <v>32</v>
      </c>
      <c r="I125" s="68">
        <f>I118</f>
        <v>0.05</v>
      </c>
      <c r="J125" s="69">
        <f>J118</f>
        <v>1</v>
      </c>
      <c r="K125" s="34">
        <f>(F125+G125+J125)*$K$5</f>
        <v>2.676</v>
      </c>
      <c r="L125" s="34">
        <f>(F125+G125+J125+K125)*$L$5</f>
        <v>4.25484</v>
      </c>
      <c r="M125" s="55">
        <f t="shared" si="71"/>
        <v>51.53084</v>
      </c>
      <c r="N125" s="55"/>
      <c r="O125" s="55">
        <f t="shared" si="72"/>
        <v>7395.7061568</v>
      </c>
      <c r="P125" s="91" t="s">
        <v>519</v>
      </c>
      <c r="R125" s="21">
        <f t="shared" si="38"/>
        <v>7395.7061568</v>
      </c>
      <c r="S125" s="21">
        <f t="shared" si="39"/>
        <v>51.53084</v>
      </c>
      <c r="T125" s="21" t="b">
        <f t="shared" si="40"/>
        <v>1</v>
      </c>
      <c r="U125" s="21" t="b">
        <f t="shared" si="41"/>
        <v>1</v>
      </c>
    </row>
    <row r="126" s="21" customFormat="1" ht="78.75" outlineLevel="1" spans="1:21">
      <c r="A126" s="53">
        <v>106</v>
      </c>
      <c r="B126" s="53" t="s">
        <v>517</v>
      </c>
      <c r="C126" s="53" t="s">
        <v>527</v>
      </c>
      <c r="D126" s="53" t="s">
        <v>144</v>
      </c>
      <c r="E126" s="53">
        <v>29.16</v>
      </c>
      <c r="F126" s="53">
        <f>F122</f>
        <v>10</v>
      </c>
      <c r="G126" s="55">
        <f t="shared" si="70"/>
        <v>26.25</v>
      </c>
      <c r="H126" s="56">
        <v>25</v>
      </c>
      <c r="I126" s="68">
        <f>I118</f>
        <v>0.05</v>
      </c>
      <c r="J126" s="69">
        <f>J118</f>
        <v>1</v>
      </c>
      <c r="K126" s="34">
        <f>(F126+G126+J126)*$K$5</f>
        <v>2.235</v>
      </c>
      <c r="L126" s="34">
        <f>(F126+G126+J126+K126)*$L$5</f>
        <v>3.55365</v>
      </c>
      <c r="M126" s="55">
        <f t="shared" si="71"/>
        <v>43.03865</v>
      </c>
      <c r="N126" s="55"/>
      <c r="O126" s="55">
        <f t="shared" si="72"/>
        <v>1255.007034</v>
      </c>
      <c r="P126" s="91" t="s">
        <v>519</v>
      </c>
      <c r="R126" s="21">
        <f t="shared" si="38"/>
        <v>1255.007034</v>
      </c>
      <c r="S126" s="21">
        <f t="shared" si="39"/>
        <v>43.03865</v>
      </c>
      <c r="T126" s="21" t="b">
        <f t="shared" si="40"/>
        <v>1</v>
      </c>
      <c r="U126" s="21" t="b">
        <f t="shared" si="41"/>
        <v>1</v>
      </c>
    </row>
    <row r="127" s="21" customFormat="1" ht="78.75" outlineLevel="1" spans="1:21">
      <c r="A127" s="53">
        <v>107</v>
      </c>
      <c r="B127" s="53" t="s">
        <v>517</v>
      </c>
      <c r="C127" s="53" t="s">
        <v>528</v>
      </c>
      <c r="D127" s="53" t="s">
        <v>144</v>
      </c>
      <c r="E127" s="53">
        <v>107.87</v>
      </c>
      <c r="F127" s="53">
        <f>F124</f>
        <v>10</v>
      </c>
      <c r="G127" s="55">
        <f t="shared" si="70"/>
        <v>21</v>
      </c>
      <c r="H127" s="56">
        <v>20</v>
      </c>
      <c r="I127" s="68">
        <f>I118</f>
        <v>0.05</v>
      </c>
      <c r="J127" s="69">
        <f>J118</f>
        <v>1</v>
      </c>
      <c r="K127" s="34">
        <f>(F127+G127+J127)*$K$5</f>
        <v>1.92</v>
      </c>
      <c r="L127" s="34">
        <f>(F127+G127+J127+K127)*$L$5</f>
        <v>3.0528</v>
      </c>
      <c r="M127" s="55">
        <f t="shared" si="71"/>
        <v>36.9728</v>
      </c>
      <c r="N127" s="55"/>
      <c r="O127" s="55">
        <f t="shared" si="72"/>
        <v>3988.255936</v>
      </c>
      <c r="P127" s="91" t="s">
        <v>519</v>
      </c>
      <c r="R127" s="21">
        <f t="shared" si="38"/>
        <v>3988.255936</v>
      </c>
      <c r="S127" s="21">
        <f t="shared" si="39"/>
        <v>36.9728</v>
      </c>
      <c r="T127" s="21" t="b">
        <f t="shared" si="40"/>
        <v>1</v>
      </c>
      <c r="U127" s="21" t="b">
        <f t="shared" si="41"/>
        <v>1</v>
      </c>
    </row>
    <row r="128" s="21" customFormat="1" outlineLevel="1" spans="1:21">
      <c r="A128" s="72">
        <v>108</v>
      </c>
      <c r="B128" s="72" t="s">
        <v>482</v>
      </c>
      <c r="C128" s="72" t="s">
        <v>529</v>
      </c>
      <c r="D128" s="72" t="s">
        <v>144</v>
      </c>
      <c r="E128" s="72">
        <v>102.51</v>
      </c>
      <c r="F128" s="72">
        <f>F93</f>
        <v>15</v>
      </c>
      <c r="G128" s="72">
        <f t="shared" si="70"/>
        <v>33.6</v>
      </c>
      <c r="H128" s="73">
        <f>H81</f>
        <v>32</v>
      </c>
      <c r="I128" s="89">
        <f>I93</f>
        <v>0.05</v>
      </c>
      <c r="J128" s="84">
        <v>12</v>
      </c>
      <c r="K128" s="85">
        <f>(F128+G128+J128)*$K$5</f>
        <v>3.636</v>
      </c>
      <c r="L128" s="85">
        <f>(F128+G128+J128+K128)*$L$5</f>
        <v>5.78124</v>
      </c>
      <c r="M128" s="79">
        <f t="shared" si="71"/>
        <v>70.01724</v>
      </c>
      <c r="N128" s="80"/>
      <c r="O128" s="72">
        <f t="shared" si="72"/>
        <v>7177.4672724</v>
      </c>
      <c r="P128" s="72"/>
      <c r="R128" s="21">
        <f t="shared" si="38"/>
        <v>7177.4672724</v>
      </c>
      <c r="S128" s="21">
        <f t="shared" si="39"/>
        <v>70.01724</v>
      </c>
      <c r="T128" s="21" t="b">
        <f t="shared" si="40"/>
        <v>1</v>
      </c>
      <c r="U128" s="21" t="b">
        <f t="shared" si="41"/>
        <v>1</v>
      </c>
    </row>
    <row r="129" s="21" customFormat="1" outlineLevel="1" spans="1:21">
      <c r="A129" s="92"/>
      <c r="B129" s="92"/>
      <c r="C129" s="92"/>
      <c r="D129" s="92"/>
      <c r="E129" s="92"/>
      <c r="F129" s="92"/>
      <c r="G129" s="92"/>
      <c r="H129" s="93"/>
      <c r="I129" s="94"/>
      <c r="J129" s="95"/>
      <c r="K129" s="96"/>
      <c r="L129" s="96"/>
      <c r="M129" s="97"/>
      <c r="N129" s="98"/>
      <c r="O129" s="92"/>
      <c r="P129" s="92"/>
      <c r="R129" s="21">
        <f t="shared" si="38"/>
        <v>0</v>
      </c>
      <c r="S129" s="21">
        <f t="shared" si="39"/>
        <v>0</v>
      </c>
      <c r="T129" s="21" t="b">
        <f t="shared" si="40"/>
        <v>1</v>
      </c>
      <c r="U129" s="21" t="b">
        <f t="shared" si="41"/>
        <v>1</v>
      </c>
    </row>
    <row r="130" s="21" customFormat="1" outlineLevel="1" spans="1:21">
      <c r="A130" s="74"/>
      <c r="B130" s="74"/>
      <c r="C130" s="74"/>
      <c r="D130" s="74"/>
      <c r="E130" s="74"/>
      <c r="F130" s="74"/>
      <c r="G130" s="74"/>
      <c r="H130" s="75"/>
      <c r="I130" s="90"/>
      <c r="J130" s="87"/>
      <c r="K130" s="88"/>
      <c r="L130" s="88"/>
      <c r="M130" s="81"/>
      <c r="N130" s="82"/>
      <c r="O130" s="74"/>
      <c r="P130" s="74"/>
      <c r="R130" s="21">
        <f t="shared" si="38"/>
        <v>0</v>
      </c>
      <c r="S130" s="21">
        <f t="shared" si="39"/>
        <v>0</v>
      </c>
      <c r="T130" s="21" t="b">
        <f t="shared" si="40"/>
        <v>1</v>
      </c>
      <c r="U130" s="21" t="b">
        <f t="shared" si="41"/>
        <v>1</v>
      </c>
    </row>
    <row r="131" s="21" customFormat="1" outlineLevel="1" spans="1:21">
      <c r="A131" s="72">
        <v>109</v>
      </c>
      <c r="B131" s="72" t="s">
        <v>482</v>
      </c>
      <c r="C131" s="72" t="s">
        <v>530</v>
      </c>
      <c r="D131" s="72" t="s">
        <v>144</v>
      </c>
      <c r="E131" s="72">
        <v>101.05</v>
      </c>
      <c r="F131" s="72">
        <f>F128</f>
        <v>15</v>
      </c>
      <c r="G131" s="72">
        <f t="shared" ref="G131:G158" si="77">H131*(1+I131)</f>
        <v>18.9</v>
      </c>
      <c r="H131" s="73">
        <v>18</v>
      </c>
      <c r="I131" s="89">
        <f>I128</f>
        <v>0.05</v>
      </c>
      <c r="J131" s="84">
        <v>8</v>
      </c>
      <c r="K131" s="85">
        <f>(F131+G131+J131)*$K$5</f>
        <v>2.514</v>
      </c>
      <c r="L131" s="85">
        <f>(F131+G131+J131+K131)*$L$5</f>
        <v>3.99726</v>
      </c>
      <c r="M131" s="79">
        <f t="shared" ref="M131:M158" si="78">F131+G131+J131+K131+L131</f>
        <v>48.41126</v>
      </c>
      <c r="N131" s="80"/>
      <c r="O131" s="72">
        <f t="shared" ref="O131:O158" si="79">M131*E131</f>
        <v>4891.957823</v>
      </c>
      <c r="P131" s="72"/>
      <c r="R131" s="21">
        <f t="shared" si="38"/>
        <v>4891.957823</v>
      </c>
      <c r="S131" s="21">
        <f t="shared" si="39"/>
        <v>48.41126</v>
      </c>
      <c r="T131" s="21" t="b">
        <f t="shared" si="40"/>
        <v>1</v>
      </c>
      <c r="U131" s="21" t="b">
        <f t="shared" si="41"/>
        <v>1</v>
      </c>
    </row>
    <row r="132" s="21" customFormat="1" outlineLevel="1" spans="1:21">
      <c r="A132" s="92"/>
      <c r="B132" s="92"/>
      <c r="C132" s="92"/>
      <c r="D132" s="92"/>
      <c r="E132" s="92"/>
      <c r="F132" s="92"/>
      <c r="G132" s="92"/>
      <c r="H132" s="93"/>
      <c r="I132" s="94"/>
      <c r="J132" s="95"/>
      <c r="K132" s="96"/>
      <c r="L132" s="96"/>
      <c r="M132" s="97"/>
      <c r="N132" s="98"/>
      <c r="O132" s="92"/>
      <c r="P132" s="92"/>
      <c r="R132" s="21">
        <f t="shared" si="38"/>
        <v>0</v>
      </c>
      <c r="S132" s="21">
        <f t="shared" si="39"/>
        <v>0</v>
      </c>
      <c r="T132" s="21" t="b">
        <f t="shared" si="40"/>
        <v>1</v>
      </c>
      <c r="U132" s="21" t="b">
        <f t="shared" si="41"/>
        <v>1</v>
      </c>
    </row>
    <row r="133" s="21" customFormat="1" outlineLevel="1" spans="1:21">
      <c r="A133" s="74"/>
      <c r="B133" s="74"/>
      <c r="C133" s="74"/>
      <c r="D133" s="74"/>
      <c r="E133" s="74"/>
      <c r="F133" s="74"/>
      <c r="G133" s="74"/>
      <c r="H133" s="75"/>
      <c r="I133" s="90"/>
      <c r="J133" s="87"/>
      <c r="K133" s="88"/>
      <c r="L133" s="88"/>
      <c r="M133" s="81"/>
      <c r="N133" s="82"/>
      <c r="O133" s="74"/>
      <c r="P133" s="74"/>
      <c r="R133" s="21">
        <f t="shared" si="38"/>
        <v>0</v>
      </c>
      <c r="S133" s="21">
        <f t="shared" si="39"/>
        <v>0</v>
      </c>
      <c r="T133" s="21" t="b">
        <f t="shared" si="40"/>
        <v>1</v>
      </c>
      <c r="U133" s="21" t="b">
        <f t="shared" si="41"/>
        <v>1</v>
      </c>
    </row>
    <row r="134" s="21" customFormat="1" ht="56.25" outlineLevel="1" spans="1:21">
      <c r="A134" s="53">
        <v>110</v>
      </c>
      <c r="B134" s="53" t="s">
        <v>531</v>
      </c>
      <c r="C134" s="53" t="s">
        <v>532</v>
      </c>
      <c r="D134" s="53" t="s">
        <v>138</v>
      </c>
      <c r="E134" s="53">
        <v>2</v>
      </c>
      <c r="F134" s="54">
        <v>35</v>
      </c>
      <c r="G134" s="55">
        <f t="shared" si="77"/>
        <v>237.35</v>
      </c>
      <c r="H134" s="56">
        <v>235</v>
      </c>
      <c r="I134" s="66">
        <v>0.01</v>
      </c>
      <c r="J134" s="67">
        <v>10</v>
      </c>
      <c r="K134" s="34">
        <f>(F134+G134+J134)*$K$5</f>
        <v>16.941</v>
      </c>
      <c r="L134" s="34">
        <f>(F134+G134+J134+K134)*$L$5</f>
        <v>26.93619</v>
      </c>
      <c r="M134" s="55">
        <f t="shared" si="78"/>
        <v>326.22719</v>
      </c>
      <c r="N134" s="55"/>
      <c r="O134" s="55">
        <f t="shared" si="79"/>
        <v>652.45438</v>
      </c>
      <c r="P134" s="53"/>
      <c r="R134" s="21">
        <f t="shared" si="38"/>
        <v>652.45438</v>
      </c>
      <c r="S134" s="21">
        <f t="shared" si="39"/>
        <v>326.22719</v>
      </c>
      <c r="T134" s="21" t="b">
        <f t="shared" si="40"/>
        <v>1</v>
      </c>
      <c r="U134" s="21" t="b">
        <f t="shared" si="41"/>
        <v>1</v>
      </c>
    </row>
    <row r="135" s="21" customFormat="1" ht="56.25" outlineLevel="1" spans="1:21">
      <c r="A135" s="53">
        <v>111</v>
      </c>
      <c r="B135" s="53" t="s">
        <v>531</v>
      </c>
      <c r="C135" s="53" t="s">
        <v>533</v>
      </c>
      <c r="D135" s="53" t="s">
        <v>138</v>
      </c>
      <c r="E135" s="53">
        <v>1</v>
      </c>
      <c r="F135" s="53">
        <f t="shared" ref="F135:J135" si="80">F134</f>
        <v>35</v>
      </c>
      <c r="G135" s="55">
        <f t="shared" si="77"/>
        <v>237.35</v>
      </c>
      <c r="H135" s="58">
        <f t="shared" si="80"/>
        <v>235</v>
      </c>
      <c r="I135" s="68">
        <f t="shared" si="80"/>
        <v>0.01</v>
      </c>
      <c r="J135" s="69">
        <f t="shared" si="80"/>
        <v>10</v>
      </c>
      <c r="K135" s="34">
        <f>(F135+G135+J135)*$K$5</f>
        <v>16.941</v>
      </c>
      <c r="L135" s="34">
        <f>(F135+G135+J135+K135)*$L$5</f>
        <v>26.93619</v>
      </c>
      <c r="M135" s="55">
        <f t="shared" si="78"/>
        <v>326.22719</v>
      </c>
      <c r="N135" s="55"/>
      <c r="O135" s="55">
        <f t="shared" si="79"/>
        <v>326.22719</v>
      </c>
      <c r="P135" s="53"/>
      <c r="R135" s="21">
        <f t="shared" si="38"/>
        <v>326.22719</v>
      </c>
      <c r="S135" s="21">
        <f t="shared" si="39"/>
        <v>326.22719</v>
      </c>
      <c r="T135" s="21" t="b">
        <f t="shared" si="40"/>
        <v>1</v>
      </c>
      <c r="U135" s="21" t="b">
        <f t="shared" si="41"/>
        <v>1</v>
      </c>
    </row>
    <row r="136" s="21" customFormat="1" ht="56.25" outlineLevel="1" spans="1:21">
      <c r="A136" s="53">
        <v>112</v>
      </c>
      <c r="B136" s="53" t="s">
        <v>531</v>
      </c>
      <c r="C136" s="53" t="s">
        <v>534</v>
      </c>
      <c r="D136" s="53" t="s">
        <v>138</v>
      </c>
      <c r="E136" s="53">
        <v>1</v>
      </c>
      <c r="F136" s="53">
        <f t="shared" ref="F136:J136" si="81">F134</f>
        <v>35</v>
      </c>
      <c r="G136" s="55">
        <f t="shared" si="77"/>
        <v>237.35</v>
      </c>
      <c r="H136" s="58">
        <f t="shared" si="81"/>
        <v>235</v>
      </c>
      <c r="I136" s="68">
        <f t="shared" si="81"/>
        <v>0.01</v>
      </c>
      <c r="J136" s="69">
        <f t="shared" si="81"/>
        <v>10</v>
      </c>
      <c r="K136" s="34">
        <f>(F136+G136+J136)*$K$5</f>
        <v>16.941</v>
      </c>
      <c r="L136" s="34">
        <f>(F136+G136+J136+K136)*$L$5</f>
        <v>26.93619</v>
      </c>
      <c r="M136" s="55">
        <f t="shared" si="78"/>
        <v>326.22719</v>
      </c>
      <c r="N136" s="55"/>
      <c r="O136" s="55">
        <f t="shared" si="79"/>
        <v>326.22719</v>
      </c>
      <c r="P136" s="53"/>
      <c r="R136" s="21">
        <f t="shared" si="38"/>
        <v>326.22719</v>
      </c>
      <c r="S136" s="21">
        <f t="shared" si="39"/>
        <v>326.22719</v>
      </c>
      <c r="T136" s="21" t="b">
        <f t="shared" si="40"/>
        <v>1</v>
      </c>
      <c r="U136" s="21" t="b">
        <f t="shared" si="41"/>
        <v>1</v>
      </c>
    </row>
    <row r="137" s="21" customFormat="1" ht="67.5" outlineLevel="1" spans="1:21">
      <c r="A137" s="53">
        <v>113</v>
      </c>
      <c r="B137" s="53" t="s">
        <v>531</v>
      </c>
      <c r="C137" s="53" t="s">
        <v>535</v>
      </c>
      <c r="D137" s="53" t="s">
        <v>138</v>
      </c>
      <c r="E137" s="53">
        <v>1</v>
      </c>
      <c r="F137" s="53">
        <f t="shared" ref="F137:J137" si="82">F134</f>
        <v>35</v>
      </c>
      <c r="G137" s="55">
        <f t="shared" si="77"/>
        <v>166.65</v>
      </c>
      <c r="H137" s="56">
        <v>165</v>
      </c>
      <c r="I137" s="68">
        <f t="shared" si="82"/>
        <v>0.01</v>
      </c>
      <c r="J137" s="69">
        <f t="shared" si="82"/>
        <v>10</v>
      </c>
      <c r="K137" s="34">
        <f>(F137+G137+J137)*$K$5</f>
        <v>12.699</v>
      </c>
      <c r="L137" s="34">
        <f>(F137+G137+J137+K137)*$L$5</f>
        <v>20.19141</v>
      </c>
      <c r="M137" s="55">
        <f t="shared" si="78"/>
        <v>244.54041</v>
      </c>
      <c r="N137" s="55"/>
      <c r="O137" s="55">
        <f t="shared" si="79"/>
        <v>244.54041</v>
      </c>
      <c r="P137" s="53"/>
      <c r="R137" s="21">
        <f t="shared" ref="R137:R200" si="83">E137*M137</f>
        <v>244.54041</v>
      </c>
      <c r="S137" s="21">
        <f t="shared" ref="S137:S200" si="84">F137+G137+J137+K137+L137</f>
        <v>244.54041</v>
      </c>
      <c r="T137" s="21" t="b">
        <f t="shared" ref="T137:T200" si="85">M137=S137</f>
        <v>1</v>
      </c>
      <c r="U137" s="21" t="b">
        <f t="shared" ref="U137:U200" si="86">R137=O137</f>
        <v>1</v>
      </c>
    </row>
    <row r="138" s="21" customFormat="1" ht="67.5" outlineLevel="1" spans="1:21">
      <c r="A138" s="53">
        <v>114</v>
      </c>
      <c r="B138" s="53" t="s">
        <v>531</v>
      </c>
      <c r="C138" s="53" t="s">
        <v>536</v>
      </c>
      <c r="D138" s="53" t="s">
        <v>138</v>
      </c>
      <c r="E138" s="53">
        <v>4</v>
      </c>
      <c r="F138" s="53">
        <f>F134</f>
        <v>35</v>
      </c>
      <c r="G138" s="55">
        <f t="shared" si="77"/>
        <v>166.65</v>
      </c>
      <c r="H138" s="58">
        <f t="shared" ref="H138:J138" si="87">H137</f>
        <v>165</v>
      </c>
      <c r="I138" s="68">
        <f t="shared" si="87"/>
        <v>0.01</v>
      </c>
      <c r="J138" s="69">
        <f t="shared" si="87"/>
        <v>10</v>
      </c>
      <c r="K138" s="34">
        <f>(F138+G138+J138)*$K$5</f>
        <v>12.699</v>
      </c>
      <c r="L138" s="34">
        <f>(F138+G138+J138+K138)*$L$5</f>
        <v>20.19141</v>
      </c>
      <c r="M138" s="55">
        <f t="shared" si="78"/>
        <v>244.54041</v>
      </c>
      <c r="N138" s="55"/>
      <c r="O138" s="55">
        <f t="shared" si="79"/>
        <v>978.16164</v>
      </c>
      <c r="P138" s="53"/>
      <c r="R138" s="21">
        <f t="shared" si="83"/>
        <v>978.16164</v>
      </c>
      <c r="S138" s="21">
        <f t="shared" si="84"/>
        <v>244.54041</v>
      </c>
      <c r="T138" s="21" t="b">
        <f t="shared" si="85"/>
        <v>1</v>
      </c>
      <c r="U138" s="21" t="b">
        <f t="shared" si="86"/>
        <v>1</v>
      </c>
    </row>
    <row r="139" s="21" customFormat="1" ht="67.5" outlineLevel="1" spans="1:21">
      <c r="A139" s="53">
        <v>115</v>
      </c>
      <c r="B139" s="53" t="s">
        <v>531</v>
      </c>
      <c r="C139" s="53" t="s">
        <v>537</v>
      </c>
      <c r="D139" s="53" t="s">
        <v>138</v>
      </c>
      <c r="E139" s="53">
        <v>2</v>
      </c>
      <c r="F139" s="53">
        <f>F134</f>
        <v>35</v>
      </c>
      <c r="G139" s="55">
        <f t="shared" si="77"/>
        <v>166.65</v>
      </c>
      <c r="H139" s="58">
        <f t="shared" ref="H139:J139" si="88">H137</f>
        <v>165</v>
      </c>
      <c r="I139" s="68">
        <f t="shared" si="88"/>
        <v>0.01</v>
      </c>
      <c r="J139" s="69">
        <f t="shared" si="88"/>
        <v>10</v>
      </c>
      <c r="K139" s="34">
        <f>(F139+G139+J139)*$K$5</f>
        <v>12.699</v>
      </c>
      <c r="L139" s="34">
        <f>(F139+G139+J139+K139)*$L$5</f>
        <v>20.19141</v>
      </c>
      <c r="M139" s="55">
        <f t="shared" si="78"/>
        <v>244.54041</v>
      </c>
      <c r="N139" s="55"/>
      <c r="O139" s="55">
        <f t="shared" si="79"/>
        <v>489.08082</v>
      </c>
      <c r="P139" s="53"/>
      <c r="R139" s="21">
        <f t="shared" si="83"/>
        <v>489.08082</v>
      </c>
      <c r="S139" s="21">
        <f t="shared" si="84"/>
        <v>244.54041</v>
      </c>
      <c r="T139" s="21" t="b">
        <f t="shared" si="85"/>
        <v>1</v>
      </c>
      <c r="U139" s="21" t="b">
        <f t="shared" si="86"/>
        <v>1</v>
      </c>
    </row>
    <row r="140" s="21" customFormat="1" ht="56.25" outlineLevel="1" spans="1:21">
      <c r="A140" s="53">
        <v>116</v>
      </c>
      <c r="B140" s="53" t="s">
        <v>531</v>
      </c>
      <c r="C140" s="53" t="s">
        <v>538</v>
      </c>
      <c r="D140" s="53" t="s">
        <v>138</v>
      </c>
      <c r="E140" s="53">
        <v>4</v>
      </c>
      <c r="F140" s="53">
        <f>F134</f>
        <v>35</v>
      </c>
      <c r="G140" s="55">
        <f t="shared" si="77"/>
        <v>151.5</v>
      </c>
      <c r="H140" s="56">
        <v>150</v>
      </c>
      <c r="I140" s="68">
        <f>I137</f>
        <v>0.01</v>
      </c>
      <c r="J140" s="69">
        <f>J137</f>
        <v>10</v>
      </c>
      <c r="K140" s="34">
        <f>(F140+G140+J140)*$K$5</f>
        <v>11.79</v>
      </c>
      <c r="L140" s="34">
        <f>(F140+G140+J140+K140)*$L$5</f>
        <v>18.7461</v>
      </c>
      <c r="M140" s="55">
        <f t="shared" si="78"/>
        <v>227.0361</v>
      </c>
      <c r="N140" s="55"/>
      <c r="O140" s="55">
        <f t="shared" si="79"/>
        <v>908.1444</v>
      </c>
      <c r="P140" s="53"/>
      <c r="R140" s="21">
        <f t="shared" si="83"/>
        <v>908.1444</v>
      </c>
      <c r="S140" s="21">
        <f t="shared" si="84"/>
        <v>227.0361</v>
      </c>
      <c r="T140" s="21" t="b">
        <f t="shared" si="85"/>
        <v>1</v>
      </c>
      <c r="U140" s="21" t="b">
        <f t="shared" si="86"/>
        <v>1</v>
      </c>
    </row>
    <row r="141" s="21" customFormat="1" ht="56.25" outlineLevel="1" spans="1:21">
      <c r="A141" s="53">
        <v>117</v>
      </c>
      <c r="B141" s="53" t="s">
        <v>531</v>
      </c>
      <c r="C141" s="53" t="s">
        <v>539</v>
      </c>
      <c r="D141" s="53" t="s">
        <v>138</v>
      </c>
      <c r="E141" s="53">
        <v>3</v>
      </c>
      <c r="F141" s="53">
        <f t="shared" ref="F141:J141" si="89">F134</f>
        <v>35</v>
      </c>
      <c r="G141" s="55">
        <f t="shared" si="77"/>
        <v>151.5</v>
      </c>
      <c r="H141" s="58">
        <f>H140</f>
        <v>150</v>
      </c>
      <c r="I141" s="65">
        <f t="shared" si="89"/>
        <v>0.01</v>
      </c>
      <c r="J141" s="64">
        <f t="shared" si="89"/>
        <v>10</v>
      </c>
      <c r="K141" s="34">
        <f>(F141+G141+J141)*$K$5</f>
        <v>11.79</v>
      </c>
      <c r="L141" s="34">
        <f>(F141+G141+J141+K141)*$L$5</f>
        <v>18.7461</v>
      </c>
      <c r="M141" s="55">
        <f t="shared" si="78"/>
        <v>227.0361</v>
      </c>
      <c r="N141" s="55"/>
      <c r="O141" s="55">
        <f t="shared" si="79"/>
        <v>681.1083</v>
      </c>
      <c r="P141" s="53"/>
      <c r="R141" s="21">
        <f t="shared" si="83"/>
        <v>681.1083</v>
      </c>
      <c r="S141" s="21">
        <f t="shared" si="84"/>
        <v>227.0361</v>
      </c>
      <c r="T141" s="21" t="b">
        <f t="shared" si="85"/>
        <v>1</v>
      </c>
      <c r="U141" s="21" t="b">
        <f t="shared" si="86"/>
        <v>1</v>
      </c>
    </row>
    <row r="142" s="21" customFormat="1" ht="67.5" outlineLevel="1" spans="1:21">
      <c r="A142" s="53">
        <v>118</v>
      </c>
      <c r="B142" s="53" t="s">
        <v>531</v>
      </c>
      <c r="C142" s="53" t="s">
        <v>540</v>
      </c>
      <c r="D142" s="53" t="s">
        <v>138</v>
      </c>
      <c r="E142" s="53">
        <v>1</v>
      </c>
      <c r="F142" s="53">
        <f t="shared" ref="F142:J142" si="90">F134</f>
        <v>35</v>
      </c>
      <c r="G142" s="55">
        <f t="shared" si="77"/>
        <v>151.5</v>
      </c>
      <c r="H142" s="58">
        <f>H140</f>
        <v>150</v>
      </c>
      <c r="I142" s="65">
        <f t="shared" si="90"/>
        <v>0.01</v>
      </c>
      <c r="J142" s="64">
        <f t="shared" si="90"/>
        <v>10</v>
      </c>
      <c r="K142" s="34">
        <f>(F142+G142+J142)*$K$5</f>
        <v>11.79</v>
      </c>
      <c r="L142" s="34">
        <f>(F142+G142+J142+K142)*$L$5</f>
        <v>18.7461</v>
      </c>
      <c r="M142" s="55">
        <f t="shared" si="78"/>
        <v>227.0361</v>
      </c>
      <c r="N142" s="55"/>
      <c r="O142" s="55">
        <f t="shared" si="79"/>
        <v>227.0361</v>
      </c>
      <c r="P142" s="53"/>
      <c r="R142" s="21">
        <f t="shared" si="83"/>
        <v>227.0361</v>
      </c>
      <c r="S142" s="21">
        <f t="shared" si="84"/>
        <v>227.0361</v>
      </c>
      <c r="T142" s="21" t="b">
        <f t="shared" si="85"/>
        <v>1</v>
      </c>
      <c r="U142" s="21" t="b">
        <f t="shared" si="86"/>
        <v>1</v>
      </c>
    </row>
    <row r="143" s="21" customFormat="1" ht="67.5" outlineLevel="1" spans="1:21">
      <c r="A143" s="53">
        <v>119</v>
      </c>
      <c r="B143" s="53" t="s">
        <v>531</v>
      </c>
      <c r="C143" s="53" t="s">
        <v>541</v>
      </c>
      <c r="D143" s="53" t="s">
        <v>138</v>
      </c>
      <c r="E143" s="53">
        <v>2</v>
      </c>
      <c r="F143" s="53">
        <f t="shared" ref="F143:J143" si="91">F134</f>
        <v>35</v>
      </c>
      <c r="G143" s="55">
        <f t="shared" si="77"/>
        <v>151.5</v>
      </c>
      <c r="H143" s="58">
        <f>H140</f>
        <v>150</v>
      </c>
      <c r="I143" s="65">
        <f t="shared" si="91"/>
        <v>0.01</v>
      </c>
      <c r="J143" s="64">
        <f t="shared" si="91"/>
        <v>10</v>
      </c>
      <c r="K143" s="34">
        <f>(F143+G143+J143)*$K$5</f>
        <v>11.79</v>
      </c>
      <c r="L143" s="34">
        <f>(F143+G143+J143+K143)*$L$5</f>
        <v>18.7461</v>
      </c>
      <c r="M143" s="55">
        <f t="shared" si="78"/>
        <v>227.0361</v>
      </c>
      <c r="N143" s="55"/>
      <c r="O143" s="55">
        <f t="shared" si="79"/>
        <v>454.0722</v>
      </c>
      <c r="P143" s="53"/>
      <c r="R143" s="21">
        <f t="shared" si="83"/>
        <v>454.0722</v>
      </c>
      <c r="S143" s="21">
        <f t="shared" si="84"/>
        <v>227.0361</v>
      </c>
      <c r="T143" s="21" t="b">
        <f t="shared" si="85"/>
        <v>1</v>
      </c>
      <c r="U143" s="21" t="b">
        <f t="shared" si="86"/>
        <v>1</v>
      </c>
    </row>
    <row r="144" s="21" customFormat="1" ht="56.25" outlineLevel="1" spans="1:21">
      <c r="A144" s="53">
        <v>120</v>
      </c>
      <c r="B144" s="53" t="s">
        <v>531</v>
      </c>
      <c r="C144" s="53" t="s">
        <v>542</v>
      </c>
      <c r="D144" s="53" t="s">
        <v>138</v>
      </c>
      <c r="E144" s="53">
        <v>1</v>
      </c>
      <c r="F144" s="53">
        <f t="shared" ref="F144:J144" si="92">F134</f>
        <v>35</v>
      </c>
      <c r="G144" s="55">
        <f t="shared" si="77"/>
        <v>85.85</v>
      </c>
      <c r="H144" s="56">
        <v>85</v>
      </c>
      <c r="I144" s="65">
        <f t="shared" si="92"/>
        <v>0.01</v>
      </c>
      <c r="J144" s="64">
        <f t="shared" si="92"/>
        <v>10</v>
      </c>
      <c r="K144" s="34">
        <f>(F144+G144+J144)*$K$5</f>
        <v>7.851</v>
      </c>
      <c r="L144" s="34">
        <f>(F144+G144+J144+K144)*$L$5</f>
        <v>12.48309</v>
      </c>
      <c r="M144" s="55">
        <f t="shared" si="78"/>
        <v>151.18409</v>
      </c>
      <c r="N144" s="55"/>
      <c r="O144" s="55">
        <f t="shared" si="79"/>
        <v>151.18409</v>
      </c>
      <c r="P144" s="53"/>
      <c r="R144" s="21">
        <f t="shared" si="83"/>
        <v>151.18409</v>
      </c>
      <c r="S144" s="21">
        <f t="shared" si="84"/>
        <v>151.18409</v>
      </c>
      <c r="T144" s="21" t="b">
        <f t="shared" si="85"/>
        <v>1</v>
      </c>
      <c r="U144" s="21" t="b">
        <f t="shared" si="86"/>
        <v>1</v>
      </c>
    </row>
    <row r="145" s="21" customFormat="1" ht="56.25" outlineLevel="1" spans="1:21">
      <c r="A145" s="53">
        <v>121</v>
      </c>
      <c r="B145" s="53" t="s">
        <v>531</v>
      </c>
      <c r="C145" s="53" t="s">
        <v>543</v>
      </c>
      <c r="D145" s="53" t="s">
        <v>138</v>
      </c>
      <c r="E145" s="53">
        <v>2</v>
      </c>
      <c r="F145" s="53">
        <f t="shared" ref="F145:J145" si="93">F134</f>
        <v>35</v>
      </c>
      <c r="G145" s="55">
        <f t="shared" si="77"/>
        <v>85.85</v>
      </c>
      <c r="H145" s="58">
        <f>H144</f>
        <v>85</v>
      </c>
      <c r="I145" s="65">
        <f t="shared" si="93"/>
        <v>0.01</v>
      </c>
      <c r="J145" s="64">
        <f t="shared" si="93"/>
        <v>10</v>
      </c>
      <c r="K145" s="34">
        <f>(F145+G145+J145)*$K$5</f>
        <v>7.851</v>
      </c>
      <c r="L145" s="34">
        <f>(F145+G145+J145+K145)*$L$5</f>
        <v>12.48309</v>
      </c>
      <c r="M145" s="55">
        <f t="shared" si="78"/>
        <v>151.18409</v>
      </c>
      <c r="N145" s="55"/>
      <c r="O145" s="55">
        <f t="shared" si="79"/>
        <v>302.36818</v>
      </c>
      <c r="P145" s="53"/>
      <c r="R145" s="21">
        <f t="shared" si="83"/>
        <v>302.36818</v>
      </c>
      <c r="S145" s="21">
        <f t="shared" si="84"/>
        <v>151.18409</v>
      </c>
      <c r="T145" s="21" t="b">
        <f t="shared" si="85"/>
        <v>1</v>
      </c>
      <c r="U145" s="21" t="b">
        <f t="shared" si="86"/>
        <v>1</v>
      </c>
    </row>
    <row r="146" s="21" customFormat="1" ht="56.25" outlineLevel="1" spans="1:21">
      <c r="A146" s="53">
        <v>122</v>
      </c>
      <c r="B146" s="53" t="s">
        <v>531</v>
      </c>
      <c r="C146" s="53" t="s">
        <v>544</v>
      </c>
      <c r="D146" s="53" t="s">
        <v>138</v>
      </c>
      <c r="E146" s="53">
        <v>1</v>
      </c>
      <c r="F146" s="53">
        <f t="shared" ref="F146:J146" si="94">F134</f>
        <v>35</v>
      </c>
      <c r="G146" s="55">
        <f t="shared" si="77"/>
        <v>85.85</v>
      </c>
      <c r="H146" s="58">
        <f>H144</f>
        <v>85</v>
      </c>
      <c r="I146" s="65">
        <f t="shared" si="94"/>
        <v>0.01</v>
      </c>
      <c r="J146" s="64">
        <f t="shared" si="94"/>
        <v>10</v>
      </c>
      <c r="K146" s="34">
        <f>(F146+G146+J146)*$K$5</f>
        <v>7.851</v>
      </c>
      <c r="L146" s="34">
        <f>(F146+G146+J146+K146)*$L$5</f>
        <v>12.48309</v>
      </c>
      <c r="M146" s="55">
        <f t="shared" si="78"/>
        <v>151.18409</v>
      </c>
      <c r="N146" s="55"/>
      <c r="O146" s="55">
        <f t="shared" si="79"/>
        <v>151.18409</v>
      </c>
      <c r="P146" s="53"/>
      <c r="R146" s="21">
        <f t="shared" si="83"/>
        <v>151.18409</v>
      </c>
      <c r="S146" s="21">
        <f t="shared" si="84"/>
        <v>151.18409</v>
      </c>
      <c r="T146" s="21" t="b">
        <f t="shared" si="85"/>
        <v>1</v>
      </c>
      <c r="U146" s="21" t="b">
        <f t="shared" si="86"/>
        <v>1</v>
      </c>
    </row>
    <row r="147" s="21" customFormat="1" ht="56.25" outlineLevel="1" spans="1:21">
      <c r="A147" s="53">
        <v>123</v>
      </c>
      <c r="B147" s="53" t="s">
        <v>531</v>
      </c>
      <c r="C147" s="53" t="s">
        <v>545</v>
      </c>
      <c r="D147" s="53" t="s">
        <v>138</v>
      </c>
      <c r="E147" s="53">
        <v>1</v>
      </c>
      <c r="F147" s="53">
        <f t="shared" ref="F147:J147" si="95">F134</f>
        <v>35</v>
      </c>
      <c r="G147" s="55">
        <f t="shared" si="77"/>
        <v>85.85</v>
      </c>
      <c r="H147" s="58">
        <f>H144</f>
        <v>85</v>
      </c>
      <c r="I147" s="65">
        <f t="shared" si="95"/>
        <v>0.01</v>
      </c>
      <c r="J147" s="64">
        <f t="shared" si="95"/>
        <v>10</v>
      </c>
      <c r="K147" s="34">
        <f>(F147+G147+J147)*$K$5</f>
        <v>7.851</v>
      </c>
      <c r="L147" s="34">
        <f>(F147+G147+J147+K147)*$L$5</f>
        <v>12.48309</v>
      </c>
      <c r="M147" s="55">
        <f t="shared" si="78"/>
        <v>151.18409</v>
      </c>
      <c r="N147" s="55"/>
      <c r="O147" s="55">
        <f t="shared" si="79"/>
        <v>151.18409</v>
      </c>
      <c r="P147" s="53"/>
      <c r="R147" s="21">
        <f t="shared" si="83"/>
        <v>151.18409</v>
      </c>
      <c r="S147" s="21">
        <f t="shared" si="84"/>
        <v>151.18409</v>
      </c>
      <c r="T147" s="21" t="b">
        <f t="shared" si="85"/>
        <v>1</v>
      </c>
      <c r="U147" s="21" t="b">
        <f t="shared" si="86"/>
        <v>1</v>
      </c>
    </row>
    <row r="148" s="21" customFormat="1" ht="67.5" outlineLevel="1" spans="1:21">
      <c r="A148" s="53">
        <v>124</v>
      </c>
      <c r="B148" s="53" t="s">
        <v>531</v>
      </c>
      <c r="C148" s="53" t="s">
        <v>546</v>
      </c>
      <c r="D148" s="53" t="s">
        <v>138</v>
      </c>
      <c r="E148" s="53">
        <v>4</v>
      </c>
      <c r="F148" s="53">
        <f t="shared" ref="F148:J148" si="96">F134</f>
        <v>35</v>
      </c>
      <c r="G148" s="55">
        <f t="shared" si="77"/>
        <v>85.85</v>
      </c>
      <c r="H148" s="58">
        <f>H144</f>
        <v>85</v>
      </c>
      <c r="I148" s="65">
        <f t="shared" si="96"/>
        <v>0.01</v>
      </c>
      <c r="J148" s="64">
        <f t="shared" si="96"/>
        <v>10</v>
      </c>
      <c r="K148" s="34">
        <f>(F148+G148+J148)*$K$5</f>
        <v>7.851</v>
      </c>
      <c r="L148" s="34">
        <f>(F148+G148+J148+K148)*$L$5</f>
        <v>12.48309</v>
      </c>
      <c r="M148" s="55">
        <f t="shared" si="78"/>
        <v>151.18409</v>
      </c>
      <c r="N148" s="55"/>
      <c r="O148" s="55">
        <f t="shared" si="79"/>
        <v>604.73636</v>
      </c>
      <c r="P148" s="53"/>
      <c r="R148" s="21">
        <f t="shared" si="83"/>
        <v>604.73636</v>
      </c>
      <c r="S148" s="21">
        <f t="shared" si="84"/>
        <v>151.18409</v>
      </c>
      <c r="T148" s="21" t="b">
        <f t="shared" si="85"/>
        <v>1</v>
      </c>
      <c r="U148" s="21" t="b">
        <f t="shared" si="86"/>
        <v>1</v>
      </c>
    </row>
    <row r="149" s="21" customFormat="1" ht="67.5" outlineLevel="1" spans="1:21">
      <c r="A149" s="53">
        <v>125</v>
      </c>
      <c r="B149" s="53" t="s">
        <v>531</v>
      </c>
      <c r="C149" s="53" t="s">
        <v>547</v>
      </c>
      <c r="D149" s="53" t="s">
        <v>138</v>
      </c>
      <c r="E149" s="53">
        <v>2</v>
      </c>
      <c r="F149" s="53">
        <f t="shared" ref="F149:J149" si="97">F134</f>
        <v>35</v>
      </c>
      <c r="G149" s="55">
        <f t="shared" si="77"/>
        <v>85.85</v>
      </c>
      <c r="H149" s="58">
        <f>H144</f>
        <v>85</v>
      </c>
      <c r="I149" s="65">
        <f t="shared" si="97"/>
        <v>0.01</v>
      </c>
      <c r="J149" s="64">
        <f t="shared" si="97"/>
        <v>10</v>
      </c>
      <c r="K149" s="34">
        <f>(F149+G149+J149)*$K$5</f>
        <v>7.851</v>
      </c>
      <c r="L149" s="34">
        <f>(F149+G149+J149+K149)*$L$5</f>
        <v>12.48309</v>
      </c>
      <c r="M149" s="55">
        <f t="shared" si="78"/>
        <v>151.18409</v>
      </c>
      <c r="N149" s="55"/>
      <c r="O149" s="55">
        <f t="shared" si="79"/>
        <v>302.36818</v>
      </c>
      <c r="P149" s="53"/>
      <c r="R149" s="21">
        <f t="shared" si="83"/>
        <v>302.36818</v>
      </c>
      <c r="S149" s="21">
        <f t="shared" si="84"/>
        <v>151.18409</v>
      </c>
      <c r="T149" s="21" t="b">
        <f t="shared" si="85"/>
        <v>1</v>
      </c>
      <c r="U149" s="21" t="b">
        <f t="shared" si="86"/>
        <v>1</v>
      </c>
    </row>
    <row r="150" s="21" customFormat="1" ht="67.5" outlineLevel="1" spans="1:21">
      <c r="A150" s="53">
        <v>126</v>
      </c>
      <c r="B150" s="53" t="s">
        <v>531</v>
      </c>
      <c r="C150" s="53" t="s">
        <v>548</v>
      </c>
      <c r="D150" s="53" t="s">
        <v>138</v>
      </c>
      <c r="E150" s="53">
        <v>2</v>
      </c>
      <c r="F150" s="53">
        <f t="shared" ref="F150:J150" si="98">F134</f>
        <v>35</v>
      </c>
      <c r="G150" s="55">
        <f t="shared" si="77"/>
        <v>85.85</v>
      </c>
      <c r="H150" s="58">
        <f t="shared" ref="H150:H154" si="99">H148</f>
        <v>85</v>
      </c>
      <c r="I150" s="65">
        <f t="shared" si="98"/>
        <v>0.01</v>
      </c>
      <c r="J150" s="64">
        <f t="shared" si="98"/>
        <v>10</v>
      </c>
      <c r="K150" s="34">
        <f>(F150+G150+J150)*$K$5</f>
        <v>7.851</v>
      </c>
      <c r="L150" s="34">
        <f>(F150+G150+J150+K150)*$L$5</f>
        <v>12.48309</v>
      </c>
      <c r="M150" s="55">
        <f t="shared" si="78"/>
        <v>151.18409</v>
      </c>
      <c r="N150" s="55"/>
      <c r="O150" s="55">
        <f t="shared" si="79"/>
        <v>302.36818</v>
      </c>
      <c r="P150" s="53"/>
      <c r="R150" s="21">
        <f t="shared" si="83"/>
        <v>302.36818</v>
      </c>
      <c r="S150" s="21">
        <f t="shared" si="84"/>
        <v>151.18409</v>
      </c>
      <c r="T150" s="21" t="b">
        <f t="shared" si="85"/>
        <v>1</v>
      </c>
      <c r="U150" s="21" t="b">
        <f t="shared" si="86"/>
        <v>1</v>
      </c>
    </row>
    <row r="151" s="21" customFormat="1" ht="67.5" outlineLevel="1" spans="1:21">
      <c r="A151" s="53">
        <v>127</v>
      </c>
      <c r="B151" s="53" t="s">
        <v>531</v>
      </c>
      <c r="C151" s="53" t="s">
        <v>549</v>
      </c>
      <c r="D151" s="53" t="s">
        <v>138</v>
      </c>
      <c r="E151" s="53">
        <v>1</v>
      </c>
      <c r="F151" s="53">
        <f t="shared" ref="F151:J151" si="100">F134</f>
        <v>35</v>
      </c>
      <c r="G151" s="55">
        <f t="shared" si="77"/>
        <v>85.85</v>
      </c>
      <c r="H151" s="58">
        <f>H150</f>
        <v>85</v>
      </c>
      <c r="I151" s="65">
        <f t="shared" si="100"/>
        <v>0.01</v>
      </c>
      <c r="J151" s="64">
        <f t="shared" si="100"/>
        <v>10</v>
      </c>
      <c r="K151" s="34">
        <f>(F151+G151+J151)*$K$5</f>
        <v>7.851</v>
      </c>
      <c r="L151" s="34">
        <f>(F151+G151+J151+K151)*$L$5</f>
        <v>12.48309</v>
      </c>
      <c r="M151" s="55">
        <f t="shared" si="78"/>
        <v>151.18409</v>
      </c>
      <c r="N151" s="55"/>
      <c r="O151" s="55">
        <f t="shared" si="79"/>
        <v>151.18409</v>
      </c>
      <c r="P151" s="53"/>
      <c r="R151" s="21">
        <f t="shared" si="83"/>
        <v>151.18409</v>
      </c>
      <c r="S151" s="21">
        <f t="shared" si="84"/>
        <v>151.18409</v>
      </c>
      <c r="T151" s="21" t="b">
        <f t="shared" si="85"/>
        <v>1</v>
      </c>
      <c r="U151" s="21" t="b">
        <f t="shared" si="86"/>
        <v>1</v>
      </c>
    </row>
    <row r="152" s="21" customFormat="1" ht="67.5" outlineLevel="1" spans="1:21">
      <c r="A152" s="53">
        <v>128</v>
      </c>
      <c r="B152" s="53" t="s">
        <v>531</v>
      </c>
      <c r="C152" s="53" t="s">
        <v>550</v>
      </c>
      <c r="D152" s="53" t="s">
        <v>138</v>
      </c>
      <c r="E152" s="53">
        <v>2</v>
      </c>
      <c r="F152" s="53">
        <f t="shared" ref="F152:J152" si="101">F134</f>
        <v>35</v>
      </c>
      <c r="G152" s="55">
        <f t="shared" si="77"/>
        <v>85.85</v>
      </c>
      <c r="H152" s="58">
        <f t="shared" si="99"/>
        <v>85</v>
      </c>
      <c r="I152" s="65">
        <f t="shared" si="101"/>
        <v>0.01</v>
      </c>
      <c r="J152" s="64">
        <f t="shared" si="101"/>
        <v>10</v>
      </c>
      <c r="K152" s="34">
        <f>(F152+G152+J152)*$K$5</f>
        <v>7.851</v>
      </c>
      <c r="L152" s="34">
        <f>(F152+G152+J152+K152)*$L$5</f>
        <v>12.48309</v>
      </c>
      <c r="M152" s="55">
        <f t="shared" si="78"/>
        <v>151.18409</v>
      </c>
      <c r="N152" s="55"/>
      <c r="O152" s="55">
        <f t="shared" si="79"/>
        <v>302.36818</v>
      </c>
      <c r="P152" s="53"/>
      <c r="R152" s="21">
        <f t="shared" si="83"/>
        <v>302.36818</v>
      </c>
      <c r="S152" s="21">
        <f t="shared" si="84"/>
        <v>151.18409</v>
      </c>
      <c r="T152" s="21" t="b">
        <f t="shared" si="85"/>
        <v>1</v>
      </c>
      <c r="U152" s="21" t="b">
        <f t="shared" si="86"/>
        <v>1</v>
      </c>
    </row>
    <row r="153" s="21" customFormat="1" ht="56.25" outlineLevel="1" spans="1:21">
      <c r="A153" s="53">
        <v>129</v>
      </c>
      <c r="B153" s="53" t="s">
        <v>531</v>
      </c>
      <c r="C153" s="53" t="s">
        <v>551</v>
      </c>
      <c r="D153" s="53" t="s">
        <v>138</v>
      </c>
      <c r="E153" s="53">
        <v>3</v>
      </c>
      <c r="F153" s="53">
        <f t="shared" ref="F153:J153" si="102">F134</f>
        <v>35</v>
      </c>
      <c r="G153" s="55">
        <f t="shared" si="77"/>
        <v>85.85</v>
      </c>
      <c r="H153" s="58">
        <f>H152</f>
        <v>85</v>
      </c>
      <c r="I153" s="65">
        <f t="shared" si="102"/>
        <v>0.01</v>
      </c>
      <c r="J153" s="64">
        <f t="shared" si="102"/>
        <v>10</v>
      </c>
      <c r="K153" s="34">
        <f>(F153+G153+J153)*$K$5</f>
        <v>7.851</v>
      </c>
      <c r="L153" s="34">
        <f>(F153+G153+J153+K153)*$L$5</f>
        <v>12.48309</v>
      </c>
      <c r="M153" s="55">
        <f t="shared" si="78"/>
        <v>151.18409</v>
      </c>
      <c r="N153" s="55"/>
      <c r="O153" s="55">
        <f t="shared" si="79"/>
        <v>453.55227</v>
      </c>
      <c r="P153" s="53"/>
      <c r="R153" s="21">
        <f t="shared" si="83"/>
        <v>453.55227</v>
      </c>
      <c r="S153" s="21">
        <f t="shared" si="84"/>
        <v>151.18409</v>
      </c>
      <c r="T153" s="21" t="b">
        <f t="shared" si="85"/>
        <v>1</v>
      </c>
      <c r="U153" s="21" t="b">
        <f t="shared" si="86"/>
        <v>1</v>
      </c>
    </row>
    <row r="154" s="21" customFormat="1" ht="56.25" outlineLevel="1" spans="1:21">
      <c r="A154" s="53">
        <v>130</v>
      </c>
      <c r="B154" s="53" t="s">
        <v>531</v>
      </c>
      <c r="C154" s="53" t="s">
        <v>552</v>
      </c>
      <c r="D154" s="53" t="s">
        <v>138</v>
      </c>
      <c r="E154" s="53">
        <v>5</v>
      </c>
      <c r="F154" s="53">
        <f t="shared" ref="F154:J154" si="103">F134</f>
        <v>35</v>
      </c>
      <c r="G154" s="55">
        <f t="shared" si="77"/>
        <v>85.85</v>
      </c>
      <c r="H154" s="58">
        <f t="shared" si="99"/>
        <v>85</v>
      </c>
      <c r="I154" s="65">
        <f t="shared" si="103"/>
        <v>0.01</v>
      </c>
      <c r="J154" s="64">
        <f t="shared" si="103"/>
        <v>10</v>
      </c>
      <c r="K154" s="34">
        <f>(F154+G154+J154)*$K$5</f>
        <v>7.851</v>
      </c>
      <c r="L154" s="34">
        <f>(F154+G154+J154+K154)*$L$5</f>
        <v>12.48309</v>
      </c>
      <c r="M154" s="55">
        <f t="shared" si="78"/>
        <v>151.18409</v>
      </c>
      <c r="N154" s="55"/>
      <c r="O154" s="55">
        <f t="shared" si="79"/>
        <v>755.92045</v>
      </c>
      <c r="P154" s="53"/>
      <c r="R154" s="21">
        <f t="shared" si="83"/>
        <v>755.92045</v>
      </c>
      <c r="S154" s="21">
        <f t="shared" si="84"/>
        <v>151.18409</v>
      </c>
      <c r="T154" s="21" t="b">
        <f t="shared" si="85"/>
        <v>1</v>
      </c>
      <c r="U154" s="21" t="b">
        <f t="shared" si="86"/>
        <v>1</v>
      </c>
    </row>
    <row r="155" s="21" customFormat="1" ht="56.25" outlineLevel="1" spans="1:21">
      <c r="A155" s="53">
        <v>131</v>
      </c>
      <c r="B155" s="53" t="s">
        <v>531</v>
      </c>
      <c r="C155" s="53" t="s">
        <v>553</v>
      </c>
      <c r="D155" s="53" t="s">
        <v>138</v>
      </c>
      <c r="E155" s="53">
        <v>3</v>
      </c>
      <c r="F155" s="53">
        <f t="shared" ref="F155:J155" si="104">F134</f>
        <v>35</v>
      </c>
      <c r="G155" s="55">
        <f t="shared" si="77"/>
        <v>85.85</v>
      </c>
      <c r="H155" s="58">
        <f>H152</f>
        <v>85</v>
      </c>
      <c r="I155" s="65">
        <f t="shared" si="104"/>
        <v>0.01</v>
      </c>
      <c r="J155" s="64">
        <f t="shared" si="104"/>
        <v>10</v>
      </c>
      <c r="K155" s="34">
        <f>(F155+G155+J155)*$K$5</f>
        <v>7.851</v>
      </c>
      <c r="L155" s="34">
        <f>(F155+G155+J155+K155)*$L$5</f>
        <v>12.48309</v>
      </c>
      <c r="M155" s="55">
        <f t="shared" si="78"/>
        <v>151.18409</v>
      </c>
      <c r="N155" s="55"/>
      <c r="O155" s="55">
        <f t="shared" si="79"/>
        <v>453.55227</v>
      </c>
      <c r="P155" s="53"/>
      <c r="R155" s="21">
        <f t="shared" si="83"/>
        <v>453.55227</v>
      </c>
      <c r="S155" s="21">
        <f t="shared" si="84"/>
        <v>151.18409</v>
      </c>
      <c r="T155" s="21" t="b">
        <f t="shared" si="85"/>
        <v>1</v>
      </c>
      <c r="U155" s="21" t="b">
        <f t="shared" si="86"/>
        <v>1</v>
      </c>
    </row>
    <row r="156" s="21" customFormat="1" ht="56.25" outlineLevel="1" spans="1:21">
      <c r="A156" s="53">
        <v>132</v>
      </c>
      <c r="B156" s="53" t="s">
        <v>554</v>
      </c>
      <c r="C156" s="53" t="s">
        <v>555</v>
      </c>
      <c r="D156" s="53" t="s">
        <v>556</v>
      </c>
      <c r="E156" s="53">
        <v>0.42</v>
      </c>
      <c r="F156" s="54">
        <v>700</v>
      </c>
      <c r="G156" s="55">
        <f t="shared" si="77"/>
        <v>1545</v>
      </c>
      <c r="H156" s="56">
        <v>1500</v>
      </c>
      <c r="I156" s="66">
        <v>0.03</v>
      </c>
      <c r="J156" s="67">
        <v>160</v>
      </c>
      <c r="K156" s="34">
        <f>(F156+G156+J156)*$K$5</f>
        <v>144.3</v>
      </c>
      <c r="L156" s="34">
        <f>(F156+G156+J156+K156)*$L$5</f>
        <v>229.437</v>
      </c>
      <c r="M156" s="55">
        <f t="shared" si="78"/>
        <v>2778.737</v>
      </c>
      <c r="N156" s="55"/>
      <c r="O156" s="55">
        <f t="shared" si="79"/>
        <v>1167.06954</v>
      </c>
      <c r="P156" s="53"/>
      <c r="R156" s="21">
        <f t="shared" si="83"/>
        <v>1167.06954</v>
      </c>
      <c r="S156" s="21">
        <f t="shared" si="84"/>
        <v>2778.737</v>
      </c>
      <c r="T156" s="21" t="b">
        <f t="shared" si="85"/>
        <v>1</v>
      </c>
      <c r="U156" s="21" t="b">
        <f t="shared" si="86"/>
        <v>1</v>
      </c>
    </row>
    <row r="157" s="21" customFormat="1" ht="56.25" outlineLevel="1" spans="1:21">
      <c r="A157" s="53">
        <v>133</v>
      </c>
      <c r="B157" s="53" t="s">
        <v>554</v>
      </c>
      <c r="C157" s="53" t="s">
        <v>557</v>
      </c>
      <c r="D157" s="53" t="s">
        <v>556</v>
      </c>
      <c r="E157" s="53">
        <v>2.33</v>
      </c>
      <c r="F157" s="53">
        <f t="shared" ref="F157:J157" si="105">F156</f>
        <v>700</v>
      </c>
      <c r="G157" s="55">
        <f t="shared" si="77"/>
        <v>1545</v>
      </c>
      <c r="H157" s="58">
        <f t="shared" si="105"/>
        <v>1500</v>
      </c>
      <c r="I157" s="68">
        <f t="shared" si="105"/>
        <v>0.03</v>
      </c>
      <c r="J157" s="69">
        <f t="shared" si="105"/>
        <v>160</v>
      </c>
      <c r="K157" s="34">
        <f>(F157+G157+J157)*$K$5</f>
        <v>144.3</v>
      </c>
      <c r="L157" s="34">
        <f>(F157+G157+J157+K157)*$L$5</f>
        <v>229.437</v>
      </c>
      <c r="M157" s="55">
        <f t="shared" si="78"/>
        <v>2778.737</v>
      </c>
      <c r="N157" s="55"/>
      <c r="O157" s="55">
        <f t="shared" si="79"/>
        <v>6474.45721</v>
      </c>
      <c r="P157" s="53"/>
      <c r="R157" s="21">
        <f t="shared" si="83"/>
        <v>6474.45721</v>
      </c>
      <c r="S157" s="21">
        <f t="shared" si="84"/>
        <v>2778.737</v>
      </c>
      <c r="T157" s="21" t="b">
        <f t="shared" si="85"/>
        <v>1</v>
      </c>
      <c r="U157" s="21" t="b">
        <f t="shared" si="86"/>
        <v>1</v>
      </c>
    </row>
    <row r="158" s="21" customFormat="1" ht="33.75" outlineLevel="1" spans="1:21">
      <c r="A158" s="53">
        <v>134</v>
      </c>
      <c r="B158" s="53" t="s">
        <v>558</v>
      </c>
      <c r="C158" s="53" t="s">
        <v>559</v>
      </c>
      <c r="D158" s="53" t="s">
        <v>431</v>
      </c>
      <c r="E158" s="53">
        <v>1</v>
      </c>
      <c r="F158" s="54">
        <v>1800</v>
      </c>
      <c r="G158" s="55">
        <f t="shared" si="77"/>
        <v>0</v>
      </c>
      <c r="H158" s="58">
        <v>0</v>
      </c>
      <c r="I158" s="66">
        <v>0</v>
      </c>
      <c r="J158" s="67">
        <v>1500</v>
      </c>
      <c r="K158" s="34">
        <f>(F158+G158+J158)*$K$5</f>
        <v>198</v>
      </c>
      <c r="L158" s="34">
        <f>(F158+G158+J158+K158)*$L$5</f>
        <v>314.82</v>
      </c>
      <c r="M158" s="55">
        <f t="shared" si="78"/>
        <v>3812.82</v>
      </c>
      <c r="N158" s="55"/>
      <c r="O158" s="55">
        <f t="shared" si="79"/>
        <v>3812.82</v>
      </c>
      <c r="P158" s="53"/>
      <c r="R158" s="21">
        <f t="shared" si="83"/>
        <v>3812.82</v>
      </c>
      <c r="S158" s="21">
        <f t="shared" si="84"/>
        <v>3812.82</v>
      </c>
      <c r="T158" s="21" t="b">
        <f t="shared" si="85"/>
        <v>1</v>
      </c>
      <c r="U158" s="21" t="b">
        <f t="shared" si="86"/>
        <v>1</v>
      </c>
    </row>
    <row r="159" s="21" customFormat="1" spans="1:21">
      <c r="A159" s="53"/>
      <c r="B159" s="53" t="s">
        <v>75</v>
      </c>
      <c r="C159" s="53"/>
      <c r="D159" s="53"/>
      <c r="E159" s="53"/>
      <c r="F159" s="53"/>
      <c r="G159" s="55"/>
      <c r="H159" s="58"/>
      <c r="I159" s="68"/>
      <c r="J159" s="69"/>
      <c r="K159" s="34"/>
      <c r="L159" s="34"/>
      <c r="M159" s="53">
        <f>SUM(O160:O237)</f>
        <v>331979.24595386</v>
      </c>
      <c r="N159" s="53"/>
      <c r="O159" s="55"/>
      <c r="P159" s="53"/>
      <c r="R159" s="21">
        <f t="shared" si="83"/>
        <v>0</v>
      </c>
      <c r="S159" s="21">
        <f t="shared" si="84"/>
        <v>0</v>
      </c>
      <c r="T159" s="21" t="b">
        <f t="shared" si="85"/>
        <v>0</v>
      </c>
      <c r="U159" s="21" t="b">
        <f t="shared" si="86"/>
        <v>1</v>
      </c>
    </row>
    <row r="160" s="21" customFormat="1" spans="1:21">
      <c r="A160" s="53"/>
      <c r="B160" s="53" t="s">
        <v>376</v>
      </c>
      <c r="C160" s="53"/>
      <c r="D160" s="53"/>
      <c r="E160" s="53"/>
      <c r="F160" s="53"/>
      <c r="G160" s="55"/>
      <c r="H160" s="58"/>
      <c r="I160" s="68"/>
      <c r="J160" s="69"/>
      <c r="K160" s="34"/>
      <c r="L160" s="34"/>
      <c r="M160" s="55"/>
      <c r="N160" s="55"/>
      <c r="O160" s="55"/>
      <c r="P160" s="53"/>
      <c r="R160" s="21">
        <f t="shared" si="83"/>
        <v>0</v>
      </c>
      <c r="S160" s="21">
        <f t="shared" si="84"/>
        <v>0</v>
      </c>
      <c r="T160" s="21" t="b">
        <f t="shared" si="85"/>
        <v>1</v>
      </c>
      <c r="U160" s="21" t="b">
        <f t="shared" si="86"/>
        <v>1</v>
      </c>
    </row>
    <row r="161" s="21" customFormat="1" ht="56.25" outlineLevel="1" spans="1:21">
      <c r="A161" s="53">
        <v>135</v>
      </c>
      <c r="B161" s="53" t="s">
        <v>377</v>
      </c>
      <c r="C161" s="53" t="s">
        <v>560</v>
      </c>
      <c r="D161" s="53" t="s">
        <v>379</v>
      </c>
      <c r="E161" s="53">
        <v>1</v>
      </c>
      <c r="F161" s="53">
        <f>F9</f>
        <v>200</v>
      </c>
      <c r="G161" s="55">
        <f t="shared" ref="G161:G192" si="106">H161*(1+I161)</f>
        <v>2222</v>
      </c>
      <c r="H161" s="56">
        <f t="shared" ref="H161:J161" si="107">H8</f>
        <v>2200</v>
      </c>
      <c r="I161" s="68">
        <f t="shared" si="107"/>
        <v>0.01</v>
      </c>
      <c r="J161" s="69">
        <f t="shared" si="107"/>
        <v>50</v>
      </c>
      <c r="K161" s="34">
        <f>(F161+G161+J161)*$K$5</f>
        <v>148.32</v>
      </c>
      <c r="L161" s="34">
        <f>(F161+G161+J161+K161)*$L$5</f>
        <v>235.8288</v>
      </c>
      <c r="M161" s="55">
        <f t="shared" ref="M161:M192" si="108">F161+G161+J161+K161+L161</f>
        <v>2856.1488</v>
      </c>
      <c r="N161" s="55"/>
      <c r="O161" s="55">
        <f t="shared" ref="O161:O192" si="109">M161*E161</f>
        <v>2856.1488</v>
      </c>
      <c r="P161" s="53"/>
      <c r="R161" s="21">
        <f t="shared" si="83"/>
        <v>2856.1488</v>
      </c>
      <c r="S161" s="21">
        <f t="shared" si="84"/>
        <v>2856.1488</v>
      </c>
      <c r="T161" s="21" t="b">
        <f t="shared" si="85"/>
        <v>1</v>
      </c>
      <c r="U161" s="21" t="b">
        <f t="shared" si="86"/>
        <v>1</v>
      </c>
    </row>
    <row r="162" s="21" customFormat="1" ht="78.75" outlineLevel="1" spans="1:21">
      <c r="A162" s="57">
        <v>136</v>
      </c>
      <c r="B162" s="57" t="s">
        <v>377</v>
      </c>
      <c r="C162" s="57" t="s">
        <v>561</v>
      </c>
      <c r="D162" s="57" t="s">
        <v>379</v>
      </c>
      <c r="E162" s="57">
        <v>1</v>
      </c>
      <c r="F162" s="57">
        <f>F9</f>
        <v>200</v>
      </c>
      <c r="G162" s="55">
        <f t="shared" si="106"/>
        <v>1313</v>
      </c>
      <c r="H162" s="56">
        <v>1300</v>
      </c>
      <c r="I162" s="68">
        <f>I161</f>
        <v>0.01</v>
      </c>
      <c r="J162" s="69">
        <v>50</v>
      </c>
      <c r="K162" s="34">
        <f>(F162+G162+J162)*$K$5</f>
        <v>93.78</v>
      </c>
      <c r="L162" s="34">
        <f>(F162+G162+J162+K162)*$L$5</f>
        <v>149.1102</v>
      </c>
      <c r="M162" s="55">
        <f t="shared" si="108"/>
        <v>1805.8902</v>
      </c>
      <c r="N162" s="55"/>
      <c r="O162" s="55">
        <f t="shared" si="109"/>
        <v>1805.8902</v>
      </c>
      <c r="P162" s="57"/>
      <c r="R162" s="21">
        <f t="shared" si="83"/>
        <v>1805.8902</v>
      </c>
      <c r="S162" s="21">
        <f t="shared" si="84"/>
        <v>1805.8902</v>
      </c>
      <c r="T162" s="21" t="b">
        <f t="shared" si="85"/>
        <v>1</v>
      </c>
      <c r="U162" s="21" t="b">
        <f t="shared" si="86"/>
        <v>1</v>
      </c>
    </row>
    <row r="163" s="21" customFormat="1" ht="81" customHeight="1" outlineLevel="1" spans="1:21">
      <c r="A163" s="57">
        <v>137</v>
      </c>
      <c r="B163" s="57" t="s">
        <v>377</v>
      </c>
      <c r="C163" s="57" t="s">
        <v>562</v>
      </c>
      <c r="D163" s="57" t="s">
        <v>379</v>
      </c>
      <c r="E163" s="57">
        <v>1</v>
      </c>
      <c r="F163" s="54">
        <v>150</v>
      </c>
      <c r="G163" s="55">
        <f t="shared" si="106"/>
        <v>757.5</v>
      </c>
      <c r="H163" s="56">
        <v>750</v>
      </c>
      <c r="I163" s="68">
        <f>I161</f>
        <v>0.01</v>
      </c>
      <c r="J163" s="69">
        <f>J162</f>
        <v>50</v>
      </c>
      <c r="K163" s="34">
        <f>(F163+G163+J163)*$K$5</f>
        <v>57.45</v>
      </c>
      <c r="L163" s="34">
        <f>(F163+G163+J163+K163)*$L$5</f>
        <v>91.3455</v>
      </c>
      <c r="M163" s="55">
        <f t="shared" si="108"/>
        <v>1106.2955</v>
      </c>
      <c r="N163" s="55"/>
      <c r="O163" s="55">
        <f t="shared" si="109"/>
        <v>1106.2955</v>
      </c>
      <c r="P163" s="57"/>
      <c r="R163" s="21">
        <f t="shared" si="83"/>
        <v>1106.2955</v>
      </c>
      <c r="S163" s="21">
        <f t="shared" si="84"/>
        <v>1106.2955</v>
      </c>
      <c r="T163" s="21" t="b">
        <f t="shared" si="85"/>
        <v>1</v>
      </c>
      <c r="U163" s="21" t="b">
        <f t="shared" si="86"/>
        <v>1</v>
      </c>
    </row>
    <row r="164" s="21" customFormat="1" ht="56.25" outlineLevel="1" spans="1:21">
      <c r="A164" s="53">
        <v>138</v>
      </c>
      <c r="B164" s="53" t="s">
        <v>389</v>
      </c>
      <c r="C164" s="53" t="s">
        <v>390</v>
      </c>
      <c r="D164" s="53" t="s">
        <v>144</v>
      </c>
      <c r="E164" s="53">
        <v>273.32</v>
      </c>
      <c r="F164" s="53">
        <f t="shared" ref="F164:J164" si="110">F15</f>
        <v>10</v>
      </c>
      <c r="G164" s="55">
        <f t="shared" si="106"/>
        <v>5.665</v>
      </c>
      <c r="H164" s="53">
        <f t="shared" si="110"/>
        <v>5.5</v>
      </c>
      <c r="I164" s="65">
        <f t="shared" si="110"/>
        <v>0.03</v>
      </c>
      <c r="J164" s="64">
        <f t="shared" si="110"/>
        <v>2</v>
      </c>
      <c r="K164" s="34">
        <f>(F164+G164+J164)*$K$5</f>
        <v>1.0599</v>
      </c>
      <c r="L164" s="34">
        <f>(F164+G164+J164+K164)*$L$5</f>
        <v>1.685241</v>
      </c>
      <c r="M164" s="55">
        <f t="shared" si="108"/>
        <v>20.410141</v>
      </c>
      <c r="N164" s="55"/>
      <c r="O164" s="55">
        <f t="shared" si="109"/>
        <v>5578.49973812</v>
      </c>
      <c r="P164" s="53"/>
      <c r="R164" s="21">
        <f t="shared" si="83"/>
        <v>5578.49973812</v>
      </c>
      <c r="S164" s="21">
        <f t="shared" si="84"/>
        <v>20.410141</v>
      </c>
      <c r="T164" s="21" t="b">
        <f t="shared" si="85"/>
        <v>1</v>
      </c>
      <c r="U164" s="21" t="b">
        <f t="shared" si="86"/>
        <v>1</v>
      </c>
    </row>
    <row r="165" s="21" customFormat="1" ht="56.25" outlineLevel="1" spans="1:21">
      <c r="A165" s="53">
        <v>139</v>
      </c>
      <c r="B165" s="53" t="s">
        <v>389</v>
      </c>
      <c r="C165" s="53" t="s">
        <v>392</v>
      </c>
      <c r="D165" s="53" t="s">
        <v>144</v>
      </c>
      <c r="E165" s="53">
        <v>174.61</v>
      </c>
      <c r="F165" s="53">
        <f t="shared" ref="F165:J165" si="111">F16</f>
        <v>10</v>
      </c>
      <c r="G165" s="55">
        <f t="shared" si="106"/>
        <v>5.665</v>
      </c>
      <c r="H165" s="53">
        <f t="shared" si="111"/>
        <v>5.5</v>
      </c>
      <c r="I165" s="65">
        <f t="shared" si="111"/>
        <v>0.03</v>
      </c>
      <c r="J165" s="64">
        <f t="shared" si="111"/>
        <v>2</v>
      </c>
      <c r="K165" s="34">
        <f>(F165+G165+J165)*$K$5</f>
        <v>1.0599</v>
      </c>
      <c r="L165" s="34">
        <f>(F165+G165+J165+K165)*$L$5</f>
        <v>1.685241</v>
      </c>
      <c r="M165" s="55">
        <f t="shared" si="108"/>
        <v>20.410141</v>
      </c>
      <c r="N165" s="55"/>
      <c r="O165" s="55">
        <f t="shared" si="109"/>
        <v>3563.81472001</v>
      </c>
      <c r="P165" s="53"/>
      <c r="R165" s="21">
        <f t="shared" si="83"/>
        <v>3563.81472001</v>
      </c>
      <c r="S165" s="21">
        <f t="shared" si="84"/>
        <v>20.410141</v>
      </c>
      <c r="T165" s="21" t="b">
        <f t="shared" si="85"/>
        <v>1</v>
      </c>
      <c r="U165" s="21" t="b">
        <f t="shared" si="86"/>
        <v>1</v>
      </c>
    </row>
    <row r="166" s="21" customFormat="1" ht="56.25" outlineLevel="1" spans="1:21">
      <c r="A166" s="53">
        <v>140</v>
      </c>
      <c r="B166" s="53" t="s">
        <v>389</v>
      </c>
      <c r="C166" s="53" t="s">
        <v>393</v>
      </c>
      <c r="D166" s="53" t="s">
        <v>144</v>
      </c>
      <c r="E166" s="53">
        <v>19.22</v>
      </c>
      <c r="F166" s="53">
        <f t="shared" ref="F166:J166" si="112">F17</f>
        <v>10</v>
      </c>
      <c r="G166" s="55">
        <f t="shared" si="106"/>
        <v>8.858</v>
      </c>
      <c r="H166" s="53">
        <f t="shared" si="112"/>
        <v>8.6</v>
      </c>
      <c r="I166" s="65">
        <f t="shared" si="112"/>
        <v>0.03</v>
      </c>
      <c r="J166" s="64">
        <f t="shared" si="112"/>
        <v>2</v>
      </c>
      <c r="K166" s="34">
        <f>(F166+G166+J166)*$K$5</f>
        <v>1.25148</v>
      </c>
      <c r="L166" s="34">
        <f>(F166+G166+J166+K166)*$L$5</f>
        <v>1.9898532</v>
      </c>
      <c r="M166" s="55">
        <f t="shared" si="108"/>
        <v>24.0993332</v>
      </c>
      <c r="N166" s="55"/>
      <c r="O166" s="55">
        <f t="shared" si="109"/>
        <v>463.189184104</v>
      </c>
      <c r="P166" s="53"/>
      <c r="R166" s="21">
        <f t="shared" si="83"/>
        <v>463.189184104</v>
      </c>
      <c r="S166" s="21">
        <f t="shared" si="84"/>
        <v>24.0993332</v>
      </c>
      <c r="T166" s="21" t="b">
        <f t="shared" si="85"/>
        <v>1</v>
      </c>
      <c r="U166" s="21" t="b">
        <f t="shared" si="86"/>
        <v>1</v>
      </c>
    </row>
    <row r="167" s="21" customFormat="1" ht="56.25" outlineLevel="1" spans="1:21">
      <c r="A167" s="53">
        <v>141</v>
      </c>
      <c r="B167" s="53" t="s">
        <v>389</v>
      </c>
      <c r="C167" s="53" t="s">
        <v>394</v>
      </c>
      <c r="D167" s="53" t="s">
        <v>144</v>
      </c>
      <c r="E167" s="53">
        <v>10.6</v>
      </c>
      <c r="F167" s="53">
        <f t="shared" ref="F167:J167" si="113">F18</f>
        <v>10</v>
      </c>
      <c r="G167" s="55">
        <f t="shared" si="106"/>
        <v>8.858</v>
      </c>
      <c r="H167" s="53">
        <f t="shared" si="113"/>
        <v>8.6</v>
      </c>
      <c r="I167" s="65">
        <f t="shared" si="113"/>
        <v>0.03</v>
      </c>
      <c r="J167" s="64">
        <f t="shared" si="113"/>
        <v>2</v>
      </c>
      <c r="K167" s="34">
        <f>(F167+G167+J167)*$K$5</f>
        <v>1.25148</v>
      </c>
      <c r="L167" s="34">
        <f>(F167+G167+J167+K167)*$L$5</f>
        <v>1.9898532</v>
      </c>
      <c r="M167" s="55">
        <f t="shared" si="108"/>
        <v>24.0993332</v>
      </c>
      <c r="N167" s="55"/>
      <c r="O167" s="55">
        <f t="shared" si="109"/>
        <v>255.45293192</v>
      </c>
      <c r="P167" s="53"/>
      <c r="R167" s="21">
        <f t="shared" si="83"/>
        <v>255.45293192</v>
      </c>
      <c r="S167" s="21">
        <f t="shared" si="84"/>
        <v>24.0993332</v>
      </c>
      <c r="T167" s="21" t="b">
        <f t="shared" si="85"/>
        <v>1</v>
      </c>
      <c r="U167" s="21" t="b">
        <f t="shared" si="86"/>
        <v>1</v>
      </c>
    </row>
    <row r="168" s="21" customFormat="1" ht="56.25" outlineLevel="1" spans="1:21">
      <c r="A168" s="57">
        <v>142</v>
      </c>
      <c r="B168" s="57" t="s">
        <v>389</v>
      </c>
      <c r="C168" s="57" t="s">
        <v>563</v>
      </c>
      <c r="D168" s="57" t="s">
        <v>144</v>
      </c>
      <c r="E168" s="57">
        <v>28.99</v>
      </c>
      <c r="F168" s="54">
        <v>20</v>
      </c>
      <c r="G168" s="55">
        <f t="shared" si="106"/>
        <v>39.14</v>
      </c>
      <c r="H168" s="56">
        <v>38</v>
      </c>
      <c r="I168" s="66">
        <v>0.03</v>
      </c>
      <c r="J168" s="67">
        <v>5</v>
      </c>
      <c r="K168" s="34">
        <f>(F168+G168+J168)*$K$5</f>
        <v>3.8484</v>
      </c>
      <c r="L168" s="34">
        <f>(F168+G168+J168+K168)*$L$5</f>
        <v>6.118956</v>
      </c>
      <c r="M168" s="55">
        <f t="shared" si="108"/>
        <v>74.107356</v>
      </c>
      <c r="N168" s="55"/>
      <c r="O168" s="55">
        <f t="shared" si="109"/>
        <v>2148.37225044</v>
      </c>
      <c r="P168" s="57"/>
      <c r="R168" s="21">
        <f t="shared" si="83"/>
        <v>2148.37225044</v>
      </c>
      <c r="S168" s="21">
        <f t="shared" si="84"/>
        <v>74.107356</v>
      </c>
      <c r="T168" s="21" t="b">
        <f t="shared" si="85"/>
        <v>1</v>
      </c>
      <c r="U168" s="21" t="b">
        <f t="shared" si="86"/>
        <v>1</v>
      </c>
    </row>
    <row r="169" s="21" customFormat="1" ht="56.25" outlineLevel="1" spans="1:21">
      <c r="A169" s="57">
        <v>143</v>
      </c>
      <c r="B169" s="57" t="s">
        <v>389</v>
      </c>
      <c r="C169" s="57" t="s">
        <v>564</v>
      </c>
      <c r="D169" s="57" t="s">
        <v>144</v>
      </c>
      <c r="E169" s="57">
        <v>33.02</v>
      </c>
      <c r="F169" s="54">
        <f>F168</f>
        <v>20</v>
      </c>
      <c r="G169" s="55">
        <f t="shared" si="106"/>
        <v>49.44</v>
      </c>
      <c r="H169" s="56">
        <v>48</v>
      </c>
      <c r="I169" s="66">
        <v>0.03</v>
      </c>
      <c r="J169" s="67">
        <v>5</v>
      </c>
      <c r="K169" s="34">
        <f>(F169+G169+J169)*$K$5</f>
        <v>4.4664</v>
      </c>
      <c r="L169" s="34">
        <f>(F169+G169+J169+K169)*$L$5</f>
        <v>7.101576</v>
      </c>
      <c r="M169" s="55">
        <f t="shared" si="108"/>
        <v>86.007976</v>
      </c>
      <c r="N169" s="55"/>
      <c r="O169" s="55">
        <f t="shared" si="109"/>
        <v>2839.98336752</v>
      </c>
      <c r="P169" s="57"/>
      <c r="R169" s="21">
        <f t="shared" si="83"/>
        <v>2839.98336752</v>
      </c>
      <c r="S169" s="21">
        <f t="shared" si="84"/>
        <v>86.007976</v>
      </c>
      <c r="T169" s="21" t="b">
        <f t="shared" si="85"/>
        <v>1</v>
      </c>
      <c r="U169" s="21" t="b">
        <f t="shared" si="86"/>
        <v>1</v>
      </c>
    </row>
    <row r="170" s="21" customFormat="1" ht="56.25" outlineLevel="1" spans="1:21">
      <c r="A170" s="57">
        <v>144</v>
      </c>
      <c r="B170" s="57" t="s">
        <v>389</v>
      </c>
      <c r="C170" s="57" t="s">
        <v>565</v>
      </c>
      <c r="D170" s="57" t="s">
        <v>144</v>
      </c>
      <c r="E170" s="57">
        <v>12.25</v>
      </c>
      <c r="F170" s="54">
        <v>38</v>
      </c>
      <c r="G170" s="55">
        <f t="shared" si="106"/>
        <v>66.95</v>
      </c>
      <c r="H170" s="56">
        <v>65</v>
      </c>
      <c r="I170" s="66">
        <v>0.03</v>
      </c>
      <c r="J170" s="67">
        <v>5</v>
      </c>
      <c r="K170" s="34">
        <f>(F170+G170+J170)*$K$5</f>
        <v>6.597</v>
      </c>
      <c r="L170" s="34">
        <f>(F170+G170+J170+K170)*$L$5</f>
        <v>10.48923</v>
      </c>
      <c r="M170" s="55">
        <f t="shared" si="108"/>
        <v>127.03623</v>
      </c>
      <c r="N170" s="55"/>
      <c r="O170" s="55">
        <f t="shared" si="109"/>
        <v>1556.1938175</v>
      </c>
      <c r="P170" s="57"/>
      <c r="R170" s="21">
        <f t="shared" si="83"/>
        <v>1556.1938175</v>
      </c>
      <c r="S170" s="21">
        <f t="shared" si="84"/>
        <v>127.03623</v>
      </c>
      <c r="T170" s="21" t="b">
        <f t="shared" si="85"/>
        <v>1</v>
      </c>
      <c r="U170" s="21" t="b">
        <f t="shared" si="86"/>
        <v>1</v>
      </c>
    </row>
    <row r="171" s="21" customFormat="1" ht="67.5" outlineLevel="1" spans="1:21">
      <c r="A171" s="57">
        <v>145</v>
      </c>
      <c r="B171" s="57" t="s">
        <v>395</v>
      </c>
      <c r="C171" s="57" t="s">
        <v>566</v>
      </c>
      <c r="D171" s="57" t="s">
        <v>144</v>
      </c>
      <c r="E171" s="57">
        <v>51.97</v>
      </c>
      <c r="F171" s="60">
        <v>15</v>
      </c>
      <c r="G171" s="55">
        <f t="shared" si="106"/>
        <v>38.11</v>
      </c>
      <c r="H171" s="56">
        <v>37</v>
      </c>
      <c r="I171" s="68">
        <v>0.03</v>
      </c>
      <c r="J171" s="69">
        <v>5</v>
      </c>
      <c r="K171" s="34">
        <f>(F171+G171+J171)*$K$5</f>
        <v>3.4866</v>
      </c>
      <c r="L171" s="34">
        <f>(F171+G171+J171+K171)*$L$5</f>
        <v>5.543694</v>
      </c>
      <c r="M171" s="55">
        <f t="shared" si="108"/>
        <v>67.140294</v>
      </c>
      <c r="N171" s="55"/>
      <c r="O171" s="55">
        <f t="shared" si="109"/>
        <v>3489.28107918</v>
      </c>
      <c r="P171" s="57"/>
      <c r="R171" s="21">
        <f t="shared" si="83"/>
        <v>3489.28107918</v>
      </c>
      <c r="S171" s="21">
        <f t="shared" si="84"/>
        <v>67.140294</v>
      </c>
      <c r="T171" s="21" t="b">
        <f t="shared" si="85"/>
        <v>1</v>
      </c>
      <c r="U171" s="21" t="b">
        <f t="shared" si="86"/>
        <v>1</v>
      </c>
    </row>
    <row r="172" s="21" customFormat="1" ht="67.5" outlineLevel="1" spans="1:21">
      <c r="A172" s="57">
        <v>146</v>
      </c>
      <c r="B172" s="57" t="s">
        <v>395</v>
      </c>
      <c r="C172" s="57" t="s">
        <v>567</v>
      </c>
      <c r="D172" s="57" t="s">
        <v>144</v>
      </c>
      <c r="E172" s="57">
        <v>60.61</v>
      </c>
      <c r="F172" s="60">
        <f t="shared" ref="F172:J172" si="114">F171</f>
        <v>15</v>
      </c>
      <c r="G172" s="55">
        <f t="shared" si="106"/>
        <v>60.77</v>
      </c>
      <c r="H172" s="56">
        <v>59</v>
      </c>
      <c r="I172" s="68">
        <f t="shared" si="114"/>
        <v>0.03</v>
      </c>
      <c r="J172" s="69">
        <f t="shared" si="114"/>
        <v>5</v>
      </c>
      <c r="K172" s="34">
        <f>(F172+G172+J172)*$K$5</f>
        <v>4.8462</v>
      </c>
      <c r="L172" s="34">
        <f>(F172+G172+J172+K172)*$L$5</f>
        <v>7.705458</v>
      </c>
      <c r="M172" s="55">
        <f t="shared" si="108"/>
        <v>93.321658</v>
      </c>
      <c r="N172" s="55"/>
      <c r="O172" s="55">
        <f t="shared" si="109"/>
        <v>5656.22569138</v>
      </c>
      <c r="P172" s="57"/>
      <c r="R172" s="21">
        <f t="shared" si="83"/>
        <v>5656.22569138</v>
      </c>
      <c r="S172" s="21">
        <f t="shared" si="84"/>
        <v>93.321658</v>
      </c>
      <c r="T172" s="21" t="b">
        <f t="shared" si="85"/>
        <v>1</v>
      </c>
      <c r="U172" s="21" t="b">
        <f t="shared" si="86"/>
        <v>1</v>
      </c>
    </row>
    <row r="173" s="21" customFormat="1" ht="78.75" outlineLevel="1" spans="1:21">
      <c r="A173" s="57">
        <v>147</v>
      </c>
      <c r="B173" s="57" t="s">
        <v>395</v>
      </c>
      <c r="C173" s="57" t="s">
        <v>568</v>
      </c>
      <c r="D173" s="57" t="s">
        <v>144</v>
      </c>
      <c r="E173" s="57">
        <v>41.93</v>
      </c>
      <c r="F173" s="54">
        <v>18</v>
      </c>
      <c r="G173" s="55">
        <f t="shared" si="106"/>
        <v>287.37</v>
      </c>
      <c r="H173" s="56">
        <v>279</v>
      </c>
      <c r="I173" s="68">
        <f>I172</f>
        <v>0.03</v>
      </c>
      <c r="J173" s="69">
        <f>J171</f>
        <v>5</v>
      </c>
      <c r="K173" s="34">
        <f>(F173+G173+J173)*$K$5</f>
        <v>18.6222</v>
      </c>
      <c r="L173" s="34">
        <f>(F173+G173+J173+K173)*$L$5</f>
        <v>29.609298</v>
      </c>
      <c r="M173" s="55">
        <f t="shared" si="108"/>
        <v>358.601498</v>
      </c>
      <c r="N173" s="55"/>
      <c r="O173" s="55">
        <f t="shared" si="109"/>
        <v>15036.16081114</v>
      </c>
      <c r="P173" s="57"/>
      <c r="R173" s="21">
        <f t="shared" si="83"/>
        <v>15036.16081114</v>
      </c>
      <c r="S173" s="21">
        <f t="shared" si="84"/>
        <v>358.601498</v>
      </c>
      <c r="T173" s="21" t="b">
        <f t="shared" si="85"/>
        <v>1</v>
      </c>
      <c r="U173" s="21" t="b">
        <f t="shared" si="86"/>
        <v>1</v>
      </c>
    </row>
    <row r="174" s="21" customFormat="1" ht="67.5" outlineLevel="1" spans="1:21">
      <c r="A174" s="57">
        <v>148</v>
      </c>
      <c r="B174" s="57" t="s">
        <v>397</v>
      </c>
      <c r="C174" s="57" t="s">
        <v>569</v>
      </c>
      <c r="D174" s="57" t="s">
        <v>138</v>
      </c>
      <c r="E174" s="57">
        <v>2</v>
      </c>
      <c r="F174" s="60">
        <f>F20</f>
        <v>50</v>
      </c>
      <c r="G174" s="55">
        <f t="shared" si="106"/>
        <v>8.08</v>
      </c>
      <c r="H174" s="56">
        <v>8</v>
      </c>
      <c r="I174" s="68">
        <v>0.01</v>
      </c>
      <c r="J174" s="69">
        <f>J20</f>
        <v>1</v>
      </c>
      <c r="K174" s="34">
        <f>(F174+G174+J174)*$K$5</f>
        <v>3.5448</v>
      </c>
      <c r="L174" s="34">
        <f>(F174+G174+J174+K174)*$L$5</f>
        <v>5.636232</v>
      </c>
      <c r="M174" s="55">
        <f t="shared" si="108"/>
        <v>68.261032</v>
      </c>
      <c r="N174" s="55"/>
      <c r="O174" s="55">
        <f t="shared" si="109"/>
        <v>136.522064</v>
      </c>
      <c r="P174" s="57"/>
      <c r="R174" s="21">
        <f t="shared" si="83"/>
        <v>136.522064</v>
      </c>
      <c r="S174" s="21">
        <f t="shared" si="84"/>
        <v>68.261032</v>
      </c>
      <c r="T174" s="21" t="b">
        <f t="shared" si="85"/>
        <v>1</v>
      </c>
      <c r="U174" s="21" t="b">
        <f t="shared" si="86"/>
        <v>1</v>
      </c>
    </row>
    <row r="175" s="21" customFormat="1" ht="67.5" outlineLevel="1" spans="1:21">
      <c r="A175" s="57">
        <v>149</v>
      </c>
      <c r="B175" s="57" t="s">
        <v>397</v>
      </c>
      <c r="C175" s="57" t="s">
        <v>570</v>
      </c>
      <c r="D175" s="57" t="s">
        <v>138</v>
      </c>
      <c r="E175" s="57">
        <v>10</v>
      </c>
      <c r="F175" s="71">
        <f>F20</f>
        <v>50</v>
      </c>
      <c r="G175" s="55">
        <f t="shared" si="106"/>
        <v>12.12</v>
      </c>
      <c r="H175" s="56">
        <v>12</v>
      </c>
      <c r="I175" s="68">
        <f>I174</f>
        <v>0.01</v>
      </c>
      <c r="J175" s="69">
        <f>J20</f>
        <v>1</v>
      </c>
      <c r="K175" s="34">
        <f>(F175+G175+J175)*$K$5</f>
        <v>3.7872</v>
      </c>
      <c r="L175" s="34">
        <f>(F175+G175+J175+K175)*$L$5</f>
        <v>6.021648</v>
      </c>
      <c r="M175" s="55">
        <f t="shared" si="108"/>
        <v>72.928848</v>
      </c>
      <c r="N175" s="55"/>
      <c r="O175" s="55">
        <f t="shared" si="109"/>
        <v>729.28848</v>
      </c>
      <c r="P175" s="57"/>
      <c r="R175" s="21">
        <f t="shared" si="83"/>
        <v>729.28848</v>
      </c>
      <c r="S175" s="21">
        <f t="shared" si="84"/>
        <v>72.928848</v>
      </c>
      <c r="T175" s="21" t="b">
        <f t="shared" si="85"/>
        <v>1</v>
      </c>
      <c r="U175" s="21" t="b">
        <f t="shared" si="86"/>
        <v>1</v>
      </c>
    </row>
    <row r="176" s="21" customFormat="1" ht="67.5" outlineLevel="1" spans="1:21">
      <c r="A176" s="57">
        <v>150</v>
      </c>
      <c r="B176" s="57" t="s">
        <v>397</v>
      </c>
      <c r="C176" s="57" t="s">
        <v>571</v>
      </c>
      <c r="D176" s="57" t="s">
        <v>138</v>
      </c>
      <c r="E176" s="57">
        <v>2</v>
      </c>
      <c r="F176" s="71">
        <f>F20</f>
        <v>50</v>
      </c>
      <c r="G176" s="55">
        <f t="shared" si="106"/>
        <v>32.32</v>
      </c>
      <c r="H176" s="56">
        <v>32</v>
      </c>
      <c r="I176" s="68">
        <f>I174</f>
        <v>0.01</v>
      </c>
      <c r="J176" s="69">
        <f>J20</f>
        <v>1</v>
      </c>
      <c r="K176" s="34">
        <f>(F176+G176+J176)*$K$5</f>
        <v>4.9992</v>
      </c>
      <c r="L176" s="34">
        <f>(F176+G176+J176+K176)*$L$5</f>
        <v>7.948728</v>
      </c>
      <c r="M176" s="55">
        <f t="shared" si="108"/>
        <v>96.267928</v>
      </c>
      <c r="N176" s="55"/>
      <c r="O176" s="55">
        <f t="shared" si="109"/>
        <v>192.535856</v>
      </c>
      <c r="P176" s="57"/>
      <c r="R176" s="21">
        <f t="shared" si="83"/>
        <v>192.535856</v>
      </c>
      <c r="S176" s="21">
        <f t="shared" si="84"/>
        <v>96.267928</v>
      </c>
      <c r="T176" s="21" t="b">
        <f t="shared" si="85"/>
        <v>1</v>
      </c>
      <c r="U176" s="21" t="b">
        <f t="shared" si="86"/>
        <v>1</v>
      </c>
    </row>
    <row r="177" s="21" customFormat="1" ht="67.5" outlineLevel="1" spans="1:21">
      <c r="A177" s="53">
        <v>151</v>
      </c>
      <c r="B177" s="53" t="s">
        <v>399</v>
      </c>
      <c r="C177" s="53" t="s">
        <v>400</v>
      </c>
      <c r="D177" s="53" t="s">
        <v>144</v>
      </c>
      <c r="E177" s="53">
        <v>208.74</v>
      </c>
      <c r="F177" s="53">
        <f>F21</f>
        <v>3</v>
      </c>
      <c r="G177" s="55">
        <f t="shared" si="106"/>
        <v>4.06</v>
      </c>
      <c r="H177" s="58">
        <f>H59</f>
        <v>3.5</v>
      </c>
      <c r="I177" s="68">
        <f>I53</f>
        <v>0.16</v>
      </c>
      <c r="J177" s="69">
        <f>J53</f>
        <v>0.5</v>
      </c>
      <c r="K177" s="34">
        <f>(F177+G177+J177)*$K$5</f>
        <v>0.4536</v>
      </c>
      <c r="L177" s="34">
        <f>(F177+G177+J177+K177)*$L$5</f>
        <v>0.721224</v>
      </c>
      <c r="M177" s="55">
        <f t="shared" si="108"/>
        <v>8.734824</v>
      </c>
      <c r="N177" s="55"/>
      <c r="O177" s="55">
        <f t="shared" si="109"/>
        <v>1823.30716176</v>
      </c>
      <c r="P177" s="53"/>
      <c r="R177" s="21">
        <f t="shared" si="83"/>
        <v>1823.30716176</v>
      </c>
      <c r="S177" s="21">
        <f t="shared" si="84"/>
        <v>8.734824</v>
      </c>
      <c r="T177" s="21" t="b">
        <f t="shared" si="85"/>
        <v>1</v>
      </c>
      <c r="U177" s="21" t="b">
        <f t="shared" si="86"/>
        <v>1</v>
      </c>
    </row>
    <row r="178" s="21" customFormat="1" ht="67.5" outlineLevel="1" spans="1:21">
      <c r="A178" s="53">
        <v>152</v>
      </c>
      <c r="B178" s="53" t="s">
        <v>399</v>
      </c>
      <c r="C178" s="53" t="s">
        <v>401</v>
      </c>
      <c r="D178" s="53" t="s">
        <v>144</v>
      </c>
      <c r="E178" s="53">
        <v>1003.72</v>
      </c>
      <c r="F178" s="53">
        <f>F21</f>
        <v>3</v>
      </c>
      <c r="G178" s="55">
        <f t="shared" si="106"/>
        <v>3.016</v>
      </c>
      <c r="H178" s="58">
        <f>H22</f>
        <v>2.6</v>
      </c>
      <c r="I178" s="68">
        <f>I53</f>
        <v>0.16</v>
      </c>
      <c r="J178" s="69">
        <f>J53</f>
        <v>0.5</v>
      </c>
      <c r="K178" s="34">
        <f>(F178+G178+J178)*$K$5</f>
        <v>0.39096</v>
      </c>
      <c r="L178" s="34">
        <f>(F178+G178+J178+K178)*$L$5</f>
        <v>0.6216264</v>
      </c>
      <c r="M178" s="55">
        <f t="shared" si="108"/>
        <v>7.5285864</v>
      </c>
      <c r="N178" s="55"/>
      <c r="O178" s="55">
        <f t="shared" si="109"/>
        <v>7556.592741408</v>
      </c>
      <c r="P178" s="53"/>
      <c r="R178" s="21">
        <f t="shared" si="83"/>
        <v>7556.592741408</v>
      </c>
      <c r="S178" s="21">
        <f t="shared" si="84"/>
        <v>7.5285864</v>
      </c>
      <c r="T178" s="21" t="b">
        <f t="shared" si="85"/>
        <v>1</v>
      </c>
      <c r="U178" s="21" t="b">
        <f t="shared" si="86"/>
        <v>1</v>
      </c>
    </row>
    <row r="179" s="21" customFormat="1" ht="56.25" outlineLevel="1" spans="1:21">
      <c r="A179" s="53">
        <v>153</v>
      </c>
      <c r="B179" s="53" t="s">
        <v>399</v>
      </c>
      <c r="C179" s="53" t="s">
        <v>403</v>
      </c>
      <c r="D179" s="53" t="s">
        <v>144</v>
      </c>
      <c r="E179" s="53">
        <v>373.07</v>
      </c>
      <c r="F179" s="53">
        <f>F21</f>
        <v>3</v>
      </c>
      <c r="G179" s="55">
        <f t="shared" si="106"/>
        <v>3.944</v>
      </c>
      <c r="H179" s="58">
        <f>H24</f>
        <v>3.4</v>
      </c>
      <c r="I179" s="68">
        <f>I54</f>
        <v>0.16</v>
      </c>
      <c r="J179" s="69">
        <f>J53</f>
        <v>0.5</v>
      </c>
      <c r="K179" s="34">
        <f>(F179+G179+J179)*$K$5</f>
        <v>0.44664</v>
      </c>
      <c r="L179" s="34">
        <f>(F179+G179+J179+K179)*$L$5</f>
        <v>0.7101576</v>
      </c>
      <c r="M179" s="55">
        <f t="shared" si="108"/>
        <v>8.6007976</v>
      </c>
      <c r="N179" s="55"/>
      <c r="O179" s="55">
        <f t="shared" si="109"/>
        <v>3208.699560632</v>
      </c>
      <c r="P179" s="53"/>
      <c r="R179" s="21">
        <f t="shared" si="83"/>
        <v>3208.699560632</v>
      </c>
      <c r="S179" s="21">
        <f t="shared" si="84"/>
        <v>8.6007976</v>
      </c>
      <c r="T179" s="21" t="b">
        <f t="shared" si="85"/>
        <v>1</v>
      </c>
      <c r="U179" s="21" t="b">
        <f t="shared" si="86"/>
        <v>1</v>
      </c>
    </row>
    <row r="180" s="21" customFormat="1" ht="56.25" outlineLevel="1" spans="1:21">
      <c r="A180" s="53">
        <v>154</v>
      </c>
      <c r="B180" s="53" t="s">
        <v>405</v>
      </c>
      <c r="C180" s="53" t="s">
        <v>406</v>
      </c>
      <c r="D180" s="53" t="s">
        <v>317</v>
      </c>
      <c r="E180" s="53">
        <v>55</v>
      </c>
      <c r="F180" s="53">
        <f t="shared" ref="F180:J180" si="115">F26</f>
        <v>20</v>
      </c>
      <c r="G180" s="55">
        <f t="shared" si="106"/>
        <v>146.45</v>
      </c>
      <c r="H180" s="58">
        <f t="shared" si="115"/>
        <v>145</v>
      </c>
      <c r="I180" s="65">
        <f t="shared" si="115"/>
        <v>0.01</v>
      </c>
      <c r="J180" s="64">
        <f t="shared" si="115"/>
        <v>5</v>
      </c>
      <c r="K180" s="34">
        <f>(F180+G180+J180)*$K$5</f>
        <v>10.287</v>
      </c>
      <c r="L180" s="34">
        <f>(F180+G180+J180+K180)*$L$5</f>
        <v>16.35633</v>
      </c>
      <c r="M180" s="55">
        <f t="shared" si="108"/>
        <v>198.09333</v>
      </c>
      <c r="N180" s="55"/>
      <c r="O180" s="55">
        <f t="shared" si="109"/>
        <v>10895.13315</v>
      </c>
      <c r="P180" s="53"/>
      <c r="R180" s="21">
        <f t="shared" si="83"/>
        <v>10895.13315</v>
      </c>
      <c r="S180" s="21">
        <f t="shared" si="84"/>
        <v>198.09333</v>
      </c>
      <c r="T180" s="21" t="b">
        <f t="shared" si="85"/>
        <v>1</v>
      </c>
      <c r="U180" s="21" t="b">
        <f t="shared" si="86"/>
        <v>1</v>
      </c>
    </row>
    <row r="181" s="21" customFormat="1" ht="56.25" outlineLevel="1" spans="1:21">
      <c r="A181" s="53">
        <v>155</v>
      </c>
      <c r="B181" s="53" t="s">
        <v>405</v>
      </c>
      <c r="C181" s="53" t="s">
        <v>572</v>
      </c>
      <c r="D181" s="53" t="s">
        <v>317</v>
      </c>
      <c r="E181" s="53">
        <v>17</v>
      </c>
      <c r="F181" s="53">
        <f t="shared" ref="F181:J181" si="116">F26</f>
        <v>20</v>
      </c>
      <c r="G181" s="55">
        <f t="shared" si="106"/>
        <v>267.65</v>
      </c>
      <c r="H181" s="56">
        <v>265</v>
      </c>
      <c r="I181" s="65">
        <f t="shared" si="116"/>
        <v>0.01</v>
      </c>
      <c r="J181" s="64">
        <f t="shared" si="116"/>
        <v>5</v>
      </c>
      <c r="K181" s="34">
        <f>(F181+G181+J181)*$K$5</f>
        <v>17.559</v>
      </c>
      <c r="L181" s="34">
        <f>(F181+G181+J181+K181)*$L$5</f>
        <v>27.91881</v>
      </c>
      <c r="M181" s="55">
        <f t="shared" si="108"/>
        <v>338.12781</v>
      </c>
      <c r="N181" s="55"/>
      <c r="O181" s="55">
        <f t="shared" si="109"/>
        <v>5748.17277</v>
      </c>
      <c r="P181" s="53"/>
      <c r="R181" s="21">
        <f t="shared" si="83"/>
        <v>5748.17277</v>
      </c>
      <c r="S181" s="21">
        <f t="shared" si="84"/>
        <v>338.12781</v>
      </c>
      <c r="T181" s="21" t="b">
        <f t="shared" si="85"/>
        <v>1</v>
      </c>
      <c r="U181" s="21" t="b">
        <f t="shared" si="86"/>
        <v>1</v>
      </c>
    </row>
    <row r="182" s="21" customFormat="1" ht="56.25" outlineLevel="1" spans="1:21">
      <c r="A182" s="53">
        <v>156</v>
      </c>
      <c r="B182" s="53" t="s">
        <v>405</v>
      </c>
      <c r="C182" s="53" t="s">
        <v>409</v>
      </c>
      <c r="D182" s="53" t="s">
        <v>317</v>
      </c>
      <c r="E182" s="53">
        <v>6</v>
      </c>
      <c r="F182" s="53">
        <f t="shared" ref="F182:J182" si="117">F28</f>
        <v>0</v>
      </c>
      <c r="G182" s="55">
        <f t="shared" si="106"/>
        <v>0</v>
      </c>
      <c r="H182" s="53">
        <f t="shared" si="117"/>
        <v>0</v>
      </c>
      <c r="I182" s="65">
        <f t="shared" si="117"/>
        <v>0</v>
      </c>
      <c r="J182" s="64">
        <f t="shared" si="117"/>
        <v>0</v>
      </c>
      <c r="K182" s="34">
        <f>(F182+G182+J182)*$K$5</f>
        <v>0</v>
      </c>
      <c r="L182" s="34">
        <f>(F182+G182+J182+K182)*$L$5</f>
        <v>0</v>
      </c>
      <c r="M182" s="55">
        <f t="shared" si="108"/>
        <v>0</v>
      </c>
      <c r="N182" s="55"/>
      <c r="O182" s="55">
        <f t="shared" si="109"/>
        <v>0</v>
      </c>
      <c r="P182" s="53" t="s">
        <v>410</v>
      </c>
      <c r="R182" s="21">
        <f t="shared" si="83"/>
        <v>0</v>
      </c>
      <c r="S182" s="21">
        <f t="shared" si="84"/>
        <v>0</v>
      </c>
      <c r="T182" s="21" t="b">
        <f t="shared" si="85"/>
        <v>1</v>
      </c>
      <c r="U182" s="21" t="b">
        <f t="shared" si="86"/>
        <v>1</v>
      </c>
    </row>
    <row r="183" s="21" customFormat="1" ht="56.25" outlineLevel="1" spans="1:21">
      <c r="A183" s="53">
        <v>157</v>
      </c>
      <c r="B183" s="53" t="s">
        <v>405</v>
      </c>
      <c r="C183" s="53" t="s">
        <v>573</v>
      </c>
      <c r="D183" s="53" t="s">
        <v>144</v>
      </c>
      <c r="E183" s="53">
        <v>27.68</v>
      </c>
      <c r="F183" s="53">
        <f t="shared" ref="F183:J183" si="118">F26</f>
        <v>20</v>
      </c>
      <c r="G183" s="55">
        <f t="shared" si="106"/>
        <v>25.25</v>
      </c>
      <c r="H183" s="58">
        <f>H29</f>
        <v>25</v>
      </c>
      <c r="I183" s="65">
        <f t="shared" si="118"/>
        <v>0.01</v>
      </c>
      <c r="J183" s="64">
        <f t="shared" si="118"/>
        <v>5</v>
      </c>
      <c r="K183" s="34">
        <f>(F183+G183+J183)*$K$5</f>
        <v>3.015</v>
      </c>
      <c r="L183" s="34">
        <f>(F183+G183+J183+K183)*$L$5</f>
        <v>4.79385</v>
      </c>
      <c r="M183" s="55">
        <f t="shared" si="108"/>
        <v>58.05885</v>
      </c>
      <c r="N183" s="55"/>
      <c r="O183" s="55">
        <f t="shared" si="109"/>
        <v>1607.068968</v>
      </c>
      <c r="P183" s="53"/>
      <c r="R183" s="21">
        <f t="shared" si="83"/>
        <v>1607.068968</v>
      </c>
      <c r="S183" s="21">
        <f t="shared" si="84"/>
        <v>58.05885</v>
      </c>
      <c r="T183" s="21" t="b">
        <f t="shared" si="85"/>
        <v>1</v>
      </c>
      <c r="U183" s="21" t="b">
        <f t="shared" si="86"/>
        <v>1</v>
      </c>
    </row>
    <row r="184" s="21" customFormat="1" ht="33.75" outlineLevel="1" spans="1:21">
      <c r="A184" s="53">
        <v>158</v>
      </c>
      <c r="B184" s="53" t="s">
        <v>414</v>
      </c>
      <c r="C184" s="53" t="s">
        <v>415</v>
      </c>
      <c r="D184" s="53" t="s">
        <v>138</v>
      </c>
      <c r="E184" s="53">
        <v>1</v>
      </c>
      <c r="F184" s="53">
        <f t="shared" ref="F184:J184" si="119">F32</f>
        <v>15</v>
      </c>
      <c r="G184" s="55">
        <f t="shared" si="106"/>
        <v>28.28</v>
      </c>
      <c r="H184" s="58">
        <f t="shared" si="119"/>
        <v>28</v>
      </c>
      <c r="I184" s="68">
        <f t="shared" si="119"/>
        <v>0.01</v>
      </c>
      <c r="J184" s="69">
        <f t="shared" si="119"/>
        <v>5</v>
      </c>
      <c r="K184" s="34">
        <f>(F184+G184+J184)*$K$5</f>
        <v>2.8968</v>
      </c>
      <c r="L184" s="34">
        <f>(F184+G184+J184+K184)*$L$5</f>
        <v>4.605912</v>
      </c>
      <c r="M184" s="55">
        <f t="shared" si="108"/>
        <v>55.782712</v>
      </c>
      <c r="N184" s="55"/>
      <c r="O184" s="55">
        <f t="shared" si="109"/>
        <v>55.782712</v>
      </c>
      <c r="P184" s="53"/>
      <c r="R184" s="21">
        <f t="shared" si="83"/>
        <v>55.782712</v>
      </c>
      <c r="S184" s="21">
        <f t="shared" si="84"/>
        <v>55.782712</v>
      </c>
      <c r="T184" s="21" t="b">
        <f t="shared" si="85"/>
        <v>1</v>
      </c>
      <c r="U184" s="21" t="b">
        <f t="shared" si="86"/>
        <v>1</v>
      </c>
    </row>
    <row r="185" s="21" customFormat="1" ht="33.75" outlineLevel="1" spans="1:21">
      <c r="A185" s="53">
        <v>159</v>
      </c>
      <c r="B185" s="53" t="s">
        <v>414</v>
      </c>
      <c r="C185" s="53" t="s">
        <v>418</v>
      </c>
      <c r="D185" s="53" t="s">
        <v>138</v>
      </c>
      <c r="E185" s="53">
        <v>5</v>
      </c>
      <c r="F185" s="53">
        <f t="shared" ref="F185:J185" si="120">F32</f>
        <v>15</v>
      </c>
      <c r="G185" s="55">
        <f t="shared" si="106"/>
        <v>61.61</v>
      </c>
      <c r="H185" s="58">
        <f>H34</f>
        <v>61</v>
      </c>
      <c r="I185" s="68">
        <f t="shared" si="120"/>
        <v>0.01</v>
      </c>
      <c r="J185" s="69">
        <f t="shared" si="120"/>
        <v>5</v>
      </c>
      <c r="K185" s="34">
        <f>(F185+G185+J185)*$K$5</f>
        <v>4.8966</v>
      </c>
      <c r="L185" s="34">
        <f>(F185+G185+J185+K185)*$L$5</f>
        <v>7.785594</v>
      </c>
      <c r="M185" s="55">
        <f t="shared" si="108"/>
        <v>94.292194</v>
      </c>
      <c r="N185" s="55"/>
      <c r="O185" s="55">
        <f t="shared" si="109"/>
        <v>471.46097</v>
      </c>
      <c r="P185" s="53"/>
      <c r="R185" s="21">
        <f t="shared" si="83"/>
        <v>471.46097</v>
      </c>
      <c r="S185" s="21">
        <f t="shared" si="84"/>
        <v>94.292194</v>
      </c>
      <c r="T185" s="21" t="b">
        <f t="shared" si="85"/>
        <v>1</v>
      </c>
      <c r="U185" s="21" t="b">
        <f t="shared" si="86"/>
        <v>1</v>
      </c>
    </row>
    <row r="186" s="21" customFormat="1" ht="33.75" outlineLevel="1" spans="1:21">
      <c r="A186" s="53">
        <v>160</v>
      </c>
      <c r="B186" s="53" t="s">
        <v>414</v>
      </c>
      <c r="C186" s="53" t="s">
        <v>574</v>
      </c>
      <c r="D186" s="53" t="s">
        <v>138</v>
      </c>
      <c r="E186" s="53">
        <v>1</v>
      </c>
      <c r="F186" s="53">
        <f t="shared" ref="F186:J186" si="121">F32</f>
        <v>15</v>
      </c>
      <c r="G186" s="55">
        <f t="shared" si="106"/>
        <v>55.55</v>
      </c>
      <c r="H186" s="56">
        <v>55</v>
      </c>
      <c r="I186" s="68">
        <f t="shared" si="121"/>
        <v>0.01</v>
      </c>
      <c r="J186" s="69">
        <f t="shared" si="121"/>
        <v>5</v>
      </c>
      <c r="K186" s="34">
        <f>(F186+G186+J186)*$K$5</f>
        <v>4.533</v>
      </c>
      <c r="L186" s="34">
        <f>(F186+G186+J186+K186)*$L$5</f>
        <v>7.20747</v>
      </c>
      <c r="M186" s="55">
        <f t="shared" si="108"/>
        <v>87.29047</v>
      </c>
      <c r="N186" s="55"/>
      <c r="O186" s="55">
        <f t="shared" si="109"/>
        <v>87.29047</v>
      </c>
      <c r="P186" s="53"/>
      <c r="R186" s="21">
        <f t="shared" si="83"/>
        <v>87.29047</v>
      </c>
      <c r="S186" s="21">
        <f t="shared" si="84"/>
        <v>87.29047</v>
      </c>
      <c r="T186" s="21" t="b">
        <f t="shared" si="85"/>
        <v>1</v>
      </c>
      <c r="U186" s="21" t="b">
        <f t="shared" si="86"/>
        <v>1</v>
      </c>
    </row>
    <row r="187" s="21" customFormat="1" ht="33.75" outlineLevel="1" spans="1:21">
      <c r="A187" s="53">
        <v>161</v>
      </c>
      <c r="B187" s="53" t="s">
        <v>414</v>
      </c>
      <c r="C187" s="53" t="s">
        <v>575</v>
      </c>
      <c r="D187" s="53" t="s">
        <v>138</v>
      </c>
      <c r="E187" s="53">
        <v>1</v>
      </c>
      <c r="F187" s="53">
        <f t="shared" ref="F187:J187" si="122">F32</f>
        <v>15</v>
      </c>
      <c r="G187" s="55">
        <f t="shared" si="106"/>
        <v>166.65</v>
      </c>
      <c r="H187" s="56">
        <v>165</v>
      </c>
      <c r="I187" s="68">
        <f t="shared" si="122"/>
        <v>0.01</v>
      </c>
      <c r="J187" s="69">
        <f t="shared" si="122"/>
        <v>5</v>
      </c>
      <c r="K187" s="34">
        <f>(F187+G187+J187)*$K$5</f>
        <v>11.199</v>
      </c>
      <c r="L187" s="34">
        <f>(F187+G187+J187+K187)*$L$5</f>
        <v>17.80641</v>
      </c>
      <c r="M187" s="55">
        <f t="shared" si="108"/>
        <v>215.65541</v>
      </c>
      <c r="N187" s="55"/>
      <c r="O187" s="55">
        <f t="shared" si="109"/>
        <v>215.65541</v>
      </c>
      <c r="P187" s="53"/>
      <c r="R187" s="21">
        <f t="shared" si="83"/>
        <v>215.65541</v>
      </c>
      <c r="S187" s="21">
        <f t="shared" si="84"/>
        <v>215.65541</v>
      </c>
      <c r="T187" s="21" t="b">
        <f t="shared" si="85"/>
        <v>1</v>
      </c>
      <c r="U187" s="21" t="b">
        <f t="shared" si="86"/>
        <v>1</v>
      </c>
    </row>
    <row r="188" s="21" customFormat="1" ht="33.75" outlineLevel="1" spans="1:21">
      <c r="A188" s="53">
        <v>162</v>
      </c>
      <c r="B188" s="53" t="s">
        <v>420</v>
      </c>
      <c r="C188" s="53" t="s">
        <v>421</v>
      </c>
      <c r="D188" s="53" t="s">
        <v>138</v>
      </c>
      <c r="E188" s="53">
        <v>4</v>
      </c>
      <c r="F188" s="53">
        <f t="shared" ref="F188:J188" si="123">F36</f>
        <v>25</v>
      </c>
      <c r="G188" s="55">
        <f t="shared" si="106"/>
        <v>186.85</v>
      </c>
      <c r="H188" s="58">
        <f t="shared" si="123"/>
        <v>185</v>
      </c>
      <c r="I188" s="68">
        <f t="shared" si="123"/>
        <v>0.01</v>
      </c>
      <c r="J188" s="69">
        <f t="shared" si="123"/>
        <v>5</v>
      </c>
      <c r="K188" s="34">
        <f>(F188+G188+J188)*$K$5</f>
        <v>13.011</v>
      </c>
      <c r="L188" s="34">
        <f>(F188+G188+J188+K188)*$L$5</f>
        <v>20.68749</v>
      </c>
      <c r="M188" s="55">
        <f t="shared" si="108"/>
        <v>250.54849</v>
      </c>
      <c r="N188" s="55"/>
      <c r="O188" s="55">
        <f t="shared" si="109"/>
        <v>1002.19396</v>
      </c>
      <c r="P188" s="53"/>
      <c r="R188" s="21">
        <f t="shared" si="83"/>
        <v>1002.19396</v>
      </c>
      <c r="S188" s="21">
        <f t="shared" si="84"/>
        <v>250.54849</v>
      </c>
      <c r="T188" s="21" t="b">
        <f t="shared" si="85"/>
        <v>1</v>
      </c>
      <c r="U188" s="21" t="b">
        <f t="shared" si="86"/>
        <v>1</v>
      </c>
    </row>
    <row r="189" s="21" customFormat="1" ht="45" outlineLevel="1" spans="1:21">
      <c r="A189" s="53">
        <v>163</v>
      </c>
      <c r="B189" s="53" t="s">
        <v>422</v>
      </c>
      <c r="C189" s="53" t="s">
        <v>423</v>
      </c>
      <c r="D189" s="53" t="s">
        <v>138</v>
      </c>
      <c r="E189" s="53">
        <v>13</v>
      </c>
      <c r="F189" s="53">
        <f>F37</f>
        <v>15</v>
      </c>
      <c r="G189" s="55">
        <f t="shared" si="106"/>
        <v>28.28</v>
      </c>
      <c r="H189" s="58">
        <f t="shared" ref="H189:H192" si="124">H37</f>
        <v>28</v>
      </c>
      <c r="I189" s="68">
        <f>I32</f>
        <v>0.01</v>
      </c>
      <c r="J189" s="69">
        <f>J32</f>
        <v>5</v>
      </c>
      <c r="K189" s="34">
        <f>(F189+G189+J189)*$K$5</f>
        <v>2.8968</v>
      </c>
      <c r="L189" s="34">
        <f>(F189+G189+J189+K189)*$L$5</f>
        <v>4.605912</v>
      </c>
      <c r="M189" s="55">
        <f t="shared" si="108"/>
        <v>55.782712</v>
      </c>
      <c r="N189" s="55"/>
      <c r="O189" s="55">
        <f t="shared" si="109"/>
        <v>725.175256</v>
      </c>
      <c r="P189" s="53"/>
      <c r="R189" s="21">
        <f t="shared" si="83"/>
        <v>725.175256</v>
      </c>
      <c r="S189" s="21">
        <f t="shared" si="84"/>
        <v>55.782712</v>
      </c>
      <c r="T189" s="21" t="b">
        <f t="shared" si="85"/>
        <v>1</v>
      </c>
      <c r="U189" s="21" t="b">
        <f t="shared" si="86"/>
        <v>1</v>
      </c>
    </row>
    <row r="190" s="21" customFormat="1" ht="45" outlineLevel="1" spans="1:21">
      <c r="A190" s="53">
        <v>164</v>
      </c>
      <c r="B190" s="53" t="s">
        <v>422</v>
      </c>
      <c r="C190" s="53" t="s">
        <v>424</v>
      </c>
      <c r="D190" s="53" t="s">
        <v>138</v>
      </c>
      <c r="E190" s="53">
        <v>3</v>
      </c>
      <c r="F190" s="53">
        <f>F37</f>
        <v>15</v>
      </c>
      <c r="G190" s="55">
        <f t="shared" si="106"/>
        <v>267.65</v>
      </c>
      <c r="H190" s="58">
        <f t="shared" si="124"/>
        <v>265</v>
      </c>
      <c r="I190" s="68">
        <f>I32</f>
        <v>0.01</v>
      </c>
      <c r="J190" s="69">
        <f>J32</f>
        <v>5</v>
      </c>
      <c r="K190" s="34">
        <f>(F190+G190+J190)*$K$5</f>
        <v>17.259</v>
      </c>
      <c r="L190" s="34">
        <f>(F190+G190+J190+K190)*$L$5</f>
        <v>27.44181</v>
      </c>
      <c r="M190" s="55">
        <f t="shared" si="108"/>
        <v>332.35081</v>
      </c>
      <c r="N190" s="55"/>
      <c r="O190" s="55">
        <f t="shared" si="109"/>
        <v>997.05243</v>
      </c>
      <c r="P190" s="53"/>
      <c r="R190" s="21">
        <f t="shared" si="83"/>
        <v>997.05243</v>
      </c>
      <c r="S190" s="21">
        <f t="shared" si="84"/>
        <v>332.35081</v>
      </c>
      <c r="T190" s="21" t="b">
        <f t="shared" si="85"/>
        <v>1</v>
      </c>
      <c r="U190" s="21" t="b">
        <f t="shared" si="86"/>
        <v>1</v>
      </c>
    </row>
    <row r="191" s="21" customFormat="1" ht="33.75" outlineLevel="1" spans="1:21">
      <c r="A191" s="53">
        <v>165</v>
      </c>
      <c r="B191" s="53" t="s">
        <v>426</v>
      </c>
      <c r="C191" s="53" t="s">
        <v>427</v>
      </c>
      <c r="D191" s="53" t="s">
        <v>138</v>
      </c>
      <c r="E191" s="53">
        <v>28</v>
      </c>
      <c r="F191" s="53">
        <f t="shared" ref="F191:J191" si="125">F40</f>
        <v>5</v>
      </c>
      <c r="G191" s="55">
        <f t="shared" si="106"/>
        <v>3.3128</v>
      </c>
      <c r="H191" s="58">
        <f t="shared" si="125"/>
        <v>3.28</v>
      </c>
      <c r="I191" s="68">
        <f t="shared" si="125"/>
        <v>0.01</v>
      </c>
      <c r="J191" s="69">
        <f t="shared" si="125"/>
        <v>2</v>
      </c>
      <c r="K191" s="34">
        <f>(F191+G191+J191)*$K$5</f>
        <v>0.618768</v>
      </c>
      <c r="L191" s="34">
        <f>(F191+G191+J191+K191)*$L$5</f>
        <v>0.98384112</v>
      </c>
      <c r="M191" s="55">
        <f t="shared" si="108"/>
        <v>11.91540912</v>
      </c>
      <c r="N191" s="55"/>
      <c r="O191" s="55">
        <f t="shared" si="109"/>
        <v>333.63145536</v>
      </c>
      <c r="P191" s="53"/>
      <c r="R191" s="21">
        <f t="shared" si="83"/>
        <v>333.63145536</v>
      </c>
      <c r="S191" s="21">
        <f t="shared" si="84"/>
        <v>11.91540912</v>
      </c>
      <c r="T191" s="21" t="b">
        <f t="shared" si="85"/>
        <v>1</v>
      </c>
      <c r="U191" s="21" t="b">
        <f t="shared" si="86"/>
        <v>1</v>
      </c>
    </row>
    <row r="192" s="21" customFormat="1" ht="33.75" outlineLevel="1" spans="1:21">
      <c r="A192" s="57">
        <v>166</v>
      </c>
      <c r="B192" s="57" t="s">
        <v>426</v>
      </c>
      <c r="C192" s="57" t="s">
        <v>428</v>
      </c>
      <c r="D192" s="57" t="s">
        <v>138</v>
      </c>
      <c r="E192" s="57">
        <v>102</v>
      </c>
      <c r="F192" s="57">
        <f t="shared" ref="F192:J192" si="126">F40</f>
        <v>5</v>
      </c>
      <c r="G192" s="55">
        <f t="shared" si="106"/>
        <v>3.3128</v>
      </c>
      <c r="H192" s="58">
        <f t="shared" si="124"/>
        <v>3.28</v>
      </c>
      <c r="I192" s="68">
        <f t="shared" si="126"/>
        <v>0.01</v>
      </c>
      <c r="J192" s="69">
        <f t="shared" si="126"/>
        <v>2</v>
      </c>
      <c r="K192" s="34">
        <f>(F192+G192+J192)*$K$5</f>
        <v>0.618768</v>
      </c>
      <c r="L192" s="34">
        <f>(F192+G192+J192+K192)*$L$5</f>
        <v>0.98384112</v>
      </c>
      <c r="M192" s="55">
        <f t="shared" si="108"/>
        <v>11.91540912</v>
      </c>
      <c r="N192" s="55"/>
      <c r="O192" s="55">
        <f t="shared" si="109"/>
        <v>1215.37173024</v>
      </c>
      <c r="P192" s="57"/>
      <c r="R192" s="21">
        <f t="shared" si="83"/>
        <v>1215.37173024</v>
      </c>
      <c r="S192" s="21">
        <f t="shared" si="84"/>
        <v>11.91540912</v>
      </c>
      <c r="T192" s="21" t="b">
        <f t="shared" si="85"/>
        <v>1</v>
      </c>
      <c r="U192" s="21" t="b">
        <f t="shared" si="86"/>
        <v>1</v>
      </c>
    </row>
    <row r="193" s="21" customFormat="1" spans="1:21">
      <c r="A193" s="53"/>
      <c r="B193" s="53" t="s">
        <v>432</v>
      </c>
      <c r="C193" s="53"/>
      <c r="D193" s="53"/>
      <c r="E193" s="53"/>
      <c r="F193" s="53"/>
      <c r="G193" s="55"/>
      <c r="H193" s="58"/>
      <c r="I193" s="68"/>
      <c r="J193" s="69"/>
      <c r="K193" s="34"/>
      <c r="L193" s="34"/>
      <c r="M193" s="55"/>
      <c r="N193" s="55"/>
      <c r="O193" s="55"/>
      <c r="P193" s="53"/>
      <c r="R193" s="21">
        <f t="shared" si="83"/>
        <v>0</v>
      </c>
      <c r="S193" s="21">
        <f t="shared" si="84"/>
        <v>0</v>
      </c>
      <c r="T193" s="21" t="b">
        <f t="shared" si="85"/>
        <v>1</v>
      </c>
      <c r="U193" s="21" t="b">
        <f t="shared" si="86"/>
        <v>1</v>
      </c>
    </row>
    <row r="194" s="21" customFormat="1" ht="56.25" outlineLevel="1" spans="1:21">
      <c r="A194" s="53">
        <v>167</v>
      </c>
      <c r="B194" s="53" t="s">
        <v>389</v>
      </c>
      <c r="C194" s="53" t="s">
        <v>390</v>
      </c>
      <c r="D194" s="53" t="s">
        <v>144</v>
      </c>
      <c r="E194" s="53">
        <v>70.95</v>
      </c>
      <c r="F194" s="53">
        <f t="shared" ref="F194:J194" si="127">F164</f>
        <v>10</v>
      </c>
      <c r="G194" s="55">
        <f t="shared" ref="G194:G206" si="128">H194*(1+I194)</f>
        <v>5.665</v>
      </c>
      <c r="H194" s="53">
        <f t="shared" si="127"/>
        <v>5.5</v>
      </c>
      <c r="I194" s="65">
        <f t="shared" si="127"/>
        <v>0.03</v>
      </c>
      <c r="J194" s="64">
        <f t="shared" si="127"/>
        <v>2</v>
      </c>
      <c r="K194" s="34">
        <f>(F194+G194+J194)*$K$5</f>
        <v>1.0599</v>
      </c>
      <c r="L194" s="34">
        <f>(F194+G194+J194+K194)*$L$5</f>
        <v>1.685241</v>
      </c>
      <c r="M194" s="55">
        <f t="shared" ref="M194:M206" si="129">F194+G194+J194+K194+L194</f>
        <v>20.410141</v>
      </c>
      <c r="N194" s="55"/>
      <c r="O194" s="55">
        <f t="shared" ref="O194:O206" si="130">M194*E194</f>
        <v>1448.09950395</v>
      </c>
      <c r="P194" s="53"/>
      <c r="R194" s="21">
        <f t="shared" si="83"/>
        <v>1448.09950395</v>
      </c>
      <c r="S194" s="21">
        <f t="shared" si="84"/>
        <v>20.410141</v>
      </c>
      <c r="T194" s="21" t="b">
        <f t="shared" si="85"/>
        <v>1</v>
      </c>
      <c r="U194" s="21" t="b">
        <f t="shared" si="86"/>
        <v>1</v>
      </c>
    </row>
    <row r="195" s="21" customFormat="1" ht="56.25" outlineLevel="1" spans="1:21">
      <c r="A195" s="53">
        <v>168</v>
      </c>
      <c r="B195" s="53" t="s">
        <v>389</v>
      </c>
      <c r="C195" s="53" t="s">
        <v>392</v>
      </c>
      <c r="D195" s="53" t="s">
        <v>144</v>
      </c>
      <c r="E195" s="53">
        <v>2.3</v>
      </c>
      <c r="F195" s="53">
        <f t="shared" ref="F195:J195" si="131">F165</f>
        <v>10</v>
      </c>
      <c r="G195" s="55">
        <f t="shared" si="128"/>
        <v>5.665</v>
      </c>
      <c r="H195" s="53">
        <f t="shared" si="131"/>
        <v>5.5</v>
      </c>
      <c r="I195" s="65">
        <f t="shared" si="131"/>
        <v>0.03</v>
      </c>
      <c r="J195" s="64">
        <f t="shared" si="131"/>
        <v>2</v>
      </c>
      <c r="K195" s="34">
        <f>(F195+G195+J195)*$K$5</f>
        <v>1.0599</v>
      </c>
      <c r="L195" s="34">
        <f>(F195+G195+J195+K195)*$L$5</f>
        <v>1.685241</v>
      </c>
      <c r="M195" s="55">
        <f t="shared" si="129"/>
        <v>20.410141</v>
      </c>
      <c r="N195" s="55"/>
      <c r="O195" s="55">
        <f t="shared" si="130"/>
        <v>46.9433243</v>
      </c>
      <c r="P195" s="53"/>
      <c r="R195" s="21">
        <f t="shared" si="83"/>
        <v>46.9433243</v>
      </c>
      <c r="S195" s="21">
        <f t="shared" si="84"/>
        <v>20.410141</v>
      </c>
      <c r="T195" s="21" t="b">
        <f t="shared" si="85"/>
        <v>1</v>
      </c>
      <c r="U195" s="21" t="b">
        <f t="shared" si="86"/>
        <v>1</v>
      </c>
    </row>
    <row r="196" s="21" customFormat="1" ht="56.25" outlineLevel="1" spans="1:21">
      <c r="A196" s="53">
        <v>169</v>
      </c>
      <c r="B196" s="53" t="s">
        <v>389</v>
      </c>
      <c r="C196" s="53" t="s">
        <v>393</v>
      </c>
      <c r="D196" s="53" t="s">
        <v>144</v>
      </c>
      <c r="E196" s="53">
        <v>7.06</v>
      </c>
      <c r="F196" s="53">
        <f t="shared" ref="F196:J196" si="132">F166</f>
        <v>10</v>
      </c>
      <c r="G196" s="55">
        <f t="shared" si="128"/>
        <v>8.858</v>
      </c>
      <c r="H196" s="53">
        <f t="shared" si="132"/>
        <v>8.6</v>
      </c>
      <c r="I196" s="65">
        <f t="shared" si="132"/>
        <v>0.03</v>
      </c>
      <c r="J196" s="64">
        <f t="shared" si="132"/>
        <v>2</v>
      </c>
      <c r="K196" s="34">
        <f>(F196+G196+J196)*$K$5</f>
        <v>1.25148</v>
      </c>
      <c r="L196" s="34">
        <f>(F196+G196+J196+K196)*$L$5</f>
        <v>1.9898532</v>
      </c>
      <c r="M196" s="55">
        <f t="shared" si="129"/>
        <v>24.0993332</v>
      </c>
      <c r="N196" s="55"/>
      <c r="O196" s="55">
        <f t="shared" si="130"/>
        <v>170.141292392</v>
      </c>
      <c r="P196" s="53"/>
      <c r="R196" s="21">
        <f t="shared" si="83"/>
        <v>170.141292392</v>
      </c>
      <c r="S196" s="21">
        <f t="shared" si="84"/>
        <v>24.0993332</v>
      </c>
      <c r="T196" s="21" t="b">
        <f t="shared" si="85"/>
        <v>1</v>
      </c>
      <c r="U196" s="21" t="b">
        <f t="shared" si="86"/>
        <v>1</v>
      </c>
    </row>
    <row r="197" s="21" customFormat="1" ht="56.25" outlineLevel="1" spans="1:21">
      <c r="A197" s="53">
        <v>170</v>
      </c>
      <c r="B197" s="53" t="s">
        <v>389</v>
      </c>
      <c r="C197" s="53" t="s">
        <v>394</v>
      </c>
      <c r="D197" s="53" t="s">
        <v>144</v>
      </c>
      <c r="E197" s="53">
        <v>0.3</v>
      </c>
      <c r="F197" s="53">
        <f t="shared" ref="F197:J197" si="133">F167</f>
        <v>10</v>
      </c>
      <c r="G197" s="55">
        <f t="shared" si="128"/>
        <v>8.858</v>
      </c>
      <c r="H197" s="53">
        <f t="shared" si="133"/>
        <v>8.6</v>
      </c>
      <c r="I197" s="65">
        <f t="shared" si="133"/>
        <v>0.03</v>
      </c>
      <c r="J197" s="64">
        <f t="shared" si="133"/>
        <v>2</v>
      </c>
      <c r="K197" s="34">
        <f>(F197+G197+J197)*$K$5</f>
        <v>1.25148</v>
      </c>
      <c r="L197" s="34">
        <f>(F197+G197+J197+K197)*$L$5</f>
        <v>1.9898532</v>
      </c>
      <c r="M197" s="55">
        <f t="shared" si="129"/>
        <v>24.0993332</v>
      </c>
      <c r="N197" s="55"/>
      <c r="O197" s="55">
        <f t="shared" si="130"/>
        <v>7.22979996</v>
      </c>
      <c r="P197" s="53"/>
      <c r="R197" s="21">
        <f t="shared" si="83"/>
        <v>7.22979996</v>
      </c>
      <c r="S197" s="21">
        <f t="shared" si="84"/>
        <v>24.0993332</v>
      </c>
      <c r="T197" s="21" t="b">
        <f t="shared" si="85"/>
        <v>1</v>
      </c>
      <c r="U197" s="21" t="b">
        <f t="shared" si="86"/>
        <v>1</v>
      </c>
    </row>
    <row r="198" s="21" customFormat="1" ht="56.25" outlineLevel="1" spans="1:21">
      <c r="A198" s="53">
        <v>171</v>
      </c>
      <c r="B198" s="53" t="s">
        <v>399</v>
      </c>
      <c r="C198" s="53" t="s">
        <v>435</v>
      </c>
      <c r="D198" s="53" t="s">
        <v>144</v>
      </c>
      <c r="E198" s="53">
        <v>17.02</v>
      </c>
      <c r="F198" s="58">
        <f t="shared" ref="F198:F200" si="134">F53</f>
        <v>3</v>
      </c>
      <c r="G198" s="55">
        <f t="shared" si="128"/>
        <v>3.248</v>
      </c>
      <c r="H198" s="56">
        <v>2.8</v>
      </c>
      <c r="I198" s="68">
        <f t="shared" ref="I198:I201" si="135">I55</f>
        <v>0.16</v>
      </c>
      <c r="J198" s="69">
        <f t="shared" ref="J198:J200" si="136">J53</f>
        <v>0.5</v>
      </c>
      <c r="K198" s="34">
        <f>(F198+G198+J198)*$K$5</f>
        <v>0.40488</v>
      </c>
      <c r="L198" s="34">
        <f>(F198+G198+J198+K198)*$L$5</f>
        <v>0.6437592</v>
      </c>
      <c r="M198" s="55">
        <f t="shared" si="129"/>
        <v>7.7966392</v>
      </c>
      <c r="N198" s="55"/>
      <c r="O198" s="55">
        <f t="shared" si="130"/>
        <v>132.698799184</v>
      </c>
      <c r="P198" s="53"/>
      <c r="R198" s="21">
        <f t="shared" si="83"/>
        <v>132.698799184</v>
      </c>
      <c r="S198" s="21">
        <f t="shared" si="84"/>
        <v>7.7966392</v>
      </c>
      <c r="T198" s="21" t="b">
        <f t="shared" si="85"/>
        <v>1</v>
      </c>
      <c r="U198" s="21" t="b">
        <f t="shared" si="86"/>
        <v>1</v>
      </c>
    </row>
    <row r="199" s="21" customFormat="1" ht="56.25" outlineLevel="1" spans="1:21">
      <c r="A199" s="53">
        <v>172</v>
      </c>
      <c r="B199" s="53" t="s">
        <v>399</v>
      </c>
      <c r="C199" s="53" t="s">
        <v>436</v>
      </c>
      <c r="D199" s="53" t="s">
        <v>144</v>
      </c>
      <c r="E199" s="53">
        <v>25.25</v>
      </c>
      <c r="F199" s="58">
        <f t="shared" si="134"/>
        <v>3</v>
      </c>
      <c r="G199" s="55">
        <f t="shared" si="128"/>
        <v>3.248</v>
      </c>
      <c r="H199" s="58">
        <f>H198</f>
        <v>2.8</v>
      </c>
      <c r="I199" s="68">
        <f t="shared" si="135"/>
        <v>0.16</v>
      </c>
      <c r="J199" s="69">
        <f t="shared" si="136"/>
        <v>0.5</v>
      </c>
      <c r="K199" s="34">
        <f>(F199+G199+J199)*$K$5</f>
        <v>0.40488</v>
      </c>
      <c r="L199" s="34">
        <f>(F199+G199+J199+K199)*$L$5</f>
        <v>0.6437592</v>
      </c>
      <c r="M199" s="55">
        <f t="shared" si="129"/>
        <v>7.7966392</v>
      </c>
      <c r="N199" s="55"/>
      <c r="O199" s="55">
        <f t="shared" si="130"/>
        <v>196.8651398</v>
      </c>
      <c r="P199" s="53"/>
      <c r="R199" s="21">
        <f t="shared" si="83"/>
        <v>196.8651398</v>
      </c>
      <c r="S199" s="21">
        <f t="shared" si="84"/>
        <v>7.7966392</v>
      </c>
      <c r="T199" s="21" t="b">
        <f t="shared" si="85"/>
        <v>1</v>
      </c>
      <c r="U199" s="21" t="b">
        <f t="shared" si="86"/>
        <v>1</v>
      </c>
    </row>
    <row r="200" s="21" customFormat="1" ht="56.25" outlineLevel="1" spans="1:21">
      <c r="A200" s="53">
        <v>173</v>
      </c>
      <c r="B200" s="53" t="s">
        <v>399</v>
      </c>
      <c r="C200" s="53" t="s">
        <v>438</v>
      </c>
      <c r="D200" s="53" t="s">
        <v>144</v>
      </c>
      <c r="E200" s="53">
        <v>24.76</v>
      </c>
      <c r="F200" s="58">
        <f t="shared" si="134"/>
        <v>3</v>
      </c>
      <c r="G200" s="55">
        <f t="shared" si="128"/>
        <v>4.06</v>
      </c>
      <c r="H200" s="58">
        <f>H54</f>
        <v>3.5</v>
      </c>
      <c r="I200" s="68">
        <f t="shared" si="135"/>
        <v>0.16</v>
      </c>
      <c r="J200" s="69">
        <f t="shared" si="136"/>
        <v>0.5</v>
      </c>
      <c r="K200" s="34">
        <f>(F200+G200+J200)*$K$5</f>
        <v>0.4536</v>
      </c>
      <c r="L200" s="34">
        <f>(F200+G200+J200+K200)*$L$5</f>
        <v>0.721224</v>
      </c>
      <c r="M200" s="55">
        <f t="shared" si="129"/>
        <v>8.734824</v>
      </c>
      <c r="N200" s="55"/>
      <c r="O200" s="55">
        <f t="shared" si="130"/>
        <v>216.27424224</v>
      </c>
      <c r="P200" s="53"/>
      <c r="R200" s="21">
        <f t="shared" si="83"/>
        <v>216.27424224</v>
      </c>
      <c r="S200" s="21">
        <f t="shared" si="84"/>
        <v>8.734824</v>
      </c>
      <c r="T200" s="21" t="b">
        <f t="shared" si="85"/>
        <v>1</v>
      </c>
      <c r="U200" s="21" t="b">
        <f t="shared" si="86"/>
        <v>1</v>
      </c>
    </row>
    <row r="201" s="21" customFormat="1" ht="56.25" outlineLevel="1" spans="1:21">
      <c r="A201" s="53">
        <v>174</v>
      </c>
      <c r="B201" s="53" t="s">
        <v>442</v>
      </c>
      <c r="C201" s="53" t="s">
        <v>443</v>
      </c>
      <c r="D201" s="53" t="s">
        <v>144</v>
      </c>
      <c r="E201" s="53">
        <v>142.49</v>
      </c>
      <c r="F201" s="53">
        <f t="shared" ref="F201:J201" si="137">F58</f>
        <v>3</v>
      </c>
      <c r="G201" s="55">
        <f t="shared" si="128"/>
        <v>4.06</v>
      </c>
      <c r="H201" s="53">
        <f t="shared" si="137"/>
        <v>3.5</v>
      </c>
      <c r="I201" s="65">
        <f t="shared" si="135"/>
        <v>0.16</v>
      </c>
      <c r="J201" s="64">
        <f t="shared" si="137"/>
        <v>0.5</v>
      </c>
      <c r="K201" s="34">
        <f>(F201+G201+J201)*$K$5</f>
        <v>0.4536</v>
      </c>
      <c r="L201" s="34">
        <f>(F201+G201+J201+K201)*$L$5</f>
        <v>0.721224</v>
      </c>
      <c r="M201" s="55">
        <f t="shared" si="129"/>
        <v>8.734824</v>
      </c>
      <c r="N201" s="55"/>
      <c r="O201" s="55">
        <f t="shared" si="130"/>
        <v>1244.62507176</v>
      </c>
      <c r="P201" s="53"/>
      <c r="R201" s="21">
        <f t="shared" ref="R201:R237" si="138">E201*M201</f>
        <v>1244.62507176</v>
      </c>
      <c r="S201" s="21">
        <f t="shared" ref="S201:S237" si="139">F201+G201+J201+K201+L201</f>
        <v>8.734824</v>
      </c>
      <c r="T201" s="21" t="b">
        <f t="shared" ref="T201:T237" si="140">M201=S201</f>
        <v>1</v>
      </c>
      <c r="U201" s="21" t="b">
        <f t="shared" ref="U201:U237" si="141">R201=O201</f>
        <v>1</v>
      </c>
    </row>
    <row r="202" s="21" customFormat="1" ht="56.25" outlineLevel="1" spans="1:21">
      <c r="A202" s="53">
        <v>175</v>
      </c>
      <c r="B202" s="53" t="s">
        <v>449</v>
      </c>
      <c r="C202" s="53" t="s">
        <v>450</v>
      </c>
      <c r="D202" s="53" t="s">
        <v>379</v>
      </c>
      <c r="E202" s="53">
        <v>1</v>
      </c>
      <c r="F202" s="53">
        <f t="shared" ref="F202:J202" si="142">F62</f>
        <v>35</v>
      </c>
      <c r="G202" s="55">
        <f t="shared" si="128"/>
        <v>166.65</v>
      </c>
      <c r="H202" s="53">
        <f t="shared" si="142"/>
        <v>165</v>
      </c>
      <c r="I202" s="65">
        <f t="shared" si="142"/>
        <v>0.01</v>
      </c>
      <c r="J202" s="64">
        <f t="shared" si="142"/>
        <v>5</v>
      </c>
      <c r="K202" s="34">
        <f>(F202+G202+J202)*$K$5</f>
        <v>12.399</v>
      </c>
      <c r="L202" s="34">
        <f>(F202+G202+J202+K202)*$L$5</f>
        <v>19.71441</v>
      </c>
      <c r="M202" s="55">
        <f t="shared" si="129"/>
        <v>238.76341</v>
      </c>
      <c r="N202" s="55"/>
      <c r="O202" s="55">
        <f t="shared" si="130"/>
        <v>238.76341</v>
      </c>
      <c r="P202" s="53"/>
      <c r="R202" s="21">
        <f t="shared" si="138"/>
        <v>238.76341</v>
      </c>
      <c r="S202" s="21">
        <f t="shared" si="139"/>
        <v>238.76341</v>
      </c>
      <c r="T202" s="21" t="b">
        <f t="shared" si="140"/>
        <v>1</v>
      </c>
      <c r="U202" s="21" t="b">
        <f t="shared" si="141"/>
        <v>1</v>
      </c>
    </row>
    <row r="203" s="21" customFormat="1" ht="56.25" outlineLevel="1" spans="1:21">
      <c r="A203" s="53">
        <v>176</v>
      </c>
      <c r="B203" s="53" t="s">
        <v>452</v>
      </c>
      <c r="C203" s="53" t="s">
        <v>454</v>
      </c>
      <c r="D203" s="53" t="s">
        <v>138</v>
      </c>
      <c r="E203" s="53">
        <v>2</v>
      </c>
      <c r="F203" s="53">
        <f>F65</f>
        <v>15</v>
      </c>
      <c r="G203" s="55">
        <f t="shared" si="128"/>
        <v>161.6</v>
      </c>
      <c r="H203" s="58">
        <f>H65</f>
        <v>160</v>
      </c>
      <c r="I203" s="68">
        <f>I37</f>
        <v>0.01</v>
      </c>
      <c r="J203" s="69">
        <f>J37</f>
        <v>5</v>
      </c>
      <c r="K203" s="34">
        <f>(F203+G203+J203)*$K$5</f>
        <v>10.896</v>
      </c>
      <c r="L203" s="34">
        <f>(F203+G203+J203+K203)*$L$5</f>
        <v>17.32464</v>
      </c>
      <c r="M203" s="55">
        <f t="shared" si="129"/>
        <v>209.82064</v>
      </c>
      <c r="N203" s="55"/>
      <c r="O203" s="55">
        <f t="shared" si="130"/>
        <v>419.64128</v>
      </c>
      <c r="P203" s="53"/>
      <c r="R203" s="21">
        <f t="shared" si="138"/>
        <v>419.64128</v>
      </c>
      <c r="S203" s="21">
        <f t="shared" si="139"/>
        <v>209.82064</v>
      </c>
      <c r="T203" s="21" t="b">
        <f t="shared" si="140"/>
        <v>1</v>
      </c>
      <c r="U203" s="21" t="b">
        <f t="shared" si="141"/>
        <v>1</v>
      </c>
    </row>
    <row r="204" s="21" customFormat="1" ht="45" outlineLevel="1" spans="1:21">
      <c r="A204" s="53">
        <v>177</v>
      </c>
      <c r="B204" s="53" t="s">
        <v>457</v>
      </c>
      <c r="C204" s="53" t="s">
        <v>458</v>
      </c>
      <c r="D204" s="53" t="s">
        <v>379</v>
      </c>
      <c r="E204" s="53">
        <v>4</v>
      </c>
      <c r="F204" s="53">
        <f t="shared" ref="F204:J204" si="143">F67</f>
        <v>65</v>
      </c>
      <c r="G204" s="55">
        <f t="shared" si="128"/>
        <v>484.8</v>
      </c>
      <c r="H204" s="53">
        <f t="shared" si="143"/>
        <v>480</v>
      </c>
      <c r="I204" s="65">
        <f t="shared" si="143"/>
        <v>0.01</v>
      </c>
      <c r="J204" s="64">
        <f t="shared" si="143"/>
        <v>15</v>
      </c>
      <c r="K204" s="34">
        <f>(F204+G204+J204)*$K$5</f>
        <v>33.888</v>
      </c>
      <c r="L204" s="34">
        <f>(F204+G204+J204+K204)*$L$5</f>
        <v>53.88192</v>
      </c>
      <c r="M204" s="55">
        <f t="shared" si="129"/>
        <v>652.56992</v>
      </c>
      <c r="N204" s="55"/>
      <c r="O204" s="55">
        <f t="shared" si="130"/>
        <v>2610.27968</v>
      </c>
      <c r="P204" s="53"/>
      <c r="R204" s="21">
        <f t="shared" si="138"/>
        <v>2610.27968</v>
      </c>
      <c r="S204" s="21">
        <f t="shared" si="139"/>
        <v>652.56992</v>
      </c>
      <c r="T204" s="21" t="b">
        <f t="shared" si="140"/>
        <v>1</v>
      </c>
      <c r="U204" s="21" t="b">
        <f t="shared" si="141"/>
        <v>1</v>
      </c>
    </row>
    <row r="205" s="21" customFormat="1" ht="45" outlineLevel="1" spans="1:21">
      <c r="A205" s="53">
        <v>178</v>
      </c>
      <c r="B205" s="53" t="s">
        <v>459</v>
      </c>
      <c r="C205" s="53" t="s">
        <v>460</v>
      </c>
      <c r="D205" s="53" t="s">
        <v>379</v>
      </c>
      <c r="E205" s="53">
        <v>1</v>
      </c>
      <c r="F205" s="53">
        <f t="shared" ref="F205:J205" si="144">F68</f>
        <v>30</v>
      </c>
      <c r="G205" s="55">
        <f t="shared" si="128"/>
        <v>186.85</v>
      </c>
      <c r="H205" s="53">
        <f t="shared" si="144"/>
        <v>185</v>
      </c>
      <c r="I205" s="65">
        <f t="shared" si="144"/>
        <v>0.01</v>
      </c>
      <c r="J205" s="64">
        <f t="shared" si="144"/>
        <v>5</v>
      </c>
      <c r="K205" s="34">
        <f>(F205+G205+J205)*$K$5</f>
        <v>13.311</v>
      </c>
      <c r="L205" s="34">
        <f>(F205+G205+J205+K205)*$L$5</f>
        <v>21.16449</v>
      </c>
      <c r="M205" s="55">
        <f t="shared" si="129"/>
        <v>256.32549</v>
      </c>
      <c r="N205" s="55"/>
      <c r="O205" s="55">
        <f t="shared" si="130"/>
        <v>256.32549</v>
      </c>
      <c r="P205" s="53"/>
      <c r="R205" s="21">
        <f t="shared" si="138"/>
        <v>256.32549</v>
      </c>
      <c r="S205" s="21">
        <f t="shared" si="139"/>
        <v>256.32549</v>
      </c>
      <c r="T205" s="21" t="b">
        <f t="shared" si="140"/>
        <v>1</v>
      </c>
      <c r="U205" s="21" t="b">
        <f t="shared" si="141"/>
        <v>1</v>
      </c>
    </row>
    <row r="206" s="21" customFormat="1" ht="33.75" outlineLevel="1" spans="1:21">
      <c r="A206" s="53">
        <v>179</v>
      </c>
      <c r="B206" s="53" t="s">
        <v>426</v>
      </c>
      <c r="C206" s="53" t="s">
        <v>428</v>
      </c>
      <c r="D206" s="53" t="s">
        <v>138</v>
      </c>
      <c r="E206" s="53">
        <v>8</v>
      </c>
      <c r="F206" s="53">
        <f t="shared" ref="F206:J206" si="145">F40</f>
        <v>5</v>
      </c>
      <c r="G206" s="55">
        <f t="shared" si="128"/>
        <v>3.3128</v>
      </c>
      <c r="H206" s="58">
        <f t="shared" si="145"/>
        <v>3.28</v>
      </c>
      <c r="I206" s="68">
        <f t="shared" si="145"/>
        <v>0.01</v>
      </c>
      <c r="J206" s="69">
        <f t="shared" si="145"/>
        <v>2</v>
      </c>
      <c r="K206" s="34">
        <f>(F206+G206+J206)*$K$5</f>
        <v>0.618768</v>
      </c>
      <c r="L206" s="34">
        <f>(F206+G206+J206+K206)*$L$5</f>
        <v>0.98384112</v>
      </c>
      <c r="M206" s="55">
        <f t="shared" si="129"/>
        <v>11.91540912</v>
      </c>
      <c r="N206" s="55"/>
      <c r="O206" s="55">
        <f t="shared" si="130"/>
        <v>95.32327296</v>
      </c>
      <c r="P206" s="53"/>
      <c r="R206" s="21">
        <f t="shared" si="138"/>
        <v>95.32327296</v>
      </c>
      <c r="S206" s="21">
        <f t="shared" si="139"/>
        <v>11.91540912</v>
      </c>
      <c r="T206" s="21" t="b">
        <f t="shared" si="140"/>
        <v>1</v>
      </c>
      <c r="U206" s="21" t="b">
        <f t="shared" si="141"/>
        <v>1</v>
      </c>
    </row>
    <row r="207" s="21" customFormat="1" spans="1:21">
      <c r="A207" s="53"/>
      <c r="B207" s="53" t="s">
        <v>493</v>
      </c>
      <c r="C207" s="53"/>
      <c r="D207" s="53"/>
      <c r="E207" s="53"/>
      <c r="F207" s="53"/>
      <c r="G207" s="55"/>
      <c r="H207" s="58"/>
      <c r="I207" s="68"/>
      <c r="J207" s="69"/>
      <c r="K207" s="34"/>
      <c r="L207" s="34"/>
      <c r="M207" s="55"/>
      <c r="N207" s="55"/>
      <c r="O207" s="55"/>
      <c r="P207" s="53"/>
      <c r="R207" s="21">
        <f t="shared" si="138"/>
        <v>0</v>
      </c>
      <c r="S207" s="21">
        <f t="shared" si="139"/>
        <v>0</v>
      </c>
      <c r="T207" s="21" t="b">
        <f t="shared" si="140"/>
        <v>1</v>
      </c>
      <c r="U207" s="21" t="b">
        <f t="shared" si="141"/>
        <v>1</v>
      </c>
    </row>
    <row r="208" s="21" customFormat="1" ht="104" customHeight="1" outlineLevel="1" spans="1:21">
      <c r="A208" s="53">
        <v>180</v>
      </c>
      <c r="B208" s="53" t="s">
        <v>498</v>
      </c>
      <c r="C208" s="53" t="s">
        <v>576</v>
      </c>
      <c r="D208" s="53" t="s">
        <v>379</v>
      </c>
      <c r="E208" s="53">
        <v>1</v>
      </c>
      <c r="F208" s="54">
        <v>3000</v>
      </c>
      <c r="G208" s="55">
        <f t="shared" ref="G208:G212" si="146">H208*(1+I208)</f>
        <v>82820</v>
      </c>
      <c r="H208" s="56">
        <v>82000</v>
      </c>
      <c r="I208" s="66">
        <v>0.01</v>
      </c>
      <c r="J208" s="67">
        <v>550</v>
      </c>
      <c r="K208" s="34">
        <f>(F208+G208+J208)*$K$5</f>
        <v>5182.2</v>
      </c>
      <c r="L208" s="34">
        <f>(F208+G208+J208+K208)*$L$5</f>
        <v>8239.698</v>
      </c>
      <c r="M208" s="55">
        <f t="shared" ref="M208:M212" si="147">F208+G208+J208+K208+L208</f>
        <v>99791.898</v>
      </c>
      <c r="N208" s="55"/>
      <c r="O208" s="55">
        <f t="shared" ref="O208:O212" si="148">M208*E208</f>
        <v>99791.898</v>
      </c>
      <c r="P208" s="91" t="s">
        <v>500</v>
      </c>
      <c r="R208" s="21">
        <f t="shared" si="138"/>
        <v>99791.898</v>
      </c>
      <c r="S208" s="21">
        <f t="shared" si="139"/>
        <v>99791.898</v>
      </c>
      <c r="T208" s="21" t="b">
        <f t="shared" si="140"/>
        <v>1</v>
      </c>
      <c r="U208" s="21" t="b">
        <f t="shared" si="141"/>
        <v>1</v>
      </c>
    </row>
    <row r="209" s="21" customFormat="1" ht="104" customHeight="1" outlineLevel="1" spans="1:21">
      <c r="A209" s="53">
        <v>181</v>
      </c>
      <c r="B209" s="53" t="s">
        <v>498</v>
      </c>
      <c r="C209" s="53" t="s">
        <v>577</v>
      </c>
      <c r="D209" s="53" t="s">
        <v>379</v>
      </c>
      <c r="E209" s="53">
        <v>1</v>
      </c>
      <c r="F209" s="54">
        <v>3000</v>
      </c>
      <c r="G209" s="55">
        <f t="shared" si="146"/>
        <v>42420</v>
      </c>
      <c r="H209" s="56">
        <v>42000</v>
      </c>
      <c r="I209" s="68">
        <f>I208</f>
        <v>0.01</v>
      </c>
      <c r="J209" s="69">
        <f>J208</f>
        <v>550</v>
      </c>
      <c r="K209" s="34">
        <f>(F209+G209+J209)*$K$5</f>
        <v>2758.2</v>
      </c>
      <c r="L209" s="34">
        <f>(F209+G209+J209+K209)*$L$5</f>
        <v>4385.538</v>
      </c>
      <c r="M209" s="55">
        <f t="shared" si="147"/>
        <v>53113.738</v>
      </c>
      <c r="N209" s="55"/>
      <c r="O209" s="55">
        <f t="shared" si="148"/>
        <v>53113.738</v>
      </c>
      <c r="P209" s="91" t="s">
        <v>500</v>
      </c>
      <c r="R209" s="21">
        <f t="shared" si="138"/>
        <v>53113.738</v>
      </c>
      <c r="S209" s="21">
        <f t="shared" si="139"/>
        <v>53113.738</v>
      </c>
      <c r="T209" s="21" t="b">
        <f t="shared" si="140"/>
        <v>1</v>
      </c>
      <c r="U209" s="21" t="b">
        <f t="shared" si="141"/>
        <v>1</v>
      </c>
    </row>
    <row r="210" s="21" customFormat="1" ht="104" customHeight="1" outlineLevel="1" spans="1:21">
      <c r="A210" s="53">
        <v>182</v>
      </c>
      <c r="B210" s="53" t="s">
        <v>498</v>
      </c>
      <c r="C210" s="53" t="s">
        <v>578</v>
      </c>
      <c r="D210" s="53" t="s">
        <v>379</v>
      </c>
      <c r="E210" s="53">
        <v>1</v>
      </c>
      <c r="F210" s="53">
        <f>F209</f>
        <v>3000</v>
      </c>
      <c r="G210" s="55">
        <f t="shared" si="146"/>
        <v>37875</v>
      </c>
      <c r="H210" s="99">
        <v>37500</v>
      </c>
      <c r="I210" s="68">
        <f>I208</f>
        <v>0.01</v>
      </c>
      <c r="J210" s="69">
        <f>J208</f>
        <v>550</v>
      </c>
      <c r="K210" s="34">
        <f>(F210+G210+J210)*$K$5</f>
        <v>2485.5</v>
      </c>
      <c r="L210" s="34">
        <f>(F210+G210+J210+K210)*$L$5</f>
        <v>3951.945</v>
      </c>
      <c r="M210" s="55">
        <f t="shared" si="147"/>
        <v>47862.445</v>
      </c>
      <c r="N210" s="55"/>
      <c r="O210" s="55">
        <f t="shared" si="148"/>
        <v>47862.445</v>
      </c>
      <c r="P210" s="91" t="s">
        <v>500</v>
      </c>
      <c r="R210" s="21">
        <f t="shared" si="138"/>
        <v>47862.445</v>
      </c>
      <c r="S210" s="21">
        <f t="shared" si="139"/>
        <v>47862.445</v>
      </c>
      <c r="T210" s="21" t="b">
        <f t="shared" si="140"/>
        <v>1</v>
      </c>
      <c r="U210" s="21" t="b">
        <f t="shared" si="141"/>
        <v>1</v>
      </c>
    </row>
    <row r="211" s="21" customFormat="1" ht="104" customHeight="1" outlineLevel="1" spans="1:21">
      <c r="A211" s="53">
        <v>183</v>
      </c>
      <c r="B211" s="53" t="s">
        <v>498</v>
      </c>
      <c r="C211" s="53" t="s">
        <v>510</v>
      </c>
      <c r="D211" s="53" t="s">
        <v>379</v>
      </c>
      <c r="E211" s="53">
        <v>4</v>
      </c>
      <c r="F211" s="53">
        <f t="shared" ref="F211:J211" si="149">F110</f>
        <v>550</v>
      </c>
      <c r="G211" s="55">
        <f t="shared" si="146"/>
        <v>4545</v>
      </c>
      <c r="H211" s="53">
        <f t="shared" si="149"/>
        <v>4500</v>
      </c>
      <c r="I211" s="65">
        <f t="shared" si="149"/>
        <v>0.01</v>
      </c>
      <c r="J211" s="64">
        <f t="shared" si="149"/>
        <v>150</v>
      </c>
      <c r="K211" s="34">
        <f>(F211+G211+J211)*$K$5</f>
        <v>314.7</v>
      </c>
      <c r="L211" s="34">
        <f>(F211+G211+J211+K211)*$L$5</f>
        <v>500.373</v>
      </c>
      <c r="M211" s="55">
        <f t="shared" si="147"/>
        <v>6060.073</v>
      </c>
      <c r="N211" s="55"/>
      <c r="O211" s="55">
        <f t="shared" si="148"/>
        <v>24240.292</v>
      </c>
      <c r="P211" s="91" t="s">
        <v>500</v>
      </c>
      <c r="R211" s="21">
        <f t="shared" si="138"/>
        <v>24240.292</v>
      </c>
      <c r="S211" s="21">
        <f t="shared" si="139"/>
        <v>6060.073</v>
      </c>
      <c r="T211" s="21" t="b">
        <f t="shared" si="140"/>
        <v>1</v>
      </c>
      <c r="U211" s="21" t="b">
        <f t="shared" si="141"/>
        <v>1</v>
      </c>
    </row>
    <row r="212" s="21" customFormat="1" outlineLevel="1" spans="1:21">
      <c r="A212" s="53">
        <v>184</v>
      </c>
      <c r="B212" s="53" t="s">
        <v>511</v>
      </c>
      <c r="C212" s="53" t="s">
        <v>512</v>
      </c>
      <c r="D212" s="53" t="s">
        <v>110</v>
      </c>
      <c r="E212" s="53">
        <v>23.62</v>
      </c>
      <c r="F212" s="53">
        <f t="shared" ref="F212:J212" si="150">F111</f>
        <v>35</v>
      </c>
      <c r="G212" s="53">
        <f t="shared" si="146"/>
        <v>68.25</v>
      </c>
      <c r="H212" s="53">
        <f t="shared" si="150"/>
        <v>65</v>
      </c>
      <c r="I212" s="65">
        <f t="shared" si="150"/>
        <v>0.05</v>
      </c>
      <c r="J212" s="64">
        <f t="shared" si="150"/>
        <v>15</v>
      </c>
      <c r="K212" s="64">
        <f>(F212+G212+J212)*$K$5</f>
        <v>7.095</v>
      </c>
      <c r="L212" s="64">
        <f>(F212+G212+J212+K212)*$L$5</f>
        <v>11.28105</v>
      </c>
      <c r="M212" s="79">
        <f t="shared" si="147"/>
        <v>136.62605</v>
      </c>
      <c r="N212" s="80"/>
      <c r="O212" s="53">
        <f t="shared" si="148"/>
        <v>3227.107301</v>
      </c>
      <c r="P212" s="53"/>
      <c r="R212" s="21">
        <f t="shared" si="138"/>
        <v>3227.107301</v>
      </c>
      <c r="S212" s="21">
        <f t="shared" si="139"/>
        <v>136.62605</v>
      </c>
      <c r="T212" s="21" t="b">
        <f t="shared" si="140"/>
        <v>1</v>
      </c>
      <c r="U212" s="21" t="b">
        <f t="shared" si="141"/>
        <v>1</v>
      </c>
    </row>
    <row r="213" s="21" customFormat="1" outlineLevel="1" spans="1:21">
      <c r="A213" s="53"/>
      <c r="B213" s="53"/>
      <c r="C213" s="53"/>
      <c r="D213" s="53"/>
      <c r="E213" s="53"/>
      <c r="F213" s="53"/>
      <c r="G213" s="53"/>
      <c r="H213" s="53"/>
      <c r="I213" s="65"/>
      <c r="J213" s="64"/>
      <c r="K213" s="64"/>
      <c r="L213" s="64"/>
      <c r="M213" s="81"/>
      <c r="N213" s="82"/>
      <c r="O213" s="53"/>
      <c r="P213" s="53"/>
      <c r="R213" s="21">
        <f t="shared" si="138"/>
        <v>0</v>
      </c>
      <c r="S213" s="21">
        <f t="shared" si="139"/>
        <v>0</v>
      </c>
      <c r="T213" s="21" t="b">
        <f t="shared" si="140"/>
        <v>1</v>
      </c>
      <c r="U213" s="21" t="b">
        <f t="shared" si="141"/>
        <v>1</v>
      </c>
    </row>
    <row r="214" s="21" customFormat="1" outlineLevel="1" spans="1:21">
      <c r="A214" s="72">
        <v>185</v>
      </c>
      <c r="B214" s="72" t="s">
        <v>511</v>
      </c>
      <c r="C214" s="72" t="s">
        <v>513</v>
      </c>
      <c r="D214" s="72" t="s">
        <v>110</v>
      </c>
      <c r="E214" s="72">
        <v>13.37</v>
      </c>
      <c r="F214" s="72">
        <f t="shared" ref="F214:J214" si="151">F111</f>
        <v>35</v>
      </c>
      <c r="G214" s="72">
        <f t="shared" ref="G214:G225" si="152">H214*(1+I214)</f>
        <v>68.25</v>
      </c>
      <c r="H214" s="72">
        <f t="shared" si="151"/>
        <v>65</v>
      </c>
      <c r="I214" s="89">
        <f t="shared" si="151"/>
        <v>0.05</v>
      </c>
      <c r="J214" s="85">
        <f t="shared" si="151"/>
        <v>15</v>
      </c>
      <c r="K214" s="85">
        <f>(F214+G214+J214)*$K$5</f>
        <v>7.095</v>
      </c>
      <c r="L214" s="85">
        <f>(F214+G214+J214+K214)*$L$5</f>
        <v>11.28105</v>
      </c>
      <c r="M214" s="79">
        <f t="shared" ref="M214:M225" si="153">F214+G214+J214+K214+L214</f>
        <v>136.62605</v>
      </c>
      <c r="N214" s="80"/>
      <c r="O214" s="72">
        <f t="shared" ref="O214:O225" si="154">M214*E214</f>
        <v>1826.6902885</v>
      </c>
      <c r="P214" s="72"/>
      <c r="R214" s="21">
        <f t="shared" si="138"/>
        <v>1826.6902885</v>
      </c>
      <c r="S214" s="21">
        <f t="shared" si="139"/>
        <v>136.62605</v>
      </c>
      <c r="T214" s="21" t="b">
        <f t="shared" si="140"/>
        <v>1</v>
      </c>
      <c r="U214" s="21" t="b">
        <f t="shared" si="141"/>
        <v>1</v>
      </c>
    </row>
    <row r="215" s="21" customFormat="1" outlineLevel="1" spans="1:21">
      <c r="A215" s="74"/>
      <c r="B215" s="74"/>
      <c r="C215" s="74"/>
      <c r="D215" s="74"/>
      <c r="E215" s="74"/>
      <c r="F215" s="74"/>
      <c r="G215" s="74"/>
      <c r="H215" s="74"/>
      <c r="I215" s="90"/>
      <c r="J215" s="88"/>
      <c r="K215" s="88"/>
      <c r="L215" s="88"/>
      <c r="M215" s="81"/>
      <c r="N215" s="82"/>
      <c r="O215" s="74"/>
      <c r="P215" s="74"/>
      <c r="R215" s="21">
        <f t="shared" si="138"/>
        <v>0</v>
      </c>
      <c r="S215" s="21">
        <f t="shared" si="139"/>
        <v>0</v>
      </c>
      <c r="T215" s="21" t="b">
        <f t="shared" si="140"/>
        <v>1</v>
      </c>
      <c r="U215" s="21" t="b">
        <f t="shared" si="141"/>
        <v>1</v>
      </c>
    </row>
    <row r="216" s="21" customFormat="1" ht="33.75" outlineLevel="1" spans="1:21">
      <c r="A216" s="53">
        <v>186</v>
      </c>
      <c r="B216" s="53" t="s">
        <v>515</v>
      </c>
      <c r="C216" s="53" t="s">
        <v>516</v>
      </c>
      <c r="D216" s="53" t="s">
        <v>110</v>
      </c>
      <c r="E216" s="53">
        <v>5.04</v>
      </c>
      <c r="F216" s="53">
        <f t="shared" ref="F216:J216" si="155">F117</f>
        <v>185</v>
      </c>
      <c r="G216" s="55">
        <f t="shared" si="152"/>
        <v>231</v>
      </c>
      <c r="H216" s="53">
        <f t="shared" si="155"/>
        <v>220</v>
      </c>
      <c r="I216" s="65">
        <f t="shared" si="155"/>
        <v>0.05</v>
      </c>
      <c r="J216" s="64">
        <f t="shared" si="155"/>
        <v>15</v>
      </c>
      <c r="K216" s="34">
        <f>(F216+G216+J216)*$K$5</f>
        <v>25.86</v>
      </c>
      <c r="L216" s="34">
        <f>(F216+G216+J216+K216)*$L$5</f>
        <v>41.1174</v>
      </c>
      <c r="M216" s="55">
        <f t="shared" si="153"/>
        <v>497.9774</v>
      </c>
      <c r="N216" s="55"/>
      <c r="O216" s="55">
        <f t="shared" si="154"/>
        <v>2509.806096</v>
      </c>
      <c r="P216" s="53"/>
      <c r="R216" s="21">
        <f t="shared" si="138"/>
        <v>2509.806096</v>
      </c>
      <c r="S216" s="21">
        <f t="shared" si="139"/>
        <v>497.9774</v>
      </c>
      <c r="T216" s="21" t="b">
        <f t="shared" si="140"/>
        <v>1</v>
      </c>
      <c r="U216" s="21" t="b">
        <f t="shared" si="141"/>
        <v>1</v>
      </c>
    </row>
    <row r="217" s="21" customFormat="1" ht="78.75" outlineLevel="1" spans="1:21">
      <c r="A217" s="53">
        <v>187</v>
      </c>
      <c r="B217" s="53" t="s">
        <v>517</v>
      </c>
      <c r="C217" s="53" t="s">
        <v>518</v>
      </c>
      <c r="D217" s="53" t="s">
        <v>144</v>
      </c>
      <c r="E217" s="53">
        <v>2.59</v>
      </c>
      <c r="F217" s="53">
        <f t="shared" ref="F217:J217" si="156">F118</f>
        <v>15</v>
      </c>
      <c r="G217" s="55">
        <f t="shared" si="152"/>
        <v>78.75</v>
      </c>
      <c r="H217" s="53">
        <f t="shared" si="156"/>
        <v>75</v>
      </c>
      <c r="I217" s="68">
        <f t="shared" si="156"/>
        <v>0.05</v>
      </c>
      <c r="J217" s="69">
        <f t="shared" si="156"/>
        <v>1</v>
      </c>
      <c r="K217" s="34">
        <f>(F217+G217+J217)*$K$5</f>
        <v>5.685</v>
      </c>
      <c r="L217" s="34">
        <f>(F217+G217+J217+K217)*$L$5</f>
        <v>9.03915</v>
      </c>
      <c r="M217" s="55">
        <f t="shared" si="153"/>
        <v>109.47415</v>
      </c>
      <c r="N217" s="55"/>
      <c r="O217" s="55">
        <f t="shared" si="154"/>
        <v>283.5380485</v>
      </c>
      <c r="P217" s="53"/>
      <c r="R217" s="21">
        <f t="shared" si="138"/>
        <v>283.5380485</v>
      </c>
      <c r="S217" s="21">
        <f t="shared" si="139"/>
        <v>109.47415</v>
      </c>
      <c r="T217" s="21" t="b">
        <f t="shared" si="140"/>
        <v>1</v>
      </c>
      <c r="U217" s="21" t="b">
        <f t="shared" si="141"/>
        <v>1</v>
      </c>
    </row>
    <row r="218" s="21" customFormat="1" ht="90" outlineLevel="1" spans="1:21">
      <c r="A218" s="53">
        <v>188</v>
      </c>
      <c r="B218" s="53" t="s">
        <v>517</v>
      </c>
      <c r="C218" s="53" t="s">
        <v>521</v>
      </c>
      <c r="D218" s="53" t="s">
        <v>144</v>
      </c>
      <c r="E218" s="53">
        <v>4.42</v>
      </c>
      <c r="F218" s="53">
        <f>F120</f>
        <v>15</v>
      </c>
      <c r="G218" s="55">
        <f t="shared" si="152"/>
        <v>65.1</v>
      </c>
      <c r="H218" s="53">
        <f>H120</f>
        <v>62</v>
      </c>
      <c r="I218" s="68">
        <f>I118</f>
        <v>0.05</v>
      </c>
      <c r="J218" s="69">
        <f>J118</f>
        <v>1</v>
      </c>
      <c r="K218" s="34">
        <f>(F218+G218+J218)*$K$5</f>
        <v>4.866</v>
      </c>
      <c r="L218" s="34">
        <f>(F218+G218+J218+K218)*$L$5</f>
        <v>7.73694</v>
      </c>
      <c r="M218" s="55">
        <f t="shared" si="153"/>
        <v>93.70294</v>
      </c>
      <c r="N218" s="55"/>
      <c r="O218" s="55">
        <f t="shared" si="154"/>
        <v>414.1669948</v>
      </c>
      <c r="P218" s="53"/>
      <c r="R218" s="21">
        <f t="shared" si="138"/>
        <v>414.1669948</v>
      </c>
      <c r="S218" s="21">
        <f t="shared" si="139"/>
        <v>93.70294</v>
      </c>
      <c r="T218" s="21" t="b">
        <f t="shared" si="140"/>
        <v>1</v>
      </c>
      <c r="U218" s="21" t="b">
        <f t="shared" si="141"/>
        <v>1</v>
      </c>
    </row>
    <row r="219" s="21" customFormat="1" ht="78.75" outlineLevel="1" spans="1:21">
      <c r="A219" s="53">
        <v>189</v>
      </c>
      <c r="B219" s="53" t="s">
        <v>517</v>
      </c>
      <c r="C219" s="53" t="s">
        <v>522</v>
      </c>
      <c r="D219" s="53" t="s">
        <v>144</v>
      </c>
      <c r="E219" s="53">
        <v>20.47</v>
      </c>
      <c r="F219" s="53">
        <f>F121</f>
        <v>15</v>
      </c>
      <c r="G219" s="55">
        <f t="shared" si="152"/>
        <v>57.75</v>
      </c>
      <c r="H219" s="53">
        <f>H121</f>
        <v>55</v>
      </c>
      <c r="I219" s="68">
        <f>I118</f>
        <v>0.05</v>
      </c>
      <c r="J219" s="69">
        <f>J118</f>
        <v>1</v>
      </c>
      <c r="K219" s="34">
        <f>(F219+G219+J219)*$K$5</f>
        <v>4.425</v>
      </c>
      <c r="L219" s="34">
        <f>(F219+G219+J219+K219)*$L$5</f>
        <v>7.03575</v>
      </c>
      <c r="M219" s="55">
        <f t="shared" si="153"/>
        <v>85.21075</v>
      </c>
      <c r="N219" s="55"/>
      <c r="O219" s="55">
        <f t="shared" si="154"/>
        <v>1744.2640525</v>
      </c>
      <c r="P219" s="53"/>
      <c r="R219" s="21">
        <f t="shared" si="138"/>
        <v>1744.2640525</v>
      </c>
      <c r="S219" s="21">
        <f t="shared" si="139"/>
        <v>85.21075</v>
      </c>
      <c r="T219" s="21" t="b">
        <f t="shared" si="140"/>
        <v>1</v>
      </c>
      <c r="U219" s="21" t="b">
        <f t="shared" si="141"/>
        <v>1</v>
      </c>
    </row>
    <row r="220" s="21" customFormat="1" ht="78.75" outlineLevel="1" spans="1:21">
      <c r="A220" s="53">
        <v>190</v>
      </c>
      <c r="B220" s="53" t="s">
        <v>517</v>
      </c>
      <c r="C220" s="53" t="s">
        <v>524</v>
      </c>
      <c r="D220" s="53" t="s">
        <v>144</v>
      </c>
      <c r="E220" s="53">
        <v>5.01</v>
      </c>
      <c r="F220" s="53">
        <f t="shared" ref="F220:F225" si="157">F123</f>
        <v>10</v>
      </c>
      <c r="G220" s="55">
        <f t="shared" si="152"/>
        <v>44.1</v>
      </c>
      <c r="H220" s="53">
        <f t="shared" ref="H220:H224" si="158">H123</f>
        <v>42</v>
      </c>
      <c r="I220" s="68">
        <f>I118</f>
        <v>0.05</v>
      </c>
      <c r="J220" s="69">
        <f>J118</f>
        <v>1</v>
      </c>
      <c r="K220" s="34">
        <f>(F220+G220+J220)*$K$5</f>
        <v>3.306</v>
      </c>
      <c r="L220" s="34">
        <f>(F220+G220+J220+K220)*$L$5</f>
        <v>5.25654</v>
      </c>
      <c r="M220" s="55">
        <f t="shared" si="153"/>
        <v>63.66254</v>
      </c>
      <c r="N220" s="55"/>
      <c r="O220" s="55">
        <f t="shared" si="154"/>
        <v>318.9493254</v>
      </c>
      <c r="P220" s="53"/>
      <c r="R220" s="21">
        <f t="shared" si="138"/>
        <v>318.9493254</v>
      </c>
      <c r="S220" s="21">
        <f t="shared" si="139"/>
        <v>63.66254</v>
      </c>
      <c r="T220" s="21" t="b">
        <f t="shared" si="140"/>
        <v>1</v>
      </c>
      <c r="U220" s="21" t="b">
        <f t="shared" si="141"/>
        <v>1</v>
      </c>
    </row>
    <row r="221" s="21" customFormat="1" ht="90" outlineLevel="1" spans="1:21">
      <c r="A221" s="53">
        <v>191</v>
      </c>
      <c r="B221" s="53" t="s">
        <v>517</v>
      </c>
      <c r="C221" s="53" t="s">
        <v>525</v>
      </c>
      <c r="D221" s="53" t="s">
        <v>144</v>
      </c>
      <c r="E221" s="53">
        <v>4.42</v>
      </c>
      <c r="F221" s="53">
        <f t="shared" si="157"/>
        <v>10</v>
      </c>
      <c r="G221" s="55">
        <f t="shared" si="152"/>
        <v>36.75</v>
      </c>
      <c r="H221" s="53">
        <f t="shared" si="158"/>
        <v>35</v>
      </c>
      <c r="I221" s="68">
        <f>I118</f>
        <v>0.05</v>
      </c>
      <c r="J221" s="69">
        <f>J118</f>
        <v>1</v>
      </c>
      <c r="K221" s="34">
        <f>(F221+G221+J221)*$K$5</f>
        <v>2.865</v>
      </c>
      <c r="L221" s="34">
        <f>(F221+G221+J221+K221)*$L$5</f>
        <v>4.55535</v>
      </c>
      <c r="M221" s="55">
        <f t="shared" si="153"/>
        <v>55.17035</v>
      </c>
      <c r="N221" s="55"/>
      <c r="O221" s="55">
        <f t="shared" si="154"/>
        <v>243.852947</v>
      </c>
      <c r="P221" s="53"/>
      <c r="R221" s="21">
        <f t="shared" si="138"/>
        <v>243.852947</v>
      </c>
      <c r="S221" s="21">
        <f t="shared" si="139"/>
        <v>55.17035</v>
      </c>
      <c r="T221" s="21" t="b">
        <f t="shared" si="140"/>
        <v>1</v>
      </c>
      <c r="U221" s="21" t="b">
        <f t="shared" si="141"/>
        <v>1</v>
      </c>
    </row>
    <row r="222" s="21" customFormat="1" ht="90" outlineLevel="1" spans="1:21">
      <c r="A222" s="53">
        <v>192</v>
      </c>
      <c r="B222" s="53" t="s">
        <v>517</v>
      </c>
      <c r="C222" s="53" t="s">
        <v>526</v>
      </c>
      <c r="D222" s="53" t="s">
        <v>144</v>
      </c>
      <c r="E222" s="53">
        <v>32.39</v>
      </c>
      <c r="F222" s="53">
        <f t="shared" si="157"/>
        <v>10</v>
      </c>
      <c r="G222" s="55">
        <f t="shared" si="152"/>
        <v>33.6</v>
      </c>
      <c r="H222" s="53">
        <f t="shared" si="158"/>
        <v>32</v>
      </c>
      <c r="I222" s="68">
        <f>I118</f>
        <v>0.05</v>
      </c>
      <c r="J222" s="69">
        <f>J118</f>
        <v>1</v>
      </c>
      <c r="K222" s="34">
        <f>(F222+G222+J222)*$K$5</f>
        <v>2.676</v>
      </c>
      <c r="L222" s="34">
        <f>(F222+G222+J222+K222)*$L$5</f>
        <v>4.25484</v>
      </c>
      <c r="M222" s="55">
        <f t="shared" si="153"/>
        <v>51.53084</v>
      </c>
      <c r="N222" s="55"/>
      <c r="O222" s="55">
        <f t="shared" si="154"/>
        <v>1669.0839076</v>
      </c>
      <c r="P222" s="53"/>
      <c r="R222" s="21">
        <f t="shared" si="138"/>
        <v>1669.0839076</v>
      </c>
      <c r="S222" s="21">
        <f t="shared" si="139"/>
        <v>51.53084</v>
      </c>
      <c r="T222" s="21" t="b">
        <f t="shared" si="140"/>
        <v>1</v>
      </c>
      <c r="U222" s="21" t="b">
        <f t="shared" si="141"/>
        <v>1</v>
      </c>
    </row>
    <row r="223" s="21" customFormat="1" ht="78.75" outlineLevel="1" spans="1:21">
      <c r="A223" s="53">
        <v>193</v>
      </c>
      <c r="B223" s="53" t="s">
        <v>517</v>
      </c>
      <c r="C223" s="53" t="s">
        <v>527</v>
      </c>
      <c r="D223" s="53" t="s">
        <v>144</v>
      </c>
      <c r="E223" s="53">
        <v>2.47</v>
      </c>
      <c r="F223" s="53">
        <f t="shared" si="157"/>
        <v>10</v>
      </c>
      <c r="G223" s="55">
        <f t="shared" si="152"/>
        <v>26.25</v>
      </c>
      <c r="H223" s="53">
        <f t="shared" si="158"/>
        <v>25</v>
      </c>
      <c r="I223" s="68">
        <f>I118</f>
        <v>0.05</v>
      </c>
      <c r="J223" s="69">
        <f>J118</f>
        <v>1</v>
      </c>
      <c r="K223" s="34">
        <f>(F223+G223+J223)*$K$5</f>
        <v>2.235</v>
      </c>
      <c r="L223" s="34">
        <f>(F223+G223+J223+K223)*$L$5</f>
        <v>3.55365</v>
      </c>
      <c r="M223" s="55">
        <f t="shared" si="153"/>
        <v>43.03865</v>
      </c>
      <c r="N223" s="55"/>
      <c r="O223" s="55">
        <f t="shared" si="154"/>
        <v>106.3054655</v>
      </c>
      <c r="P223" s="53"/>
      <c r="R223" s="21">
        <f t="shared" si="138"/>
        <v>106.3054655</v>
      </c>
      <c r="S223" s="21">
        <f t="shared" si="139"/>
        <v>43.03865</v>
      </c>
      <c r="T223" s="21" t="b">
        <f t="shared" si="140"/>
        <v>1</v>
      </c>
      <c r="U223" s="21" t="b">
        <f t="shared" si="141"/>
        <v>1</v>
      </c>
    </row>
    <row r="224" s="21" customFormat="1" ht="78.75" outlineLevel="1" spans="1:21">
      <c r="A224" s="53">
        <v>194</v>
      </c>
      <c r="B224" s="53" t="s">
        <v>517</v>
      </c>
      <c r="C224" s="53" t="s">
        <v>528</v>
      </c>
      <c r="D224" s="53" t="s">
        <v>144</v>
      </c>
      <c r="E224" s="53">
        <v>16.82</v>
      </c>
      <c r="F224" s="53">
        <f t="shared" si="157"/>
        <v>10</v>
      </c>
      <c r="G224" s="55">
        <f t="shared" si="152"/>
        <v>21</v>
      </c>
      <c r="H224" s="53">
        <f t="shared" si="158"/>
        <v>20</v>
      </c>
      <c r="I224" s="68">
        <f>I118</f>
        <v>0.05</v>
      </c>
      <c r="J224" s="69">
        <f>J118</f>
        <v>1</v>
      </c>
      <c r="K224" s="34">
        <f>(F224+G224+J224)*$K$5</f>
        <v>1.92</v>
      </c>
      <c r="L224" s="34">
        <f>(F224+G224+J224+K224)*$L$5</f>
        <v>3.0528</v>
      </c>
      <c r="M224" s="55">
        <f t="shared" si="153"/>
        <v>36.9728</v>
      </c>
      <c r="N224" s="55"/>
      <c r="O224" s="55">
        <f t="shared" si="154"/>
        <v>621.882496</v>
      </c>
      <c r="P224" s="53"/>
      <c r="R224" s="21">
        <f t="shared" si="138"/>
        <v>621.882496</v>
      </c>
      <c r="S224" s="21">
        <f t="shared" si="139"/>
        <v>36.9728</v>
      </c>
      <c r="T224" s="21" t="b">
        <f t="shared" si="140"/>
        <v>1</v>
      </c>
      <c r="U224" s="21" t="b">
        <f t="shared" si="141"/>
        <v>1</v>
      </c>
    </row>
    <row r="225" s="21" customFormat="1" outlineLevel="1" spans="1:21">
      <c r="A225" s="72">
        <v>195</v>
      </c>
      <c r="B225" s="72" t="s">
        <v>482</v>
      </c>
      <c r="C225" s="72" t="s">
        <v>579</v>
      </c>
      <c r="D225" s="72" t="s">
        <v>144</v>
      </c>
      <c r="E225" s="72">
        <v>16.12</v>
      </c>
      <c r="F225" s="72">
        <f t="shared" si="157"/>
        <v>15</v>
      </c>
      <c r="G225" s="72">
        <f t="shared" si="152"/>
        <v>23.1</v>
      </c>
      <c r="H225" s="73">
        <v>22</v>
      </c>
      <c r="I225" s="89">
        <f>I128</f>
        <v>0.05</v>
      </c>
      <c r="J225" s="84">
        <v>11</v>
      </c>
      <c r="K225" s="85">
        <f>(F225+G225+J225)*$K$5</f>
        <v>2.946</v>
      </c>
      <c r="L225" s="85">
        <f>(F225+G225+J225+K225)*$L$5</f>
        <v>4.68414</v>
      </c>
      <c r="M225" s="79">
        <f t="shared" si="153"/>
        <v>56.73014</v>
      </c>
      <c r="N225" s="80"/>
      <c r="O225" s="72">
        <f t="shared" si="154"/>
        <v>914.4898568</v>
      </c>
      <c r="P225" s="85"/>
      <c r="R225" s="21">
        <f t="shared" si="138"/>
        <v>914.4898568</v>
      </c>
      <c r="S225" s="21">
        <f t="shared" si="139"/>
        <v>56.73014</v>
      </c>
      <c r="T225" s="21" t="b">
        <f t="shared" si="140"/>
        <v>1</v>
      </c>
      <c r="U225" s="21" t="b">
        <f t="shared" si="141"/>
        <v>1</v>
      </c>
    </row>
    <row r="226" s="21" customFormat="1" outlineLevel="1" spans="1:21">
      <c r="A226" s="92"/>
      <c r="B226" s="92"/>
      <c r="C226" s="92"/>
      <c r="D226" s="92"/>
      <c r="E226" s="92"/>
      <c r="F226" s="92"/>
      <c r="G226" s="92"/>
      <c r="H226" s="93"/>
      <c r="I226" s="94"/>
      <c r="J226" s="95"/>
      <c r="K226" s="96"/>
      <c r="L226" s="96"/>
      <c r="M226" s="97"/>
      <c r="N226" s="98"/>
      <c r="O226" s="92"/>
      <c r="P226" s="96"/>
      <c r="R226" s="21">
        <f t="shared" si="138"/>
        <v>0</v>
      </c>
      <c r="S226" s="21">
        <f t="shared" si="139"/>
        <v>0</v>
      </c>
      <c r="T226" s="21" t="b">
        <f t="shared" si="140"/>
        <v>1</v>
      </c>
      <c r="U226" s="21" t="b">
        <f t="shared" si="141"/>
        <v>1</v>
      </c>
    </row>
    <row r="227" s="21" customFormat="1" outlineLevel="1" spans="1:21">
      <c r="A227" s="74"/>
      <c r="B227" s="74"/>
      <c r="C227" s="74"/>
      <c r="D227" s="74"/>
      <c r="E227" s="74"/>
      <c r="F227" s="74"/>
      <c r="G227" s="74"/>
      <c r="H227" s="75"/>
      <c r="I227" s="90"/>
      <c r="J227" s="87"/>
      <c r="K227" s="88"/>
      <c r="L227" s="88"/>
      <c r="M227" s="81"/>
      <c r="N227" s="82"/>
      <c r="O227" s="74"/>
      <c r="P227" s="88"/>
      <c r="R227" s="21">
        <f t="shared" si="138"/>
        <v>0</v>
      </c>
      <c r="S227" s="21">
        <f t="shared" si="139"/>
        <v>0</v>
      </c>
      <c r="T227" s="21" t="b">
        <f t="shared" si="140"/>
        <v>1</v>
      </c>
      <c r="U227" s="21" t="b">
        <f t="shared" si="141"/>
        <v>1</v>
      </c>
    </row>
    <row r="228" s="21" customFormat="1" outlineLevel="1" spans="1:21">
      <c r="A228" s="72">
        <v>196</v>
      </c>
      <c r="B228" s="72" t="s">
        <v>482</v>
      </c>
      <c r="C228" s="72" t="s">
        <v>530</v>
      </c>
      <c r="D228" s="72" t="s">
        <v>144</v>
      </c>
      <c r="E228" s="72">
        <v>10.35</v>
      </c>
      <c r="F228" s="72">
        <f t="shared" ref="F228:J228" si="159">F131</f>
        <v>15</v>
      </c>
      <c r="G228" s="72">
        <f t="shared" ref="G228:G237" si="160">H228*(1+I228)</f>
        <v>18.9</v>
      </c>
      <c r="H228" s="72">
        <f t="shared" si="159"/>
        <v>18</v>
      </c>
      <c r="I228" s="89">
        <f t="shared" si="159"/>
        <v>0.05</v>
      </c>
      <c r="J228" s="85">
        <f t="shared" si="159"/>
        <v>8</v>
      </c>
      <c r="K228" s="85">
        <f>(F228+G228+J228)*$K$5</f>
        <v>2.514</v>
      </c>
      <c r="L228" s="85">
        <f>(F228+G228+J228+K228)*$L$5</f>
        <v>3.99726</v>
      </c>
      <c r="M228" s="79">
        <f t="shared" ref="M228:M237" si="161">F228+G228+J228+K228+L228</f>
        <v>48.41126</v>
      </c>
      <c r="N228" s="80"/>
      <c r="O228" s="72">
        <f t="shared" ref="O228:O237" si="162">M228*E228</f>
        <v>501.056541</v>
      </c>
      <c r="P228" s="85"/>
      <c r="R228" s="21">
        <f t="shared" si="138"/>
        <v>501.056541</v>
      </c>
      <c r="S228" s="21">
        <f t="shared" si="139"/>
        <v>48.41126</v>
      </c>
      <c r="T228" s="21" t="b">
        <f t="shared" si="140"/>
        <v>1</v>
      </c>
      <c r="U228" s="21" t="b">
        <f t="shared" si="141"/>
        <v>1</v>
      </c>
    </row>
    <row r="229" s="21" customFormat="1" outlineLevel="1" spans="1:21">
      <c r="A229" s="92"/>
      <c r="B229" s="92"/>
      <c r="C229" s="92"/>
      <c r="D229" s="92"/>
      <c r="E229" s="92"/>
      <c r="F229" s="92"/>
      <c r="G229" s="92"/>
      <c r="H229" s="92"/>
      <c r="I229" s="94"/>
      <c r="J229" s="96"/>
      <c r="K229" s="96"/>
      <c r="L229" s="96"/>
      <c r="M229" s="97"/>
      <c r="N229" s="98"/>
      <c r="O229" s="92"/>
      <c r="P229" s="96"/>
      <c r="R229" s="21">
        <f t="shared" si="138"/>
        <v>0</v>
      </c>
      <c r="S229" s="21">
        <f t="shared" si="139"/>
        <v>0</v>
      </c>
      <c r="T229" s="21" t="b">
        <f t="shared" si="140"/>
        <v>1</v>
      </c>
      <c r="U229" s="21" t="b">
        <f t="shared" si="141"/>
        <v>1</v>
      </c>
    </row>
    <row r="230" s="21" customFormat="1" outlineLevel="1" spans="1:21">
      <c r="A230" s="74"/>
      <c r="B230" s="74"/>
      <c r="C230" s="74"/>
      <c r="D230" s="74"/>
      <c r="E230" s="74"/>
      <c r="F230" s="74"/>
      <c r="G230" s="74"/>
      <c r="H230" s="74"/>
      <c r="I230" s="90"/>
      <c r="J230" s="88"/>
      <c r="K230" s="88"/>
      <c r="L230" s="88"/>
      <c r="M230" s="81"/>
      <c r="N230" s="82"/>
      <c r="O230" s="74"/>
      <c r="P230" s="88"/>
      <c r="R230" s="21">
        <f t="shared" si="138"/>
        <v>0</v>
      </c>
      <c r="S230" s="21">
        <f t="shared" si="139"/>
        <v>0</v>
      </c>
      <c r="T230" s="21" t="b">
        <f t="shared" si="140"/>
        <v>1</v>
      </c>
      <c r="U230" s="21" t="b">
        <f t="shared" si="141"/>
        <v>1</v>
      </c>
    </row>
    <row r="231" s="21" customFormat="1" ht="56.25" outlineLevel="1" spans="1:21">
      <c r="A231" s="53">
        <v>197</v>
      </c>
      <c r="B231" s="53" t="s">
        <v>531</v>
      </c>
      <c r="C231" s="53" t="s">
        <v>538</v>
      </c>
      <c r="D231" s="53" t="s">
        <v>138</v>
      </c>
      <c r="E231" s="53">
        <v>1</v>
      </c>
      <c r="F231" s="53">
        <f t="shared" ref="F231:J231" si="163">F140</f>
        <v>35</v>
      </c>
      <c r="G231" s="55">
        <f t="shared" si="160"/>
        <v>151.5</v>
      </c>
      <c r="H231" s="53">
        <f t="shared" si="163"/>
        <v>150</v>
      </c>
      <c r="I231" s="65">
        <f t="shared" si="163"/>
        <v>0.01</v>
      </c>
      <c r="J231" s="64">
        <f t="shared" si="163"/>
        <v>10</v>
      </c>
      <c r="K231" s="34">
        <f>(F231+G231+J231)*$K$5</f>
        <v>11.79</v>
      </c>
      <c r="L231" s="34">
        <f>(F231+G231+J231+K231)*$L$5</f>
        <v>18.7461</v>
      </c>
      <c r="M231" s="55">
        <f t="shared" si="161"/>
        <v>227.0361</v>
      </c>
      <c r="N231" s="55"/>
      <c r="O231" s="55">
        <f t="shared" si="162"/>
        <v>227.0361</v>
      </c>
      <c r="P231" s="53"/>
      <c r="R231" s="21">
        <f t="shared" si="138"/>
        <v>227.0361</v>
      </c>
      <c r="S231" s="21">
        <f t="shared" si="139"/>
        <v>227.0361</v>
      </c>
      <c r="T231" s="21" t="b">
        <f t="shared" si="140"/>
        <v>1</v>
      </c>
      <c r="U231" s="21" t="b">
        <f t="shared" si="141"/>
        <v>1</v>
      </c>
    </row>
    <row r="232" s="21" customFormat="1" ht="56.25" outlineLevel="1" spans="1:21">
      <c r="A232" s="53">
        <v>198</v>
      </c>
      <c r="B232" s="53" t="s">
        <v>531</v>
      </c>
      <c r="C232" s="53" t="s">
        <v>543</v>
      </c>
      <c r="D232" s="53" t="s">
        <v>138</v>
      </c>
      <c r="E232" s="53">
        <v>1</v>
      </c>
      <c r="F232" s="53">
        <f t="shared" ref="F232:J232" si="164">F231</f>
        <v>35</v>
      </c>
      <c r="G232" s="55">
        <f t="shared" si="160"/>
        <v>85.85</v>
      </c>
      <c r="H232" s="58">
        <f>H151</f>
        <v>85</v>
      </c>
      <c r="I232" s="65">
        <f t="shared" si="164"/>
        <v>0.01</v>
      </c>
      <c r="J232" s="64">
        <f t="shared" si="164"/>
        <v>10</v>
      </c>
      <c r="K232" s="34">
        <f>(F232+G232+J232)*$K$5</f>
        <v>7.851</v>
      </c>
      <c r="L232" s="34">
        <f>(F232+G232+J232+K232)*$L$5</f>
        <v>12.48309</v>
      </c>
      <c r="M232" s="55">
        <f t="shared" si="161"/>
        <v>151.18409</v>
      </c>
      <c r="N232" s="55"/>
      <c r="O232" s="55">
        <f t="shared" si="162"/>
        <v>151.18409</v>
      </c>
      <c r="P232" s="53"/>
      <c r="R232" s="21">
        <f t="shared" si="138"/>
        <v>151.18409</v>
      </c>
      <c r="S232" s="21">
        <f t="shared" si="139"/>
        <v>151.18409</v>
      </c>
      <c r="T232" s="21" t="b">
        <f t="shared" si="140"/>
        <v>1</v>
      </c>
      <c r="U232" s="21" t="b">
        <f t="shared" si="141"/>
        <v>1</v>
      </c>
    </row>
    <row r="233" s="21" customFormat="1" ht="67.5" outlineLevel="1" spans="1:21">
      <c r="A233" s="53">
        <v>199</v>
      </c>
      <c r="B233" s="53" t="s">
        <v>531</v>
      </c>
      <c r="C233" s="53" t="s">
        <v>580</v>
      </c>
      <c r="D233" s="53" t="s">
        <v>138</v>
      </c>
      <c r="E233" s="53">
        <v>1</v>
      </c>
      <c r="F233" s="53">
        <f t="shared" ref="F233:J233" si="165">F231</f>
        <v>35</v>
      </c>
      <c r="G233" s="55">
        <f t="shared" si="160"/>
        <v>85.85</v>
      </c>
      <c r="H233" s="58">
        <f>H232</f>
        <v>85</v>
      </c>
      <c r="I233" s="65">
        <f t="shared" si="165"/>
        <v>0.01</v>
      </c>
      <c r="J233" s="64">
        <f t="shared" si="165"/>
        <v>10</v>
      </c>
      <c r="K233" s="34">
        <f>(F233+G233+J233)*$K$5</f>
        <v>7.851</v>
      </c>
      <c r="L233" s="34">
        <f>(F233+G233+J233+K233)*$L$5</f>
        <v>12.48309</v>
      </c>
      <c r="M233" s="55">
        <f t="shared" si="161"/>
        <v>151.18409</v>
      </c>
      <c r="N233" s="55"/>
      <c r="O233" s="55">
        <f t="shared" si="162"/>
        <v>151.18409</v>
      </c>
      <c r="P233" s="53"/>
      <c r="R233" s="21">
        <f t="shared" si="138"/>
        <v>151.18409</v>
      </c>
      <c r="S233" s="21">
        <f t="shared" si="139"/>
        <v>151.18409</v>
      </c>
      <c r="T233" s="21" t="b">
        <f t="shared" si="140"/>
        <v>1</v>
      </c>
      <c r="U233" s="21" t="b">
        <f t="shared" si="141"/>
        <v>1</v>
      </c>
    </row>
    <row r="234" s="21" customFormat="1" ht="56.25" outlineLevel="1" spans="1:21">
      <c r="A234" s="53">
        <v>200</v>
      </c>
      <c r="B234" s="53" t="s">
        <v>531</v>
      </c>
      <c r="C234" s="53" t="s">
        <v>552</v>
      </c>
      <c r="D234" s="53" t="s">
        <v>138</v>
      </c>
      <c r="E234" s="53">
        <v>1</v>
      </c>
      <c r="F234" s="53">
        <f t="shared" ref="F234:J234" si="166">F233</f>
        <v>35</v>
      </c>
      <c r="G234" s="55">
        <f t="shared" si="160"/>
        <v>85.85</v>
      </c>
      <c r="H234" s="53">
        <f t="shared" si="166"/>
        <v>85</v>
      </c>
      <c r="I234" s="65">
        <f t="shared" si="166"/>
        <v>0.01</v>
      </c>
      <c r="J234" s="64">
        <f t="shared" si="166"/>
        <v>10</v>
      </c>
      <c r="K234" s="34">
        <f>(F234+G234+J234)*$K$5</f>
        <v>7.851</v>
      </c>
      <c r="L234" s="34">
        <f>(F234+G234+J234+K234)*$L$5</f>
        <v>12.48309</v>
      </c>
      <c r="M234" s="55">
        <f t="shared" si="161"/>
        <v>151.18409</v>
      </c>
      <c r="N234" s="55"/>
      <c r="O234" s="55">
        <f t="shared" si="162"/>
        <v>151.18409</v>
      </c>
      <c r="P234" s="53"/>
      <c r="R234" s="21">
        <f t="shared" si="138"/>
        <v>151.18409</v>
      </c>
      <c r="S234" s="21">
        <f t="shared" si="139"/>
        <v>151.18409</v>
      </c>
      <c r="T234" s="21" t="b">
        <f t="shared" si="140"/>
        <v>1</v>
      </c>
      <c r="U234" s="21" t="b">
        <f t="shared" si="141"/>
        <v>1</v>
      </c>
    </row>
    <row r="235" s="21" customFormat="1" ht="56.25" outlineLevel="1" spans="1:21">
      <c r="A235" s="53">
        <v>201</v>
      </c>
      <c r="B235" s="53" t="s">
        <v>531</v>
      </c>
      <c r="C235" s="53" t="s">
        <v>581</v>
      </c>
      <c r="D235" s="53" t="s">
        <v>138</v>
      </c>
      <c r="E235" s="53">
        <v>2</v>
      </c>
      <c r="F235" s="53">
        <f t="shared" ref="F235:J235" si="167">F233</f>
        <v>35</v>
      </c>
      <c r="G235" s="55">
        <f t="shared" si="160"/>
        <v>85.85</v>
      </c>
      <c r="H235" s="58">
        <f t="shared" si="167"/>
        <v>85</v>
      </c>
      <c r="I235" s="65">
        <f t="shared" si="167"/>
        <v>0.01</v>
      </c>
      <c r="J235" s="64">
        <f t="shared" si="167"/>
        <v>10</v>
      </c>
      <c r="K235" s="34">
        <f>(F235+G235+J235)*$K$5</f>
        <v>7.851</v>
      </c>
      <c r="L235" s="34">
        <f>(F235+G235+J235+K235)*$L$5</f>
        <v>12.48309</v>
      </c>
      <c r="M235" s="55">
        <f t="shared" si="161"/>
        <v>151.18409</v>
      </c>
      <c r="N235" s="55"/>
      <c r="O235" s="55">
        <f t="shared" si="162"/>
        <v>302.36818</v>
      </c>
      <c r="P235" s="53"/>
      <c r="R235" s="21">
        <f t="shared" si="138"/>
        <v>302.36818</v>
      </c>
      <c r="S235" s="21">
        <f t="shared" si="139"/>
        <v>151.18409</v>
      </c>
      <c r="T235" s="21" t="b">
        <f t="shared" si="140"/>
        <v>1</v>
      </c>
      <c r="U235" s="21" t="b">
        <f t="shared" si="141"/>
        <v>1</v>
      </c>
    </row>
    <row r="236" s="21" customFormat="1" ht="56.25" outlineLevel="1" spans="1:21">
      <c r="A236" s="53">
        <v>202</v>
      </c>
      <c r="B236" s="53" t="s">
        <v>554</v>
      </c>
      <c r="C236" s="53" t="s">
        <v>555</v>
      </c>
      <c r="D236" s="53" t="s">
        <v>556</v>
      </c>
      <c r="E236" s="53">
        <v>0.05</v>
      </c>
      <c r="F236" s="53">
        <f t="shared" ref="F236:J236" si="168">F156</f>
        <v>700</v>
      </c>
      <c r="G236" s="55">
        <f t="shared" si="160"/>
        <v>1545</v>
      </c>
      <c r="H236" s="58">
        <f t="shared" si="168"/>
        <v>1500</v>
      </c>
      <c r="I236" s="68">
        <f t="shared" si="168"/>
        <v>0.03</v>
      </c>
      <c r="J236" s="69">
        <f t="shared" si="168"/>
        <v>160</v>
      </c>
      <c r="K236" s="34">
        <f>(F236+G236+J236)*$K$5</f>
        <v>144.3</v>
      </c>
      <c r="L236" s="34">
        <f>(F236+G236+J236+K236)*$L$5</f>
        <v>229.437</v>
      </c>
      <c r="M236" s="55">
        <f t="shared" si="161"/>
        <v>2778.737</v>
      </c>
      <c r="N236" s="55"/>
      <c r="O236" s="55">
        <f t="shared" si="162"/>
        <v>138.93685</v>
      </c>
      <c r="P236" s="53"/>
      <c r="R236" s="21">
        <f t="shared" si="138"/>
        <v>138.93685</v>
      </c>
      <c r="S236" s="21">
        <f t="shared" si="139"/>
        <v>2778.737</v>
      </c>
      <c r="T236" s="21" t="b">
        <f t="shared" si="140"/>
        <v>1</v>
      </c>
      <c r="U236" s="21" t="b">
        <f t="shared" si="141"/>
        <v>1</v>
      </c>
    </row>
    <row r="237" s="21" customFormat="1" ht="56.25" outlineLevel="1" spans="1:21">
      <c r="A237" s="53">
        <v>203</v>
      </c>
      <c r="B237" s="53" t="s">
        <v>554</v>
      </c>
      <c r="C237" s="53" t="s">
        <v>557</v>
      </c>
      <c r="D237" s="53" t="s">
        <v>556</v>
      </c>
      <c r="E237" s="53">
        <v>0.37</v>
      </c>
      <c r="F237" s="53">
        <f t="shared" ref="F237:J237" si="169">F156</f>
        <v>700</v>
      </c>
      <c r="G237" s="55">
        <f t="shared" si="160"/>
        <v>1545</v>
      </c>
      <c r="H237" s="58">
        <f t="shared" si="169"/>
        <v>1500</v>
      </c>
      <c r="I237" s="68">
        <f t="shared" si="169"/>
        <v>0.03</v>
      </c>
      <c r="J237" s="69">
        <f t="shared" si="169"/>
        <v>160</v>
      </c>
      <c r="K237" s="34">
        <f>(F237+G237+J237)*$K$5</f>
        <v>144.3</v>
      </c>
      <c r="L237" s="34">
        <f>(F237+G237+J237+K237)*$L$5</f>
        <v>229.437</v>
      </c>
      <c r="M237" s="55">
        <f t="shared" si="161"/>
        <v>2778.737</v>
      </c>
      <c r="N237" s="55"/>
      <c r="O237" s="55">
        <f t="shared" si="162"/>
        <v>1028.13269</v>
      </c>
      <c r="P237" s="53"/>
      <c r="R237" s="21">
        <f t="shared" si="138"/>
        <v>1028.13269</v>
      </c>
      <c r="S237" s="21">
        <f t="shared" si="139"/>
        <v>2778.737</v>
      </c>
      <c r="T237" s="21" t="b">
        <f t="shared" si="140"/>
        <v>1</v>
      </c>
      <c r="U237" s="21" t="b">
        <f t="shared" si="141"/>
        <v>1</v>
      </c>
    </row>
    <row r="238" s="21" customFormat="1" outlineLevel="1" spans="1:18">
      <c r="A238" s="53"/>
      <c r="B238" s="53"/>
      <c r="C238" s="53"/>
      <c r="D238" s="53"/>
      <c r="E238" s="53"/>
      <c r="F238" s="53"/>
      <c r="G238" s="55"/>
      <c r="H238" s="58"/>
      <c r="I238" s="68"/>
      <c r="J238" s="69"/>
      <c r="K238" s="34"/>
      <c r="L238" s="34"/>
      <c r="M238" s="55"/>
      <c r="N238" s="100">
        <f>SUM(O8:O237)</f>
        <v>870418.907310102</v>
      </c>
      <c r="O238" s="101"/>
      <c r="P238" s="53"/>
      <c r="R238" s="21">
        <f>SUM(R8:R237)</f>
        <v>870418.907310102</v>
      </c>
    </row>
    <row r="239" ht="59" customHeight="1" spans="1:16">
      <c r="A239" s="38" t="s">
        <v>373</v>
      </c>
      <c r="B239" s="39" t="s">
        <v>374</v>
      </c>
      <c r="C239" s="39"/>
      <c r="D239" s="39"/>
      <c r="E239" s="39"/>
      <c r="F239" s="39"/>
      <c r="G239" s="39"/>
      <c r="H239" s="39"/>
      <c r="I239" s="39"/>
      <c r="J239" s="38"/>
      <c r="K239" s="38"/>
      <c r="L239" s="38"/>
      <c r="M239" s="39"/>
      <c r="N239" s="39"/>
      <c r="O239" s="39"/>
      <c r="P239" s="39"/>
    </row>
  </sheetData>
  <autoFilter ref="A5:P239">
    <extLst/>
  </autoFilter>
  <mergeCells count="453">
    <mergeCell ref="A1:P1"/>
    <mergeCell ref="A2:F2"/>
    <mergeCell ref="G2:M2"/>
    <mergeCell ref="N2:P2"/>
    <mergeCell ref="F3:L3"/>
    <mergeCell ref="M6:N6"/>
    <mergeCell ref="M7:N7"/>
    <mergeCell ref="M8:N8"/>
    <mergeCell ref="M9:N9"/>
    <mergeCell ref="M10:N10"/>
    <mergeCell ref="M11:N11"/>
    <mergeCell ref="M12:N12"/>
    <mergeCell ref="M13:N13"/>
    <mergeCell ref="M14:N14"/>
    <mergeCell ref="M15:N15"/>
    <mergeCell ref="M16:N16"/>
    <mergeCell ref="M17:N17"/>
    <mergeCell ref="M18:N18"/>
    <mergeCell ref="M19:N19"/>
    <mergeCell ref="M20:N20"/>
    <mergeCell ref="M21:N21"/>
    <mergeCell ref="M22:N22"/>
    <mergeCell ref="M23:N23"/>
    <mergeCell ref="M24:N24"/>
    <mergeCell ref="M25:N25"/>
    <mergeCell ref="M26:N26"/>
    <mergeCell ref="M27:N27"/>
    <mergeCell ref="M28:N28"/>
    <mergeCell ref="M29:N29"/>
    <mergeCell ref="M30:N30"/>
    <mergeCell ref="M31:N31"/>
    <mergeCell ref="M32:N32"/>
    <mergeCell ref="M33:N33"/>
    <mergeCell ref="M34:N34"/>
    <mergeCell ref="M35:N35"/>
    <mergeCell ref="M36:N36"/>
    <mergeCell ref="M37:N37"/>
    <mergeCell ref="M38:N38"/>
    <mergeCell ref="M39:N39"/>
    <mergeCell ref="M40:N40"/>
    <mergeCell ref="M41:N41"/>
    <mergeCell ref="M42:N42"/>
    <mergeCell ref="M43:N43"/>
    <mergeCell ref="M44:N44"/>
    <mergeCell ref="M45:N45"/>
    <mergeCell ref="M46:N46"/>
    <mergeCell ref="M47:N47"/>
    <mergeCell ref="M48:N48"/>
    <mergeCell ref="M49:N49"/>
    <mergeCell ref="M50:N50"/>
    <mergeCell ref="M51:N51"/>
    <mergeCell ref="M52:N52"/>
    <mergeCell ref="M53:N53"/>
    <mergeCell ref="M54:N54"/>
    <mergeCell ref="M55:N55"/>
    <mergeCell ref="M56:N56"/>
    <mergeCell ref="M57:N57"/>
    <mergeCell ref="M58:N58"/>
    <mergeCell ref="M59:N59"/>
    <mergeCell ref="M60:N60"/>
    <mergeCell ref="M61:N61"/>
    <mergeCell ref="M62:N62"/>
    <mergeCell ref="M63:N63"/>
    <mergeCell ref="M64:N64"/>
    <mergeCell ref="M65:N65"/>
    <mergeCell ref="M66:N66"/>
    <mergeCell ref="M67:N67"/>
    <mergeCell ref="M68:N68"/>
    <mergeCell ref="M69:N69"/>
    <mergeCell ref="M70:N70"/>
    <mergeCell ref="M71:N71"/>
    <mergeCell ref="M72:N72"/>
    <mergeCell ref="M73:N73"/>
    <mergeCell ref="M74:N74"/>
    <mergeCell ref="M75:N75"/>
    <mergeCell ref="M76:N76"/>
    <mergeCell ref="M77:N77"/>
    <mergeCell ref="M78:N78"/>
    <mergeCell ref="M79:N79"/>
    <mergeCell ref="M80:N80"/>
    <mergeCell ref="M95:N95"/>
    <mergeCell ref="M96:N96"/>
    <mergeCell ref="M97:N97"/>
    <mergeCell ref="M98:N98"/>
    <mergeCell ref="M99:N99"/>
    <mergeCell ref="M100:N100"/>
    <mergeCell ref="M101:N101"/>
    <mergeCell ref="M102:N102"/>
    <mergeCell ref="M103:N103"/>
    <mergeCell ref="M104:N104"/>
    <mergeCell ref="M105:N105"/>
    <mergeCell ref="M106:N106"/>
    <mergeCell ref="M107:N107"/>
    <mergeCell ref="M108:N108"/>
    <mergeCell ref="M109:N109"/>
    <mergeCell ref="M110:N110"/>
    <mergeCell ref="M117:N117"/>
    <mergeCell ref="M118:N118"/>
    <mergeCell ref="M119:N119"/>
    <mergeCell ref="M120:N120"/>
    <mergeCell ref="M121:N121"/>
    <mergeCell ref="M122:N122"/>
    <mergeCell ref="M123:N123"/>
    <mergeCell ref="M124:N124"/>
    <mergeCell ref="M125:N125"/>
    <mergeCell ref="M126:N126"/>
    <mergeCell ref="M127:N127"/>
    <mergeCell ref="M134:N134"/>
    <mergeCell ref="M135:N135"/>
    <mergeCell ref="M136:N136"/>
    <mergeCell ref="M137:N137"/>
    <mergeCell ref="M138:N138"/>
    <mergeCell ref="M139:N139"/>
    <mergeCell ref="M140:N140"/>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M160:N160"/>
    <mergeCell ref="M161:N161"/>
    <mergeCell ref="M162:N162"/>
    <mergeCell ref="M163:N163"/>
    <mergeCell ref="M164:N164"/>
    <mergeCell ref="M165:N165"/>
    <mergeCell ref="M166:N166"/>
    <mergeCell ref="M167:N167"/>
    <mergeCell ref="M168:N168"/>
    <mergeCell ref="M169:N169"/>
    <mergeCell ref="M170:N170"/>
    <mergeCell ref="M171:N171"/>
    <mergeCell ref="M172:N172"/>
    <mergeCell ref="M173:N173"/>
    <mergeCell ref="M174:N174"/>
    <mergeCell ref="M175:N175"/>
    <mergeCell ref="M176:N176"/>
    <mergeCell ref="M177:N177"/>
    <mergeCell ref="M178:N178"/>
    <mergeCell ref="M179:N179"/>
    <mergeCell ref="M180:N180"/>
    <mergeCell ref="M181:N181"/>
    <mergeCell ref="M182:N182"/>
    <mergeCell ref="M183:N183"/>
    <mergeCell ref="M184:N184"/>
    <mergeCell ref="M185:N185"/>
    <mergeCell ref="M186:N186"/>
    <mergeCell ref="M187:N187"/>
    <mergeCell ref="M188:N188"/>
    <mergeCell ref="M189:N189"/>
    <mergeCell ref="M190:N190"/>
    <mergeCell ref="M191:N191"/>
    <mergeCell ref="M192:N192"/>
    <mergeCell ref="M193:N193"/>
    <mergeCell ref="M194:N194"/>
    <mergeCell ref="M195:N195"/>
    <mergeCell ref="M196:N196"/>
    <mergeCell ref="M197:N197"/>
    <mergeCell ref="M198:N198"/>
    <mergeCell ref="M199:N199"/>
    <mergeCell ref="M200:N200"/>
    <mergeCell ref="M201:N201"/>
    <mergeCell ref="M202:N202"/>
    <mergeCell ref="M203:N203"/>
    <mergeCell ref="M204:N204"/>
    <mergeCell ref="M205:N205"/>
    <mergeCell ref="M206:N206"/>
    <mergeCell ref="M207:N207"/>
    <mergeCell ref="M208:N208"/>
    <mergeCell ref="M209:N209"/>
    <mergeCell ref="M210:N210"/>
    <mergeCell ref="M211:N211"/>
    <mergeCell ref="M216:N216"/>
    <mergeCell ref="M217:N217"/>
    <mergeCell ref="M218:N218"/>
    <mergeCell ref="M219:N219"/>
    <mergeCell ref="M220:N220"/>
    <mergeCell ref="M221:N221"/>
    <mergeCell ref="M222:N222"/>
    <mergeCell ref="M223:N223"/>
    <mergeCell ref="M224:N224"/>
    <mergeCell ref="M231:N231"/>
    <mergeCell ref="M232:N232"/>
    <mergeCell ref="M233:N233"/>
    <mergeCell ref="M234:N234"/>
    <mergeCell ref="M235:N235"/>
    <mergeCell ref="M236:N236"/>
    <mergeCell ref="M237:N237"/>
    <mergeCell ref="N238:O238"/>
    <mergeCell ref="B239:P239"/>
    <mergeCell ref="A3:A5"/>
    <mergeCell ref="A81:A82"/>
    <mergeCell ref="A83:A84"/>
    <mergeCell ref="A85:A86"/>
    <mergeCell ref="A87:A88"/>
    <mergeCell ref="A89:A90"/>
    <mergeCell ref="A91:A92"/>
    <mergeCell ref="A93:A94"/>
    <mergeCell ref="A111:A112"/>
    <mergeCell ref="A113:A114"/>
    <mergeCell ref="A115:A116"/>
    <mergeCell ref="A128:A130"/>
    <mergeCell ref="A131:A133"/>
    <mergeCell ref="A212:A213"/>
    <mergeCell ref="A214:A215"/>
    <mergeCell ref="A225:A227"/>
    <mergeCell ref="A228:A230"/>
    <mergeCell ref="B3:B5"/>
    <mergeCell ref="B81:B82"/>
    <mergeCell ref="B83:B84"/>
    <mergeCell ref="B85:B86"/>
    <mergeCell ref="B87:B88"/>
    <mergeCell ref="B89:B90"/>
    <mergeCell ref="B91:B92"/>
    <mergeCell ref="B93:B94"/>
    <mergeCell ref="B111:B112"/>
    <mergeCell ref="B113:B114"/>
    <mergeCell ref="B115:B116"/>
    <mergeCell ref="B128:B130"/>
    <mergeCell ref="B131:B133"/>
    <mergeCell ref="B212:B213"/>
    <mergeCell ref="B214:B215"/>
    <mergeCell ref="B225:B227"/>
    <mergeCell ref="B228:B230"/>
    <mergeCell ref="C3:C5"/>
    <mergeCell ref="C81:C82"/>
    <mergeCell ref="C83:C84"/>
    <mergeCell ref="C85:C86"/>
    <mergeCell ref="C87:C88"/>
    <mergeCell ref="C89:C90"/>
    <mergeCell ref="C91:C92"/>
    <mergeCell ref="C93:C94"/>
    <mergeCell ref="C111:C112"/>
    <mergeCell ref="C113:C114"/>
    <mergeCell ref="C115:C116"/>
    <mergeCell ref="C128:C130"/>
    <mergeCell ref="C131:C133"/>
    <mergeCell ref="C212:C213"/>
    <mergeCell ref="C214:C215"/>
    <mergeCell ref="C225:C227"/>
    <mergeCell ref="C228:C230"/>
    <mergeCell ref="D3:D5"/>
    <mergeCell ref="D81:D82"/>
    <mergeCell ref="D83:D84"/>
    <mergeCell ref="D85:D86"/>
    <mergeCell ref="D87:D88"/>
    <mergeCell ref="D89:D90"/>
    <mergeCell ref="D91:D92"/>
    <mergeCell ref="D93:D94"/>
    <mergeCell ref="D111:D112"/>
    <mergeCell ref="D113:D114"/>
    <mergeCell ref="D115:D116"/>
    <mergeCell ref="D128:D130"/>
    <mergeCell ref="D131:D133"/>
    <mergeCell ref="D212:D213"/>
    <mergeCell ref="D214:D215"/>
    <mergeCell ref="D225:D227"/>
    <mergeCell ref="D228:D230"/>
    <mergeCell ref="E3:E5"/>
    <mergeCell ref="E81:E82"/>
    <mergeCell ref="E83:E84"/>
    <mergeCell ref="E85:E86"/>
    <mergeCell ref="E87:E88"/>
    <mergeCell ref="E89:E90"/>
    <mergeCell ref="E91:E92"/>
    <mergeCell ref="E93:E94"/>
    <mergeCell ref="E111:E112"/>
    <mergeCell ref="E113:E114"/>
    <mergeCell ref="E115:E116"/>
    <mergeCell ref="E128:E130"/>
    <mergeCell ref="E131:E133"/>
    <mergeCell ref="E212:E213"/>
    <mergeCell ref="E214:E215"/>
    <mergeCell ref="E225:E227"/>
    <mergeCell ref="E228:E230"/>
    <mergeCell ref="F4:F5"/>
    <mergeCell ref="F81:F82"/>
    <mergeCell ref="F83:F84"/>
    <mergeCell ref="F85:F86"/>
    <mergeCell ref="F87:F88"/>
    <mergeCell ref="F89:F90"/>
    <mergeCell ref="F91:F92"/>
    <mergeCell ref="F93:F94"/>
    <mergeCell ref="F111:F112"/>
    <mergeCell ref="F113:F114"/>
    <mergeCell ref="F115:F116"/>
    <mergeCell ref="F128:F130"/>
    <mergeCell ref="F131:F133"/>
    <mergeCell ref="F212:F213"/>
    <mergeCell ref="F214:F215"/>
    <mergeCell ref="F225:F227"/>
    <mergeCell ref="F228:F230"/>
    <mergeCell ref="G81:G82"/>
    <mergeCell ref="G83:G84"/>
    <mergeCell ref="G85:G86"/>
    <mergeCell ref="G87:G88"/>
    <mergeCell ref="G89:G90"/>
    <mergeCell ref="G91:G92"/>
    <mergeCell ref="G93:G94"/>
    <mergeCell ref="G111:G112"/>
    <mergeCell ref="G113:G114"/>
    <mergeCell ref="G115:G116"/>
    <mergeCell ref="G128:G130"/>
    <mergeCell ref="G131:G133"/>
    <mergeCell ref="G212:G213"/>
    <mergeCell ref="G214:G215"/>
    <mergeCell ref="G225:G227"/>
    <mergeCell ref="G228:G230"/>
    <mergeCell ref="H81:H82"/>
    <mergeCell ref="H83:H84"/>
    <mergeCell ref="H85:H86"/>
    <mergeCell ref="H87:H88"/>
    <mergeCell ref="H89:H90"/>
    <mergeCell ref="H91:H92"/>
    <mergeCell ref="H93:H94"/>
    <mergeCell ref="H111:H112"/>
    <mergeCell ref="H113:H114"/>
    <mergeCell ref="H115:H116"/>
    <mergeCell ref="H128:H130"/>
    <mergeCell ref="H131:H133"/>
    <mergeCell ref="H212:H213"/>
    <mergeCell ref="H214:H215"/>
    <mergeCell ref="H225:H227"/>
    <mergeCell ref="H228:H230"/>
    <mergeCell ref="I81:I82"/>
    <mergeCell ref="I83:I84"/>
    <mergeCell ref="I85:I86"/>
    <mergeCell ref="I87:I88"/>
    <mergeCell ref="I89:I90"/>
    <mergeCell ref="I91:I92"/>
    <mergeCell ref="I93:I94"/>
    <mergeCell ref="I111:I112"/>
    <mergeCell ref="I113:I114"/>
    <mergeCell ref="I115:I116"/>
    <mergeCell ref="I128:I130"/>
    <mergeCell ref="I131:I133"/>
    <mergeCell ref="I212:I213"/>
    <mergeCell ref="I214:I215"/>
    <mergeCell ref="I225:I227"/>
    <mergeCell ref="I228:I230"/>
    <mergeCell ref="J4:J5"/>
    <mergeCell ref="J81:J82"/>
    <mergeCell ref="J83:J84"/>
    <mergeCell ref="J85:J86"/>
    <mergeCell ref="J87:J88"/>
    <mergeCell ref="J89:J90"/>
    <mergeCell ref="J91:J92"/>
    <mergeCell ref="J93:J94"/>
    <mergeCell ref="J111:J112"/>
    <mergeCell ref="J113:J114"/>
    <mergeCell ref="J115:J116"/>
    <mergeCell ref="J128:J130"/>
    <mergeCell ref="J131:J133"/>
    <mergeCell ref="J212:J213"/>
    <mergeCell ref="J214:J215"/>
    <mergeCell ref="J225:J227"/>
    <mergeCell ref="J228:J230"/>
    <mergeCell ref="K81:K82"/>
    <mergeCell ref="K83:K84"/>
    <mergeCell ref="K85:K86"/>
    <mergeCell ref="K87:K88"/>
    <mergeCell ref="K89:K90"/>
    <mergeCell ref="K91:K92"/>
    <mergeCell ref="K93:K94"/>
    <mergeCell ref="K111:K112"/>
    <mergeCell ref="K113:K114"/>
    <mergeCell ref="K115:K116"/>
    <mergeCell ref="K128:K130"/>
    <mergeCell ref="K131:K133"/>
    <mergeCell ref="K212:K213"/>
    <mergeCell ref="K214:K215"/>
    <mergeCell ref="K225:K227"/>
    <mergeCell ref="K228:K230"/>
    <mergeCell ref="L81:L82"/>
    <mergeCell ref="L83:L84"/>
    <mergeCell ref="L85:L86"/>
    <mergeCell ref="L87:L88"/>
    <mergeCell ref="L89:L90"/>
    <mergeCell ref="L91:L92"/>
    <mergeCell ref="L93:L94"/>
    <mergeCell ref="L111:L112"/>
    <mergeCell ref="L113:L114"/>
    <mergeCell ref="L115:L116"/>
    <mergeCell ref="L128:L130"/>
    <mergeCell ref="L131:L133"/>
    <mergeCell ref="L212:L213"/>
    <mergeCell ref="L214:L215"/>
    <mergeCell ref="L225:L227"/>
    <mergeCell ref="L228:L230"/>
    <mergeCell ref="O3:O5"/>
    <mergeCell ref="O81:O82"/>
    <mergeCell ref="O83:O84"/>
    <mergeCell ref="O85:O86"/>
    <mergeCell ref="O87:O88"/>
    <mergeCell ref="O89:O90"/>
    <mergeCell ref="O91:O92"/>
    <mergeCell ref="O93:O94"/>
    <mergeCell ref="O111:O112"/>
    <mergeCell ref="O113:O114"/>
    <mergeCell ref="O115:O116"/>
    <mergeCell ref="O128:O130"/>
    <mergeCell ref="O131:O133"/>
    <mergeCell ref="O212:O213"/>
    <mergeCell ref="O214:O215"/>
    <mergeCell ref="O225:O227"/>
    <mergeCell ref="O228:O230"/>
    <mergeCell ref="P3:P5"/>
    <mergeCell ref="P81:P82"/>
    <mergeCell ref="P83:P84"/>
    <mergeCell ref="P85:P86"/>
    <mergeCell ref="P87:P88"/>
    <mergeCell ref="P89:P90"/>
    <mergeCell ref="P91:P92"/>
    <mergeCell ref="P93:P94"/>
    <mergeCell ref="P111:P112"/>
    <mergeCell ref="P113:P114"/>
    <mergeCell ref="P115:P116"/>
    <mergeCell ref="P128:P130"/>
    <mergeCell ref="P131:P133"/>
    <mergeCell ref="P212:P213"/>
    <mergeCell ref="P214:P215"/>
    <mergeCell ref="P225:P227"/>
    <mergeCell ref="P228:P230"/>
    <mergeCell ref="M3:N5"/>
    <mergeCell ref="M81:N82"/>
    <mergeCell ref="M83:N84"/>
    <mergeCell ref="M85:N86"/>
    <mergeCell ref="M87:N88"/>
    <mergeCell ref="M89:N90"/>
    <mergeCell ref="M91:N92"/>
    <mergeCell ref="M93:N94"/>
    <mergeCell ref="M111:N112"/>
    <mergeCell ref="M113:N114"/>
    <mergeCell ref="M115:N116"/>
    <mergeCell ref="M128:N130"/>
    <mergeCell ref="M131:N133"/>
    <mergeCell ref="M212:N213"/>
    <mergeCell ref="M214:N215"/>
    <mergeCell ref="M225:N227"/>
    <mergeCell ref="M228:N230"/>
  </mergeCells>
  <pageMargins left="0.751388888888889" right="0.751388888888889" top="1" bottom="1" header="0.5" footer="0.5"/>
  <pageSetup paperSize="9" scale="96"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ComponentOne</Company>
  <Application>Microsoft Excel</Application>
  <HeadingPairs>
    <vt:vector size="2" baseType="variant">
      <vt:variant>
        <vt:lpstr>工作表</vt:lpstr>
      </vt:variant>
      <vt:variant>
        <vt:i4>11</vt:i4>
      </vt:variant>
    </vt:vector>
  </HeadingPairs>
  <TitlesOfParts>
    <vt:vector size="11" baseType="lpstr">
      <vt:lpstr>进度款汇总</vt:lpstr>
      <vt:lpstr>清单明细</vt:lpstr>
      <vt:lpstr>汇总表0</vt:lpstr>
      <vt:lpstr>Sheet2</vt:lpstr>
      <vt:lpstr>清单报价说明</vt:lpstr>
      <vt:lpstr>汇总表</vt:lpstr>
      <vt:lpstr>Sheet1</vt:lpstr>
      <vt:lpstr>装饰工程</vt:lpstr>
      <vt:lpstr>安装工程</vt:lpstr>
      <vt:lpstr>04、增加示范区弱电工程</vt:lpstr>
      <vt:lpstr>门头钢结构工程量计算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C1Excel</dc:creator>
  <cp:lastModifiedBy>HMJ</cp:lastModifiedBy>
  <dcterms:created xsi:type="dcterms:W3CDTF">2020-11-19T09:45:00Z</dcterms:created>
  <dcterms:modified xsi:type="dcterms:W3CDTF">2023-05-08T06:56:46Z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F11536D7DA90489DA621EF90F999EFA0_13</vt:lpwstr>
  </property>
  <property fmtid="{D5CDD505-2E9C-101B-9397-08002B2CF9AE}" pid="4" name="KSOReadingLayout">
    <vt:bool>true</vt:bool>
  </property>
</Properties>
</file>