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 tabRatio="509"/>
  </bookViews>
  <sheets>
    <sheet name="进度款费用计算明细表" sheetId="9" r:id="rId1"/>
    <sheet name="扣除墙地砖供货" sheetId="10" r:id="rId2"/>
    <sheet name="11#楼公共区域" sheetId="11" r:id="rId3"/>
    <sheet name="2-7#楼墙地砖" sheetId="12" r:id="rId4"/>
  </sheets>
  <externalReferences>
    <externalReference r:id="rId9"/>
    <externalReference r:id="rId10"/>
  </externalReferences>
  <definedNames>
    <definedName name="_xlnm._FilterDatabase" localSheetId="1" hidden="1">扣除墙地砖供货!$A$2:$L$63</definedName>
    <definedName name="_xlnm._FilterDatabase" localSheetId="3" hidden="1">'2-7#楼墙地砖'!$A$2:$M$27</definedName>
  </definedNames>
  <calcPr calcId="144525"/>
</workbook>
</file>

<file path=xl/sharedStrings.xml><?xml version="1.0" encoding="utf-8"?>
<sst xmlns="http://schemas.openxmlformats.org/spreadsheetml/2006/main" count="272" uniqueCount="85">
  <si>
    <t>工程进度款费用计算明细表</t>
  </si>
  <si>
    <t>序号</t>
  </si>
  <si>
    <t>分项名称</t>
  </si>
  <si>
    <t>暂定/固定合同价
(元)</t>
  </si>
  <si>
    <t>合同总工程量</t>
  </si>
  <si>
    <t>合同单价</t>
  </si>
  <si>
    <t>累计已审批进度款（元）</t>
  </si>
  <si>
    <t>本次申请应付款（元）</t>
  </si>
  <si>
    <t>累计应付款（含本次申请，元)</t>
  </si>
  <si>
    <t>累计实付款
(元)</t>
  </si>
  <si>
    <t>累计已批未付 (不含本次申请，元)</t>
  </si>
  <si>
    <t>本次付款形象进度简述</t>
  </si>
  <si>
    <t>累计已审批工程量</t>
  </si>
  <si>
    <t>累计已审批款</t>
  </si>
  <si>
    <t>本次应付工程量</t>
  </si>
  <si>
    <t>合同节点比例</t>
  </si>
  <si>
    <t>本次应付款</t>
  </si>
  <si>
    <t>应申请总金额</t>
  </si>
  <si>
    <t>累计申请比例</t>
  </si>
  <si>
    <t>按合同填写</t>
  </si>
  <si>
    <t>按中标清单填写</t>
  </si>
  <si>
    <t>填写累计已审批的量</t>
  </si>
  <si>
    <t>按已审批金额填写</t>
  </si>
  <si>
    <t>根据形象进度填写</t>
  </si>
  <si>
    <t>按合同节点填写比例</t>
  </si>
  <si>
    <t>按合同付款节点计算</t>
  </si>
  <si>
    <t>不能超合同对应清单项总价</t>
  </si>
  <si>
    <t>自动计算</t>
  </si>
  <si>
    <t>截至付款计算时，按财务实际支付金额填写</t>
  </si>
  <si>
    <t>已审批-实付</t>
  </si>
  <si>
    <t>隐藏该行</t>
  </si>
  <si>
    <t>8#大堂</t>
  </si>
  <si>
    <t>11#大堂</t>
  </si>
  <si>
    <t>11#楼公共区域</t>
  </si>
  <si>
    <t>8#楼门头</t>
  </si>
  <si>
    <t>9#楼门头</t>
  </si>
  <si>
    <t>11#楼门头</t>
  </si>
  <si>
    <t>2-7#墙砖供货</t>
  </si>
  <si>
    <t>合计</t>
  </si>
  <si>
    <t>本次付款申请金额取整为：</t>
  </si>
  <si>
    <t>据实填总金额</t>
  </si>
  <si>
    <t>据实填写挂账</t>
  </si>
  <si>
    <t>取到整数位</t>
  </si>
  <si>
    <t>注：1、分项工程不同时按具体约定进行调整;2、付款线上发起时需上传本电子表格。3、一份合同建立一个付款计算明细表，每次计算付款时在工作表内新建新的工作薄，每次付款时能看到上次付款计算情况，不允许在一个工作薄内修改。4、本表格随开工楼号数量逐步自行添加；</t>
  </si>
  <si>
    <t>5、本付款表为参考样表，格式不同能体现以上要求即可。6、按定额计价总包工程本表填写总金额，对应定额预算单独打包上次做附件供复查。</t>
  </si>
  <si>
    <t xml:space="preserve">                                                                                           现场驻场成本负责人：                 </t>
  </si>
  <si>
    <t xml:space="preserve">                                                                                           日期：</t>
  </si>
  <si>
    <t>山水文苑S1地块1-3号楼、5-11号楼标准层工程量</t>
  </si>
  <si>
    <t>楼号</t>
  </si>
  <si>
    <t>地面、墙面</t>
  </si>
  <si>
    <t>部位</t>
  </si>
  <si>
    <t>规格</t>
  </si>
  <si>
    <t>单位</t>
  </si>
  <si>
    <t>面积</t>
  </si>
  <si>
    <t>层数</t>
  </si>
  <si>
    <t>单元数</t>
  </si>
  <si>
    <t>单价</t>
  </si>
  <si>
    <t>11#</t>
  </si>
  <si>
    <t>地面</t>
  </si>
  <si>
    <t>楼梯平台</t>
  </si>
  <si>
    <t>CT1  800*800</t>
  </si>
  <si>
    <t>m2</t>
  </si>
  <si>
    <t>梯段</t>
  </si>
  <si>
    <t>CT5</t>
  </si>
  <si>
    <t>侯梯厅、前室、走廊</t>
  </si>
  <si>
    <t>墙面</t>
  </si>
  <si>
    <t>汇总</t>
  </si>
  <si>
    <t>8#</t>
  </si>
  <si>
    <t>大堂</t>
  </si>
  <si>
    <t>地上</t>
  </si>
  <si>
    <t>踢脚</t>
  </si>
  <si>
    <t>楼梯间</t>
  </si>
  <si>
    <t xml:space="preserve">CT1 </t>
  </si>
  <si>
    <t>过门石</t>
  </si>
  <si>
    <t>CT2</t>
  </si>
  <si>
    <t>金属线条收口</t>
  </si>
  <si>
    <t>m</t>
  </si>
  <si>
    <t>石膏线</t>
  </si>
  <si>
    <t>电梯门套</t>
  </si>
  <si>
    <t>个</t>
  </si>
  <si>
    <t>地下</t>
  </si>
  <si>
    <t>2#</t>
  </si>
  <si>
    <t>7#</t>
  </si>
  <si>
    <t>7#地下一层</t>
  </si>
  <si>
    <t>7#地下二层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</si>
</sst>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9"/>
      <color rgb="FFFF0000"/>
      <name val="宋体"/>
      <charset val="134"/>
    </font>
    <font>
      <sz val="9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9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0"/>
      <name val="微软雅黑"/>
      <charset val="134"/>
    </font>
    <font>
      <sz val="8"/>
      <color rgb="FFFF0000"/>
      <name val="宋体"/>
      <charset val="134"/>
      <scheme val="minor"/>
    </font>
    <font>
      <sz val="8"/>
      <color rgb="FF000000"/>
      <name val="宋体"/>
      <charset val="134"/>
      <scheme val="minor"/>
    </font>
    <font>
      <sz val="9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0"/>
      <name val="宋体"/>
      <charset val="134"/>
      <scheme val="minor"/>
    </font>
    <font>
      <b/>
      <sz val="8"/>
      <name val="微软雅黑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color theme="1"/>
      <name val="宋体"/>
      <charset val="134"/>
      <scheme val="minor"/>
    </font>
    <font>
      <sz val="10"/>
      <name val="Arial"/>
      <charset val="1"/>
    </font>
  </fonts>
  <fills count="3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/>
    <xf numFmtId="0" fontId="0" fillId="14" borderId="7" applyNumberFormat="0" applyFont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5" fillId="18" borderId="10" applyNumberFormat="0" applyAlignment="0" applyProtection="0">
      <alignment vertical="center"/>
    </xf>
    <xf numFmtId="0" fontId="36" fillId="18" borderId="6" applyNumberFormat="0" applyAlignment="0" applyProtection="0">
      <alignment vertical="center"/>
    </xf>
    <xf numFmtId="0" fontId="37" fillId="19" borderId="11" applyNumberFormat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8" fillId="0" borderId="12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42" fillId="0" borderId="0"/>
    <xf numFmtId="0" fontId="43" fillId="0" borderId="0"/>
  </cellStyleXfs>
  <cellXfs count="1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18" applyFont="1" applyFill="1" applyBorder="1" applyAlignment="1">
      <alignment vertical="center" wrapText="1"/>
    </xf>
    <xf numFmtId="0" fontId="2" fillId="0" borderId="1" xfId="18" applyFont="1" applyFill="1" applyBorder="1" applyAlignment="1">
      <alignment horizontal="center" vertical="center" wrapText="1"/>
    </xf>
    <xf numFmtId="0" fontId="2" fillId="0" borderId="1" xfId="18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3" fillId="0" borderId="1" xfId="13" applyNumberFormat="1" applyFont="1" applyFill="1" applyBorder="1" applyAlignment="1">
      <alignment horizontal="center" vertical="center" wrapText="1"/>
    </xf>
    <xf numFmtId="176" fontId="4" fillId="0" borderId="1" xfId="52" applyNumberFormat="1" applyFont="1" applyFill="1" applyBorder="1" applyAlignment="1" applyProtection="1">
      <alignment horizontal="center" vertical="center" wrapText="1"/>
    </xf>
    <xf numFmtId="176" fontId="3" fillId="0" borderId="1" xfId="13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18" applyFont="1" applyFill="1" applyBorder="1" applyAlignment="1">
      <alignment horizontal="center" vertical="center" wrapText="1"/>
    </xf>
    <xf numFmtId="0" fontId="2" fillId="0" borderId="2" xfId="18" applyFont="1" applyFill="1" applyBorder="1" applyAlignment="1">
      <alignment vertical="center" wrapText="1"/>
    </xf>
    <xf numFmtId="0" fontId="2" fillId="0" borderId="1" xfId="18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3" xfId="18" applyFont="1" applyFill="1" applyBorder="1" applyAlignment="1">
      <alignment horizontal="center" vertical="center" wrapText="1"/>
    </xf>
    <xf numFmtId="0" fontId="2" fillId="0" borderId="1" xfId="18" applyFont="1" applyFill="1" applyBorder="1" applyAlignment="1">
      <alignment horizontal="left" vertical="center" wrapText="1"/>
    </xf>
    <xf numFmtId="0" fontId="2" fillId="0" borderId="1" xfId="18" applyFont="1" applyFill="1" applyBorder="1" applyAlignment="1">
      <alignment vertical="center" wrapText="1"/>
    </xf>
    <xf numFmtId="0" fontId="0" fillId="2" borderId="1" xfId="0" applyFill="1" applyBorder="1">
      <alignment vertical="center"/>
    </xf>
    <xf numFmtId="0" fontId="0" fillId="0" borderId="1" xfId="0" applyBorder="1">
      <alignment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4" borderId="1" xfId="0" applyFill="1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horizontal="center" vertical="center" wrapText="1"/>
    </xf>
    <xf numFmtId="176" fontId="0" fillId="0" borderId="1" xfId="0" applyNumberFormat="1" applyBorder="1">
      <alignment vertical="center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76" fontId="6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176" fontId="8" fillId="3" borderId="1" xfId="13" applyNumberFormat="1" applyFont="1" applyFill="1" applyBorder="1" applyAlignment="1">
      <alignment horizontal="center" vertical="center" wrapText="1"/>
    </xf>
    <xf numFmtId="176" fontId="8" fillId="3" borderId="1" xfId="52" applyNumberFormat="1" applyFont="1" applyFill="1" applyBorder="1" applyAlignment="1" applyProtection="1">
      <alignment horizontal="center" vertical="center" wrapText="1"/>
    </xf>
    <xf numFmtId="176" fontId="8" fillId="3" borderId="1" xfId="13" applyNumberFormat="1" applyFont="1" applyFill="1" applyBorder="1" applyAlignment="1" applyProtection="1">
      <alignment horizontal="center" vertical="center" wrapText="1"/>
    </xf>
    <xf numFmtId="0" fontId="0" fillId="3" borderId="2" xfId="0" applyFill="1" applyBorder="1" applyAlignment="1">
      <alignment vertical="center" wrapText="1"/>
    </xf>
    <xf numFmtId="176" fontId="6" fillId="3" borderId="1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5" borderId="1" xfId="0" applyFill="1" applyBorder="1">
      <alignment vertical="center"/>
    </xf>
    <xf numFmtId="0" fontId="9" fillId="0" borderId="1" xfId="0" applyFont="1" applyBorder="1">
      <alignment vertical="center"/>
    </xf>
    <xf numFmtId="176" fontId="0" fillId="0" borderId="1" xfId="0" applyNumberForma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6" fillId="6" borderId="4" xfId="0" applyFont="1" applyFill="1" applyBorder="1" applyAlignment="1">
      <alignment horizontal="center" vertical="center" wrapText="1"/>
    </xf>
    <xf numFmtId="176" fontId="6" fillId="6" borderId="4" xfId="0" applyNumberFormat="1" applyFont="1" applyFill="1" applyBorder="1" applyAlignment="1">
      <alignment horizontal="center" vertical="center" wrapText="1"/>
    </xf>
    <xf numFmtId="176" fontId="8" fillId="6" borderId="4" xfId="13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Alignment="1">
      <alignment horizontal="center" vertical="center"/>
    </xf>
    <xf numFmtId="176" fontId="0" fillId="0" borderId="0" xfId="11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0" fontId="13" fillId="7" borderId="1" xfId="0" applyFont="1" applyFill="1" applyBorder="1" applyAlignment="1">
      <alignment horizontal="center" vertical="center" wrapText="1"/>
    </xf>
    <xf numFmtId="10" fontId="13" fillId="7" borderId="1" xfId="0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2" fontId="14" fillId="8" borderId="1" xfId="0" applyNumberFormat="1" applyFont="1" applyFill="1" applyBorder="1" applyAlignment="1">
      <alignment horizontal="center" vertical="center"/>
    </xf>
    <xf numFmtId="0" fontId="15" fillId="8" borderId="1" xfId="0" applyFont="1" applyFill="1" applyBorder="1" applyAlignment="1">
      <alignment horizontal="center" vertical="center" wrapText="1"/>
    </xf>
    <xf numFmtId="2" fontId="14" fillId="8" borderId="1" xfId="0" applyNumberFormat="1" applyFont="1" applyFill="1" applyBorder="1" applyAlignment="1">
      <alignment horizontal="center" vertical="center" wrapText="1"/>
    </xf>
    <xf numFmtId="176" fontId="14" fillId="8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/>
    </xf>
    <xf numFmtId="10" fontId="16" fillId="0" borderId="1" xfId="0" applyNumberFormat="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0" fontId="16" fillId="0" borderId="1" xfId="11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10" fontId="17" fillId="0" borderId="0" xfId="0" applyNumberFormat="1" applyFont="1" applyAlignment="1">
      <alignment horizontal="left" vertical="center" wrapText="1"/>
    </xf>
    <xf numFmtId="0" fontId="18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10" fontId="18" fillId="0" borderId="0" xfId="0" applyNumberFormat="1" applyFont="1" applyFill="1" applyAlignment="1">
      <alignment vertical="center"/>
    </xf>
    <xf numFmtId="0" fontId="18" fillId="0" borderId="0" xfId="0" applyFont="1" applyFill="1" applyBorder="1" applyAlignment="1">
      <alignment horizontal="right" vertical="center" wrapText="1"/>
    </xf>
    <xf numFmtId="176" fontId="12" fillId="0" borderId="0" xfId="11" applyNumberFormat="1" applyFont="1" applyAlignment="1">
      <alignment horizontal="center" vertical="center"/>
    </xf>
    <xf numFmtId="176" fontId="13" fillId="7" borderId="1" xfId="11" applyNumberFormat="1" applyFont="1" applyFill="1" applyBorder="1" applyAlignment="1">
      <alignment horizontal="center" vertical="center" wrapText="1"/>
    </xf>
    <xf numFmtId="9" fontId="14" fillId="8" borderId="1" xfId="0" applyNumberFormat="1" applyFont="1" applyFill="1" applyBorder="1" applyAlignment="1">
      <alignment horizontal="center" vertical="center" wrapText="1"/>
    </xf>
    <xf numFmtId="176" fontId="14" fillId="8" borderId="1" xfId="11" applyNumberFormat="1" applyFont="1" applyFill="1" applyBorder="1" applyAlignment="1">
      <alignment horizontal="center" vertical="center" wrapText="1"/>
    </xf>
    <xf numFmtId="10" fontId="14" fillId="8" borderId="1" xfId="0" applyNumberFormat="1" applyFont="1" applyFill="1" applyBorder="1" applyAlignment="1">
      <alignment horizontal="center" vertical="center"/>
    </xf>
    <xf numFmtId="0" fontId="19" fillId="8" borderId="1" xfId="0" applyFont="1" applyFill="1" applyBorder="1" applyAlignment="1">
      <alignment horizontal="center" vertical="center" wrapText="1"/>
    </xf>
    <xf numFmtId="9" fontId="16" fillId="0" borderId="1" xfId="0" applyNumberFormat="1" applyFont="1" applyFill="1" applyBorder="1" applyAlignment="1">
      <alignment horizontal="center" vertical="center" wrapText="1"/>
    </xf>
    <xf numFmtId="10" fontId="16" fillId="0" borderId="1" xfId="0" applyNumberFormat="1" applyFont="1" applyFill="1" applyBorder="1" applyAlignment="1">
      <alignment horizontal="center" vertical="center"/>
    </xf>
    <xf numFmtId="176" fontId="20" fillId="0" borderId="1" xfId="11" applyNumberFormat="1" applyFont="1" applyFill="1" applyBorder="1" applyAlignment="1">
      <alignment horizontal="center" vertical="center"/>
    </xf>
    <xf numFmtId="10" fontId="20" fillId="0" borderId="1" xfId="0" applyNumberFormat="1" applyFont="1" applyFill="1" applyBorder="1" applyAlignment="1">
      <alignment horizontal="center" vertical="center"/>
    </xf>
    <xf numFmtId="176" fontId="17" fillId="0" borderId="0" xfId="11" applyNumberFormat="1" applyFont="1" applyAlignment="1">
      <alignment horizontal="left" vertical="center" wrapText="1"/>
    </xf>
    <xf numFmtId="0" fontId="18" fillId="0" borderId="0" xfId="0" applyFont="1" applyFill="1" applyAlignment="1">
      <alignment horizontal="center" vertical="center"/>
    </xf>
    <xf numFmtId="176" fontId="18" fillId="0" borderId="0" xfId="11" applyNumberFormat="1" applyFont="1" applyFill="1" applyAlignment="1">
      <alignment horizontal="center" vertical="center"/>
    </xf>
    <xf numFmtId="10" fontId="18" fillId="0" borderId="0" xfId="0" applyNumberFormat="1" applyFont="1" applyFill="1" applyAlignment="1">
      <alignment horizontal="left" vertical="top" wrapText="1"/>
    </xf>
    <xf numFmtId="0" fontId="18" fillId="0" borderId="0" xfId="0" applyFont="1" applyFill="1" applyAlignment="1">
      <alignment horizontal="left" vertical="top" wrapText="1"/>
    </xf>
    <xf numFmtId="176" fontId="18" fillId="0" borderId="0" xfId="11" applyNumberFormat="1" applyFont="1" applyFill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常规 5 2" xfId="18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常规 4" xf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2&#12289;&#12298;&#20215;&#26684;&#28165;&#21333;&#65306;&#26686;&#24029;&#23665;&#27700;&#25991;&#33489;s1&#22320;&#22359;1-11#&#27004;&#19968;&#23618;&#22823;&#22530;&#35013;&#20462;&#12289;&#20844;&#20849;&#21306;&#22495;&#35013;&#20462;&#12289;&#21333;&#20803;&#38376;&#22836;&#35013;&#20462;&#24037;&#31243;&#26045;&#65288;&#19981;&#21547;5#&#27004;&#19968;&#23618;&#22823;&#22530;&#21450;&#21333;&#20803;&#38376;&#22836;&#65289;&#12299;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2&#12289;&#12298;&#20215;&#26684;&#28165;&#21333;&#65306;&#26686;&#24029;&#23665;&#27700;&#25991;&#33489;s1&#22320;&#22359;1-11#&#27004;&#19968;&#23618;&#22823;&#22530;&#35013;&#20462;&#12289;&#20844;&#20849;&#21306;&#22495;&#35013;&#20462;&#12289;&#21333;&#20803;&#38376;&#22836;&#35013;&#20462;&#24037;&#31243;&#26045;&#65288;&#19981;&#21547;5#&#27004;&#19968;&#23618;&#22823;&#22530;&#21450;&#21333;&#20803;&#38376;&#22836;&#65289;&#1229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清单报价说明"/>
      <sheetName val="汇总表"/>
      <sheetName val="一层大堂精装工程-装饰"/>
      <sheetName val="一层大堂精装工程-安装"/>
      <sheetName val="公共区域装修工程"/>
      <sheetName val="单元门头装修工程"/>
      <sheetName val="门头钢结构工程量计算"/>
    </sheetNames>
    <sheetDataSet>
      <sheetData sheetId="0"/>
      <sheetData sheetId="1"/>
      <sheetData sheetId="2">
        <row r="8">
          <cell r="J8">
            <v>25</v>
          </cell>
        </row>
        <row r="10">
          <cell r="E10">
            <v>59.57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清单报价说明"/>
      <sheetName val="汇总表"/>
      <sheetName val="一层大堂精装工程-装饰"/>
      <sheetName val="一层大堂精装工程-安装"/>
      <sheetName val="公共区域装修工程"/>
      <sheetName val="单元门头装修工程"/>
      <sheetName val="门头钢结构工程量计算"/>
    </sheetNames>
    <sheetDataSet>
      <sheetData sheetId="0"/>
      <sheetData sheetId="1"/>
      <sheetData sheetId="2"/>
      <sheetData sheetId="3"/>
      <sheetData sheetId="4">
        <row r="6">
          <cell r="M6">
            <v>165.499496</v>
          </cell>
        </row>
        <row r="9">
          <cell r="M9">
            <v>169.03502</v>
          </cell>
        </row>
        <row r="10">
          <cell r="M10">
            <v>204.15918</v>
          </cell>
        </row>
        <row r="13">
          <cell r="M13">
            <v>169.03502</v>
          </cell>
        </row>
        <row r="14">
          <cell r="M14">
            <v>726.7466</v>
          </cell>
        </row>
        <row r="15">
          <cell r="M15">
            <v>16.1756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7"/>
  <sheetViews>
    <sheetView tabSelected="1" topLeftCell="A2" workbookViewId="0">
      <selection activeCell="J8" sqref="J8:J10"/>
    </sheetView>
  </sheetViews>
  <sheetFormatPr defaultColWidth="9" defaultRowHeight="13.5"/>
  <cols>
    <col min="1" max="1" width="4.375" style="69" customWidth="1"/>
    <col min="2" max="2" width="22.375" style="69" customWidth="1"/>
    <col min="3" max="3" width="11" style="69" customWidth="1"/>
    <col min="4" max="4" width="8.125" style="69" customWidth="1"/>
    <col min="5" max="5" width="7.5" style="69" customWidth="1"/>
    <col min="6" max="6" width="10.875" style="71" customWidth="1"/>
    <col min="7" max="7" width="7.125" style="69" customWidth="1"/>
    <col min="8" max="8" width="9.5" style="69" customWidth="1"/>
    <col min="9" max="9" width="9.625" style="69" customWidth="1"/>
    <col min="10" max="10" width="11.125" style="69" customWidth="1"/>
    <col min="11" max="11" width="7.25" style="72" customWidth="1"/>
    <col min="12" max="12" width="8.875" style="71" customWidth="1"/>
    <col min="13" max="13" width="7.25" style="69" customWidth="1"/>
    <col min="14" max="14" width="6.5" style="69" customWidth="1"/>
    <col min="15" max="15" width="8.625" style="69" customWidth="1"/>
    <col min="16" max="16384" width="9" style="69"/>
  </cols>
  <sheetData>
    <row r="1" s="69" customFormat="1" ht="43" customHeight="1" spans="1:15">
      <c r="A1" s="73" t="s">
        <v>0</v>
      </c>
      <c r="B1" s="74"/>
      <c r="C1" s="74"/>
      <c r="D1" s="74"/>
      <c r="E1" s="74"/>
      <c r="F1" s="75"/>
      <c r="G1" s="74"/>
      <c r="H1" s="74"/>
      <c r="I1" s="74"/>
      <c r="J1" s="74"/>
      <c r="K1" s="98"/>
      <c r="L1" s="75"/>
      <c r="M1" s="74"/>
      <c r="N1" s="74"/>
      <c r="O1" s="74"/>
    </row>
    <row r="2" s="69" customFormat="1" ht="38" customHeight="1" spans="1:15">
      <c r="A2" s="76" t="s">
        <v>1</v>
      </c>
      <c r="B2" s="76" t="s">
        <v>2</v>
      </c>
      <c r="C2" s="76" t="s">
        <v>3</v>
      </c>
      <c r="D2" s="76" t="s">
        <v>4</v>
      </c>
      <c r="E2" s="76" t="s">
        <v>5</v>
      </c>
      <c r="F2" s="77" t="s">
        <v>6</v>
      </c>
      <c r="G2" s="76"/>
      <c r="H2" s="76" t="s">
        <v>7</v>
      </c>
      <c r="I2" s="76"/>
      <c r="J2" s="76"/>
      <c r="K2" s="99" t="s">
        <v>8</v>
      </c>
      <c r="L2" s="77"/>
      <c r="M2" s="76" t="s">
        <v>9</v>
      </c>
      <c r="N2" s="76" t="s">
        <v>10</v>
      </c>
      <c r="O2" s="76" t="s">
        <v>11</v>
      </c>
    </row>
    <row r="3" s="69" customFormat="1" ht="28" customHeight="1" spans="1:15">
      <c r="A3" s="76"/>
      <c r="B3" s="76"/>
      <c r="C3" s="76"/>
      <c r="D3" s="76"/>
      <c r="E3" s="76"/>
      <c r="F3" s="77" t="s">
        <v>12</v>
      </c>
      <c r="G3" s="76" t="s">
        <v>13</v>
      </c>
      <c r="H3" s="76" t="s">
        <v>14</v>
      </c>
      <c r="I3" s="76" t="s">
        <v>15</v>
      </c>
      <c r="J3" s="76" t="s">
        <v>16</v>
      </c>
      <c r="K3" s="99" t="s">
        <v>17</v>
      </c>
      <c r="L3" s="77" t="s">
        <v>18</v>
      </c>
      <c r="M3" s="76"/>
      <c r="N3" s="76"/>
      <c r="O3" s="76"/>
    </row>
    <row r="4" s="69" customFormat="1" ht="24" customHeight="1" spans="1:15">
      <c r="A4" s="78"/>
      <c r="B4" s="78"/>
      <c r="C4" s="79" t="s">
        <v>19</v>
      </c>
      <c r="D4" s="80" t="s">
        <v>20</v>
      </c>
      <c r="E4" s="80" t="s">
        <v>20</v>
      </c>
      <c r="F4" s="81" t="s">
        <v>21</v>
      </c>
      <c r="G4" s="82" t="s">
        <v>22</v>
      </c>
      <c r="H4" s="81" t="s">
        <v>23</v>
      </c>
      <c r="I4" s="100" t="s">
        <v>24</v>
      </c>
      <c r="J4" s="82" t="s">
        <v>25</v>
      </c>
      <c r="K4" s="101" t="s">
        <v>26</v>
      </c>
      <c r="L4" s="102" t="s">
        <v>27</v>
      </c>
      <c r="M4" s="82" t="s">
        <v>28</v>
      </c>
      <c r="N4" s="82" t="s">
        <v>29</v>
      </c>
      <c r="O4" s="103" t="s">
        <v>30</v>
      </c>
    </row>
    <row r="5" s="69" customFormat="1" ht="24" customHeight="1" spans="1:15">
      <c r="A5" s="83">
        <v>1</v>
      </c>
      <c r="B5" s="84" t="s">
        <v>31</v>
      </c>
      <c r="C5" s="85">
        <f>45323.600570866*2</f>
        <v>90647.201141732</v>
      </c>
      <c r="D5" s="86"/>
      <c r="E5" s="83"/>
      <c r="F5" s="85">
        <f>(扣除墙地砖供货!L58+扣除墙地砖供货!L59)*0.8</f>
        <v>11756.90352</v>
      </c>
      <c r="G5" s="87"/>
      <c r="H5" s="87"/>
      <c r="I5" s="104">
        <v>0.8</v>
      </c>
      <c r="J5" s="90">
        <f>C5*I5-F5</f>
        <v>60760.8573933856</v>
      </c>
      <c r="K5" s="87"/>
      <c r="L5" s="105"/>
      <c r="M5" s="87"/>
      <c r="N5" s="87"/>
      <c r="O5" s="83"/>
    </row>
    <row r="6" s="69" customFormat="1" ht="24" customHeight="1" spans="1:15">
      <c r="A6" s="83">
        <v>2</v>
      </c>
      <c r="B6" s="84" t="s">
        <v>32</v>
      </c>
      <c r="C6" s="85">
        <f>39655.023168218*2</f>
        <v>79310.046336436</v>
      </c>
      <c r="D6" s="86"/>
      <c r="E6" s="83"/>
      <c r="F6" s="85">
        <f>(扣除墙地砖供货!L61+扣除墙地砖供货!L62)*0.8</f>
        <v>9705.5856</v>
      </c>
      <c r="G6" s="87"/>
      <c r="H6" s="87"/>
      <c r="I6" s="104">
        <v>0.8</v>
      </c>
      <c r="J6" s="90">
        <f>C6*I6-F6</f>
        <v>53742.4514691488</v>
      </c>
      <c r="K6" s="87"/>
      <c r="L6" s="105"/>
      <c r="M6" s="87"/>
      <c r="N6" s="87"/>
      <c r="O6" s="83"/>
    </row>
    <row r="7" s="69" customFormat="1" ht="24" customHeight="1" spans="1:15">
      <c r="A7" s="83">
        <v>3</v>
      </c>
      <c r="B7" s="84" t="s">
        <v>33</v>
      </c>
      <c r="C7" s="86">
        <f>'11#楼公共区域'!L20</f>
        <v>249144.47772932</v>
      </c>
      <c r="D7" s="86"/>
      <c r="E7" s="83"/>
      <c r="F7" s="85">
        <f>扣除墙地砖供货!L53</f>
        <v>82879.79</v>
      </c>
      <c r="G7" s="87"/>
      <c r="H7" s="87"/>
      <c r="I7" s="104">
        <v>0.8</v>
      </c>
      <c r="J7" s="90">
        <f>C7*I7-F7</f>
        <v>116435.792183456</v>
      </c>
      <c r="K7" s="87"/>
      <c r="L7" s="105"/>
      <c r="M7" s="87"/>
      <c r="N7" s="87"/>
      <c r="O7" s="83"/>
    </row>
    <row r="8" s="69" customFormat="1" ht="24" customHeight="1" spans="1:15">
      <c r="A8" s="83">
        <v>4</v>
      </c>
      <c r="B8" s="84" t="s">
        <v>34</v>
      </c>
      <c r="C8" s="86">
        <v>81111.7335082778</v>
      </c>
      <c r="D8" s="86"/>
      <c r="E8" s="83"/>
      <c r="F8" s="88"/>
      <c r="G8" s="87"/>
      <c r="H8" s="87"/>
      <c r="I8" s="104">
        <v>0.8</v>
      </c>
      <c r="J8" s="90">
        <f>C8*I8-F8</f>
        <v>64889.3868066222</v>
      </c>
      <c r="K8" s="87"/>
      <c r="L8" s="105"/>
      <c r="M8" s="87"/>
      <c r="N8" s="87"/>
      <c r="O8" s="83"/>
    </row>
    <row r="9" s="69" customFormat="1" ht="24" customHeight="1" spans="1:15">
      <c r="A9" s="83">
        <v>5</v>
      </c>
      <c r="B9" s="84" t="s">
        <v>35</v>
      </c>
      <c r="C9" s="86">
        <v>136356.63012181</v>
      </c>
      <c r="D9" s="86"/>
      <c r="E9" s="83"/>
      <c r="F9" s="88"/>
      <c r="G9" s="87"/>
      <c r="H9" s="87"/>
      <c r="I9" s="104">
        <v>0.8</v>
      </c>
      <c r="J9" s="90">
        <f>C9*I9-F9</f>
        <v>109085.304097448</v>
      </c>
      <c r="K9" s="87"/>
      <c r="L9" s="105"/>
      <c r="M9" s="87"/>
      <c r="N9" s="87"/>
      <c r="O9" s="83"/>
    </row>
    <row r="10" s="69" customFormat="1" ht="24" customHeight="1" spans="1:15">
      <c r="A10" s="83">
        <v>6</v>
      </c>
      <c r="B10" s="84" t="s">
        <v>36</v>
      </c>
      <c r="C10" s="86">
        <v>136356.63012181</v>
      </c>
      <c r="D10" s="86"/>
      <c r="E10" s="83"/>
      <c r="F10" s="88"/>
      <c r="G10" s="87"/>
      <c r="H10" s="87"/>
      <c r="I10" s="104">
        <v>0.8</v>
      </c>
      <c r="J10" s="90">
        <f>C10*I10-F10</f>
        <v>109085.304097448</v>
      </c>
      <c r="K10" s="87"/>
      <c r="L10" s="105"/>
      <c r="M10" s="87"/>
      <c r="N10" s="87"/>
      <c r="O10" s="83"/>
    </row>
    <row r="11" s="69" customFormat="1" ht="24" customHeight="1" spans="1:15">
      <c r="A11" s="83">
        <v>7</v>
      </c>
      <c r="B11" s="84" t="s">
        <v>37</v>
      </c>
      <c r="C11" s="86">
        <f>'2-7#楼墙地砖'!L34</f>
        <v>123473.18675</v>
      </c>
      <c r="D11" s="86"/>
      <c r="E11" s="83"/>
      <c r="F11" s="88"/>
      <c r="G11" s="87"/>
      <c r="H11" s="87"/>
      <c r="I11" s="104">
        <v>0.8</v>
      </c>
      <c r="J11" s="90">
        <f>C11*I11-F11</f>
        <v>98778.5494</v>
      </c>
      <c r="K11" s="87"/>
      <c r="L11" s="105"/>
      <c r="M11" s="87"/>
      <c r="N11" s="87"/>
      <c r="O11" s="83"/>
    </row>
    <row r="12" s="69" customFormat="1" ht="24" customHeight="1" spans="1:15">
      <c r="A12" s="83">
        <v>8</v>
      </c>
      <c r="B12" s="89" t="s">
        <v>38</v>
      </c>
      <c r="C12" s="87"/>
      <c r="D12" s="86"/>
      <c r="E12" s="83"/>
      <c r="F12" s="87"/>
      <c r="G12" s="87"/>
      <c r="H12" s="90"/>
      <c r="I12" s="104"/>
      <c r="J12" s="90">
        <f>SUM(J5:J11)</f>
        <v>612777.645447508</v>
      </c>
      <c r="K12" s="106"/>
      <c r="L12" s="107"/>
      <c r="M12" s="85"/>
      <c r="N12" s="87"/>
      <c r="O12" s="83"/>
    </row>
    <row r="13" s="70" customFormat="1" ht="41" customHeight="1" spans="1:15">
      <c r="A13" s="83">
        <v>9</v>
      </c>
      <c r="B13" s="83" t="s">
        <v>39</v>
      </c>
      <c r="C13" s="83"/>
      <c r="D13" s="83"/>
      <c r="E13" s="83"/>
      <c r="F13" s="91"/>
      <c r="G13" s="87"/>
      <c r="H13" s="87"/>
      <c r="I13" s="104"/>
      <c r="J13" s="85">
        <v>610000</v>
      </c>
      <c r="K13" s="87"/>
      <c r="L13" s="105"/>
      <c r="M13" s="85" t="s">
        <v>40</v>
      </c>
      <c r="N13" s="85" t="s">
        <v>41</v>
      </c>
      <c r="O13" s="86" t="s">
        <v>42</v>
      </c>
    </row>
    <row r="14" s="69" customFormat="1" ht="59" customHeight="1" spans="1:15">
      <c r="A14" s="92" t="s">
        <v>43</v>
      </c>
      <c r="B14" s="92"/>
      <c r="C14" s="92"/>
      <c r="D14" s="92"/>
      <c r="E14" s="92"/>
      <c r="F14" s="93"/>
      <c r="G14" s="92"/>
      <c r="H14" s="92"/>
      <c r="I14" s="92"/>
      <c r="J14" s="92"/>
      <c r="K14" s="108"/>
      <c r="L14" s="93"/>
      <c r="M14" s="92"/>
      <c r="N14" s="92"/>
      <c r="O14" s="92"/>
    </row>
    <row r="15" s="69" customFormat="1" ht="24.95" customHeight="1" spans="1:15">
      <c r="A15" s="92" t="s">
        <v>44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</row>
    <row r="16" s="69" customFormat="1" ht="26.25" customHeight="1" spans="1:15">
      <c r="A16" s="94"/>
      <c r="B16" s="95"/>
      <c r="C16" s="95"/>
      <c r="D16" s="95"/>
      <c r="E16" s="95"/>
      <c r="F16" s="96"/>
      <c r="G16" s="97" t="s">
        <v>45</v>
      </c>
      <c r="H16" s="97"/>
      <c r="I16" s="97"/>
      <c r="J16" s="109"/>
      <c r="K16" s="110"/>
      <c r="L16" s="111" t="s">
        <v>46</v>
      </c>
      <c r="M16" s="112"/>
      <c r="N16" s="95"/>
      <c r="O16" s="95"/>
    </row>
    <row r="17" s="69" customFormat="1" ht="28.5" customHeight="1" spans="1:15">
      <c r="A17" s="94"/>
      <c r="B17" s="95"/>
      <c r="C17" s="95"/>
      <c r="D17" s="95"/>
      <c r="E17" s="95"/>
      <c r="F17" s="96"/>
      <c r="J17" s="95"/>
      <c r="K17" s="113"/>
      <c r="L17" s="96"/>
      <c r="M17" s="95"/>
      <c r="N17" s="95"/>
      <c r="O17" s="95"/>
    </row>
  </sheetData>
  <mergeCells count="18">
    <mergeCell ref="A1:O1"/>
    <mergeCell ref="F2:G2"/>
    <mergeCell ref="H2:J2"/>
    <mergeCell ref="K2:L2"/>
    <mergeCell ref="B13:E13"/>
    <mergeCell ref="A14:O14"/>
    <mergeCell ref="A15:O15"/>
    <mergeCell ref="G16:I16"/>
    <mergeCell ref="J16:K16"/>
    <mergeCell ref="L16:M16"/>
    <mergeCell ref="A2:A3"/>
    <mergeCell ref="B2:B3"/>
    <mergeCell ref="C2:C3"/>
    <mergeCell ref="D2:D3"/>
    <mergeCell ref="E2:E3"/>
    <mergeCell ref="M2:M3"/>
    <mergeCell ref="N2:N3"/>
    <mergeCell ref="O2:O3"/>
  </mergeCells>
  <pageMargins left="0.357638888888889" right="0.357638888888889" top="0.236111111111111" bottom="0.0388888888888889" header="0.118055555555556" footer="0.156944444444444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7"/>
  <sheetViews>
    <sheetView topLeftCell="A36" workbookViewId="0">
      <selection activeCell="A48" sqref="A48:M53"/>
    </sheetView>
  </sheetViews>
  <sheetFormatPr defaultColWidth="9" defaultRowHeight="13.5"/>
  <cols>
    <col min="10" max="10" width="11.5"/>
    <col min="11" max="11" width="12.625" customWidth="1"/>
    <col min="12" max="12" width="12.625"/>
    <col min="13" max="13" width="14.125" customWidth="1"/>
  </cols>
  <sheetData>
    <row r="1" ht="57" customHeight="1" spans="1:12">
      <c r="A1" s="45" t="s">
        <v>47</v>
      </c>
      <c r="B1" s="45"/>
      <c r="C1" s="45"/>
      <c r="D1" s="45"/>
      <c r="E1" s="45"/>
      <c r="F1" s="45"/>
      <c r="G1" s="45"/>
      <c r="H1" s="45"/>
      <c r="I1" s="45"/>
      <c r="J1" s="45"/>
      <c r="K1" s="60"/>
      <c r="L1" s="60"/>
    </row>
    <row r="2" ht="27" spans="1:13">
      <c r="A2" s="46" t="s">
        <v>1</v>
      </c>
      <c r="B2" s="46" t="s">
        <v>48</v>
      </c>
      <c r="C2" s="46" t="s">
        <v>49</v>
      </c>
      <c r="D2" s="46" t="s">
        <v>50</v>
      </c>
      <c r="E2" s="46" t="s">
        <v>51</v>
      </c>
      <c r="F2" s="46" t="s">
        <v>52</v>
      </c>
      <c r="G2" s="46" t="s">
        <v>53</v>
      </c>
      <c r="H2" s="46" t="s">
        <v>54</v>
      </c>
      <c r="I2" s="46" t="s">
        <v>55</v>
      </c>
      <c r="J2" s="46" t="s">
        <v>38</v>
      </c>
      <c r="K2" s="60" t="s">
        <v>56</v>
      </c>
      <c r="L2" s="60" t="s">
        <v>38</v>
      </c>
      <c r="M2" s="31"/>
    </row>
    <row r="3" ht="34" customHeight="1" spans="1:13">
      <c r="A3" s="47"/>
      <c r="B3" s="47"/>
      <c r="C3" s="47"/>
      <c r="D3" s="47"/>
      <c r="E3" s="47"/>
      <c r="F3" s="47"/>
      <c r="G3" s="47"/>
      <c r="H3" s="47"/>
      <c r="I3" s="47"/>
      <c r="J3" s="47"/>
      <c r="K3" s="31"/>
      <c r="L3" s="61"/>
      <c r="M3" s="31"/>
    </row>
    <row r="4" spans="1:13">
      <c r="A4" s="33"/>
      <c r="B4" s="33"/>
      <c r="C4" s="34"/>
      <c r="D4" s="33"/>
      <c r="E4" s="33"/>
      <c r="F4" s="33"/>
      <c r="G4" s="33"/>
      <c r="H4" s="33"/>
      <c r="I4" s="33"/>
      <c r="J4" s="62"/>
      <c r="K4" s="63"/>
      <c r="L4" s="31"/>
      <c r="M4" s="31"/>
    </row>
    <row r="5" ht="18" customHeight="1" spans="1:13">
      <c r="A5" s="33"/>
      <c r="B5" s="33"/>
      <c r="C5" s="34"/>
      <c r="D5" s="33"/>
      <c r="E5" s="33"/>
      <c r="F5" s="33"/>
      <c r="G5" s="33"/>
      <c r="H5" s="33"/>
      <c r="I5" s="33"/>
      <c r="J5" s="62"/>
      <c r="K5" s="63"/>
      <c r="L5" s="31"/>
      <c r="M5" s="31"/>
    </row>
    <row r="6" ht="23" customHeight="1" spans="1:13">
      <c r="A6" s="33"/>
      <c r="B6" s="33"/>
      <c r="C6" s="41"/>
      <c r="D6" s="33"/>
      <c r="E6" s="33"/>
      <c r="F6" s="33"/>
      <c r="G6" s="33"/>
      <c r="H6" s="33"/>
      <c r="I6" s="33"/>
      <c r="J6" s="62"/>
      <c r="K6" s="64"/>
      <c r="L6" s="31"/>
      <c r="M6" s="31"/>
    </row>
    <row r="7" spans="1:13">
      <c r="A7" s="33"/>
      <c r="B7" s="33"/>
      <c r="C7" s="34"/>
      <c r="D7" s="33"/>
      <c r="E7" s="33"/>
      <c r="F7" s="33"/>
      <c r="G7" s="33"/>
      <c r="H7" s="33"/>
      <c r="I7" s="33"/>
      <c r="J7" s="62"/>
      <c r="K7" s="63"/>
      <c r="L7" s="31"/>
      <c r="M7" s="31"/>
    </row>
    <row r="8" ht="27" customHeight="1" spans="1:13">
      <c r="A8" s="33"/>
      <c r="B8" s="33"/>
      <c r="C8" s="34"/>
      <c r="D8" s="33"/>
      <c r="E8" s="33"/>
      <c r="F8" s="33"/>
      <c r="G8" s="33"/>
      <c r="H8" s="33"/>
      <c r="I8" s="33"/>
      <c r="J8" s="62"/>
      <c r="K8" s="64"/>
      <c r="L8" s="31"/>
      <c r="M8" s="31"/>
    </row>
    <row r="9" spans="1:13">
      <c r="A9" s="33"/>
      <c r="B9" s="33"/>
      <c r="C9" s="41"/>
      <c r="D9" s="33"/>
      <c r="E9" s="33"/>
      <c r="F9" s="33"/>
      <c r="G9" s="33"/>
      <c r="H9" s="33"/>
      <c r="I9" s="33"/>
      <c r="J9" s="62"/>
      <c r="K9" s="63"/>
      <c r="L9" s="31"/>
      <c r="M9" s="31"/>
    </row>
    <row r="10" spans="1:13">
      <c r="A10" s="33"/>
      <c r="B10" s="33"/>
      <c r="C10" s="39"/>
      <c r="D10" s="33"/>
      <c r="E10" s="40"/>
      <c r="F10" s="40"/>
      <c r="G10" s="33"/>
      <c r="H10" s="33"/>
      <c r="I10" s="33"/>
      <c r="J10" s="65"/>
      <c r="K10" s="31"/>
      <c r="L10" s="31"/>
      <c r="M10" s="31"/>
    </row>
    <row r="11" spans="1:13">
      <c r="A11" s="33"/>
      <c r="B11" s="33"/>
      <c r="C11" s="39"/>
      <c r="D11" s="33"/>
      <c r="E11" s="40"/>
      <c r="F11" s="40"/>
      <c r="G11" s="33"/>
      <c r="H11" s="33"/>
      <c r="I11" s="33"/>
      <c r="J11" s="65"/>
      <c r="K11" s="31"/>
      <c r="L11" s="31"/>
      <c r="M11" s="31"/>
    </row>
    <row r="12" spans="1:13">
      <c r="A12" s="33"/>
      <c r="B12" s="33"/>
      <c r="C12" s="39"/>
      <c r="D12" s="33"/>
      <c r="E12" s="33"/>
      <c r="F12" s="33"/>
      <c r="G12" s="33"/>
      <c r="H12" s="33"/>
      <c r="I12" s="33"/>
      <c r="J12" s="65"/>
      <c r="K12" s="31"/>
      <c r="L12" s="31"/>
      <c r="M12" s="31"/>
    </row>
    <row r="13" spans="1:13">
      <c r="A13" s="33"/>
      <c r="B13" s="33"/>
      <c r="C13" s="41"/>
      <c r="D13" s="33"/>
      <c r="E13" s="33"/>
      <c r="F13" s="33"/>
      <c r="G13" s="33"/>
      <c r="H13" s="33"/>
      <c r="I13" s="33"/>
      <c r="J13" s="65"/>
      <c r="K13" s="31"/>
      <c r="L13" s="31"/>
      <c r="M13" s="31"/>
    </row>
    <row r="14" spans="1:13">
      <c r="A14" s="33"/>
      <c r="B14" s="33"/>
      <c r="C14" s="39"/>
      <c r="D14" s="33"/>
      <c r="E14" s="40"/>
      <c r="F14" s="40"/>
      <c r="G14" s="48"/>
      <c r="H14" s="33"/>
      <c r="I14" s="33"/>
      <c r="J14" s="65"/>
      <c r="K14" s="31"/>
      <c r="L14" s="31"/>
      <c r="M14" s="31"/>
    </row>
    <row r="15" spans="1:13">
      <c r="A15" s="33"/>
      <c r="B15" s="33"/>
      <c r="C15" s="39"/>
      <c r="D15" s="33"/>
      <c r="E15" s="40"/>
      <c r="F15" s="40"/>
      <c r="G15" s="48"/>
      <c r="H15" s="33"/>
      <c r="I15" s="33"/>
      <c r="J15" s="65"/>
      <c r="K15" s="31"/>
      <c r="L15" s="31"/>
      <c r="M15" s="31"/>
    </row>
    <row r="16" spans="1:13">
      <c r="A16" s="33"/>
      <c r="B16" s="33"/>
      <c r="C16" s="39"/>
      <c r="D16" s="33"/>
      <c r="E16" s="40"/>
      <c r="F16" s="33"/>
      <c r="G16" s="48"/>
      <c r="H16" s="33"/>
      <c r="I16" s="33"/>
      <c r="J16" s="65"/>
      <c r="K16" s="31"/>
      <c r="L16" s="31"/>
      <c r="M16" s="31"/>
    </row>
    <row r="17" spans="1:13">
      <c r="A17" s="33"/>
      <c r="B17" s="33"/>
      <c r="C17" s="41"/>
      <c r="D17" s="33"/>
      <c r="E17" s="40"/>
      <c r="F17" s="33"/>
      <c r="G17" s="48"/>
      <c r="H17" s="33"/>
      <c r="I17" s="33"/>
      <c r="J17" s="65"/>
      <c r="K17" s="31"/>
      <c r="L17" s="31"/>
      <c r="M17" s="31"/>
    </row>
    <row r="18" spans="1:13">
      <c r="A18" s="33"/>
      <c r="B18" s="33"/>
      <c r="C18" s="39"/>
      <c r="D18" s="33"/>
      <c r="E18" s="40"/>
      <c r="F18" s="33"/>
      <c r="G18" s="48"/>
      <c r="H18" s="33"/>
      <c r="I18" s="33"/>
      <c r="J18" s="66"/>
      <c r="K18" s="31"/>
      <c r="L18" s="31"/>
      <c r="M18" s="31"/>
    </row>
    <row r="19" spans="1:13">
      <c r="A19" s="33"/>
      <c r="B19" s="33"/>
      <c r="C19" s="39"/>
      <c r="D19" s="33"/>
      <c r="E19" s="40"/>
      <c r="F19" s="33"/>
      <c r="G19" s="48"/>
      <c r="H19" s="33"/>
      <c r="I19" s="33"/>
      <c r="J19" s="66"/>
      <c r="K19" s="31"/>
      <c r="L19" s="31"/>
      <c r="M19" s="31"/>
    </row>
    <row r="20" spans="1:13">
      <c r="A20" s="33"/>
      <c r="B20" s="33"/>
      <c r="C20" s="39"/>
      <c r="D20" s="33"/>
      <c r="E20" s="40"/>
      <c r="F20" s="33"/>
      <c r="G20" s="48"/>
      <c r="H20" s="33"/>
      <c r="I20" s="33"/>
      <c r="J20" s="66"/>
      <c r="K20" s="31"/>
      <c r="L20" s="31"/>
      <c r="M20" s="31"/>
    </row>
    <row r="21" spans="1:13">
      <c r="A21" s="33"/>
      <c r="B21" s="33"/>
      <c r="C21" s="41"/>
      <c r="D21" s="33"/>
      <c r="E21" s="40"/>
      <c r="F21" s="33"/>
      <c r="G21" s="48"/>
      <c r="H21" s="33"/>
      <c r="I21" s="33"/>
      <c r="J21" s="66"/>
      <c r="K21" s="31"/>
      <c r="L21" s="31"/>
      <c r="M21" s="31"/>
    </row>
    <row r="22" ht="24" spans="1:13">
      <c r="A22" s="33">
        <v>1</v>
      </c>
      <c r="B22" s="33" t="s">
        <v>57</v>
      </c>
      <c r="C22" s="39" t="s">
        <v>58</v>
      </c>
      <c r="D22" s="33" t="s">
        <v>59</v>
      </c>
      <c r="E22" s="40" t="s">
        <v>60</v>
      </c>
      <c r="F22" s="40" t="s">
        <v>61</v>
      </c>
      <c r="G22" s="33">
        <v>3.125</v>
      </c>
      <c r="H22" s="33">
        <v>8</v>
      </c>
      <c r="I22" s="33">
        <v>2</v>
      </c>
      <c r="J22" s="65">
        <f>I22*H22*G22</f>
        <v>50</v>
      </c>
      <c r="K22" s="31"/>
      <c r="L22" s="31"/>
      <c r="M22" s="31"/>
    </row>
    <row r="23" spans="1:13">
      <c r="A23" s="33">
        <v>2</v>
      </c>
      <c r="B23" s="33"/>
      <c r="C23" s="39" t="s">
        <v>58</v>
      </c>
      <c r="D23" s="33" t="s">
        <v>62</v>
      </c>
      <c r="E23" s="40" t="s">
        <v>63</v>
      </c>
      <c r="F23" s="40" t="s">
        <v>61</v>
      </c>
      <c r="G23" s="33">
        <f>2.496*2</f>
        <v>4.992</v>
      </c>
      <c r="H23" s="33">
        <v>8</v>
      </c>
      <c r="I23" s="33">
        <v>2</v>
      </c>
      <c r="J23" s="65">
        <f>I23*H23*G23</f>
        <v>79.872</v>
      </c>
      <c r="K23" s="31"/>
      <c r="L23" s="31"/>
      <c r="M23" s="31"/>
    </row>
    <row r="24" ht="24" spans="1:13">
      <c r="A24" s="33">
        <v>4</v>
      </c>
      <c r="B24" s="33"/>
      <c r="C24" s="39" t="s">
        <v>58</v>
      </c>
      <c r="D24" s="33" t="s">
        <v>64</v>
      </c>
      <c r="E24" s="33" t="s">
        <v>60</v>
      </c>
      <c r="F24" s="33" t="s">
        <v>61</v>
      </c>
      <c r="G24" s="33">
        <v>14.333</v>
      </c>
      <c r="H24" s="33">
        <v>8</v>
      </c>
      <c r="I24" s="33">
        <v>2</v>
      </c>
      <c r="J24" s="65">
        <f>I24*H24*G24+8</f>
        <v>237.328</v>
      </c>
      <c r="K24" s="31"/>
      <c r="L24" s="31"/>
      <c r="M24" s="31"/>
    </row>
    <row r="25" ht="24" spans="1:13">
      <c r="A25" s="33">
        <v>6</v>
      </c>
      <c r="B25" s="33"/>
      <c r="C25" s="41" t="s">
        <v>65</v>
      </c>
      <c r="D25" s="33" t="s">
        <v>64</v>
      </c>
      <c r="E25" s="33"/>
      <c r="F25" s="33" t="s">
        <v>61</v>
      </c>
      <c r="G25" s="33">
        <f>(1.67*2.65-1.74+5.3*0.08)*2+1.74*2.65-2.75+6.99+1.44*2.65-2.7+9.15-1.34+6.395-2.755+6.395-2.755-0.075+9.115-1.34</f>
        <v>38.976</v>
      </c>
      <c r="H25" s="33">
        <v>8</v>
      </c>
      <c r="I25" s="33">
        <v>2</v>
      </c>
      <c r="J25" s="65">
        <f>I25*H25*G25</f>
        <v>623.616</v>
      </c>
      <c r="K25" s="31"/>
      <c r="L25" s="31"/>
      <c r="M25" s="31"/>
    </row>
    <row r="26" ht="30" customHeight="1" spans="1:13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31"/>
      <c r="L26" s="31"/>
      <c r="M26" s="31"/>
    </row>
    <row r="27" spans="1:13">
      <c r="A27" s="36"/>
      <c r="B27" s="36"/>
      <c r="C27" s="42"/>
      <c r="D27" s="36"/>
      <c r="E27" s="32"/>
      <c r="F27" s="32"/>
      <c r="G27" s="50"/>
      <c r="H27" s="36"/>
      <c r="I27" s="36"/>
      <c r="J27" s="67"/>
      <c r="K27" s="31"/>
      <c r="L27" s="31"/>
      <c r="M27" s="31"/>
    </row>
    <row r="28" spans="1:13">
      <c r="A28" s="36"/>
      <c r="B28" s="36"/>
      <c r="C28" s="42"/>
      <c r="D28" s="36"/>
      <c r="E28" s="32"/>
      <c r="F28" s="32"/>
      <c r="G28" s="50"/>
      <c r="H28" s="36"/>
      <c r="I28" s="36"/>
      <c r="J28" s="67"/>
      <c r="K28" s="31"/>
      <c r="L28" s="31"/>
      <c r="M28" s="31"/>
    </row>
    <row r="29" spans="1:13">
      <c r="A29" s="36"/>
      <c r="B29" s="36"/>
      <c r="C29" s="42"/>
      <c r="D29" s="36"/>
      <c r="E29" s="36"/>
      <c r="F29" s="36"/>
      <c r="G29" s="51"/>
      <c r="H29" s="36"/>
      <c r="I29" s="36"/>
      <c r="J29" s="67"/>
      <c r="K29" s="31"/>
      <c r="L29" s="31"/>
      <c r="M29" s="31"/>
    </row>
    <row r="30" spans="1:13">
      <c r="A30" s="36"/>
      <c r="B30" s="36"/>
      <c r="C30" s="35"/>
      <c r="D30" s="36"/>
      <c r="E30" s="36"/>
      <c r="F30" s="36"/>
      <c r="G30" s="52"/>
      <c r="H30" s="36"/>
      <c r="I30" s="36"/>
      <c r="J30" s="67"/>
      <c r="K30" s="31"/>
      <c r="L30" s="31"/>
      <c r="M30" s="31"/>
    </row>
    <row r="31" spans="1:13">
      <c r="A31" s="36"/>
      <c r="B31" s="36"/>
      <c r="C31" s="42"/>
      <c r="D31" s="36"/>
      <c r="E31" s="32"/>
      <c r="F31" s="32"/>
      <c r="G31" s="36"/>
      <c r="H31" s="36"/>
      <c r="I31" s="36"/>
      <c r="J31" s="65"/>
      <c r="K31" s="31"/>
      <c r="L31" s="31"/>
      <c r="M31" s="31"/>
    </row>
    <row r="32" spans="1:13">
      <c r="A32" s="36"/>
      <c r="B32" s="36"/>
      <c r="C32" s="42"/>
      <c r="D32" s="36"/>
      <c r="E32" s="32"/>
      <c r="F32" s="32"/>
      <c r="G32" s="36"/>
      <c r="H32" s="36"/>
      <c r="I32" s="36"/>
      <c r="J32" s="65"/>
      <c r="K32" s="31"/>
      <c r="L32" s="31"/>
      <c r="M32" s="31"/>
    </row>
    <row r="33" spans="1:13">
      <c r="A33" s="36"/>
      <c r="B33" s="36"/>
      <c r="C33" s="42"/>
      <c r="D33" s="36"/>
      <c r="E33" s="36"/>
      <c r="F33" s="36"/>
      <c r="G33" s="36"/>
      <c r="H33" s="36"/>
      <c r="I33" s="36"/>
      <c r="J33" s="65"/>
      <c r="K33" s="31"/>
      <c r="L33" s="31"/>
      <c r="M33" s="31"/>
    </row>
    <row r="34" spans="1:13">
      <c r="A34" s="36"/>
      <c r="B34" s="36"/>
      <c r="C34" s="35"/>
      <c r="D34" s="36"/>
      <c r="E34" s="36"/>
      <c r="F34" s="36"/>
      <c r="G34" s="36"/>
      <c r="H34" s="36"/>
      <c r="I34" s="36"/>
      <c r="J34" s="65"/>
      <c r="K34" s="31"/>
      <c r="L34" s="31"/>
      <c r="M34" s="31"/>
    </row>
    <row r="35" spans="1:13">
      <c r="A35" s="36"/>
      <c r="B35" s="32"/>
      <c r="C35" s="42"/>
      <c r="D35" s="36"/>
      <c r="E35" s="53"/>
      <c r="F35" s="36"/>
      <c r="G35" s="54"/>
      <c r="H35" s="36"/>
      <c r="I35" s="36"/>
      <c r="J35" s="66"/>
      <c r="K35" s="31"/>
      <c r="L35" s="31"/>
      <c r="M35" s="31"/>
    </row>
    <row r="36" spans="1:13">
      <c r="A36" s="36"/>
      <c r="B36" s="55"/>
      <c r="C36" s="42"/>
      <c r="D36" s="36"/>
      <c r="E36" s="53"/>
      <c r="F36" s="36"/>
      <c r="G36" s="54"/>
      <c r="H36" s="36"/>
      <c r="I36" s="36"/>
      <c r="J36" s="66"/>
      <c r="K36" s="31"/>
      <c r="L36" s="31"/>
      <c r="M36" s="31"/>
    </row>
    <row r="37" spans="1:13">
      <c r="A37" s="36"/>
      <c r="B37" s="55"/>
      <c r="C37" s="42"/>
      <c r="D37" s="36"/>
      <c r="E37" s="53"/>
      <c r="F37" s="36"/>
      <c r="G37" s="54"/>
      <c r="H37" s="36"/>
      <c r="I37" s="36"/>
      <c r="J37" s="66"/>
      <c r="K37" s="31"/>
      <c r="L37" s="31"/>
      <c r="M37" s="31"/>
    </row>
    <row r="38" spans="1:13">
      <c r="A38" s="36"/>
      <c r="B38" s="55"/>
      <c r="C38" s="42"/>
      <c r="D38" s="36"/>
      <c r="E38" s="53"/>
      <c r="F38" s="36"/>
      <c r="G38" s="54"/>
      <c r="H38" s="36"/>
      <c r="I38" s="36"/>
      <c r="J38" s="66"/>
      <c r="K38" s="31"/>
      <c r="L38" s="31"/>
      <c r="M38" s="31"/>
    </row>
    <row r="39" spans="1:13">
      <c r="A39" s="36"/>
      <c r="B39" s="55"/>
      <c r="C39" s="35"/>
      <c r="D39" s="36"/>
      <c r="E39" s="53"/>
      <c r="F39" s="36"/>
      <c r="G39" s="36"/>
      <c r="H39" s="36"/>
      <c r="I39" s="36"/>
      <c r="J39" s="66"/>
      <c r="K39" s="31"/>
      <c r="L39" s="31"/>
      <c r="M39" s="31"/>
    </row>
    <row r="40" ht="24" spans="1:13">
      <c r="A40" s="36">
        <v>1</v>
      </c>
      <c r="B40" s="36" t="s">
        <v>57</v>
      </c>
      <c r="C40" s="42" t="s">
        <v>58</v>
      </c>
      <c r="D40" s="36" t="s">
        <v>59</v>
      </c>
      <c r="E40" s="32" t="s">
        <v>60</v>
      </c>
      <c r="F40" s="32" t="s">
        <v>61</v>
      </c>
      <c r="G40" s="36">
        <f>(1.25+1.24)*1.2+(1.67+1.25)*2.5</f>
        <v>10.288</v>
      </c>
      <c r="H40" s="36">
        <v>1</v>
      </c>
      <c r="I40" s="36">
        <v>2</v>
      </c>
      <c r="J40" s="65">
        <f>I40*H40*G40</f>
        <v>20.576</v>
      </c>
      <c r="K40" s="31"/>
      <c r="L40" s="31"/>
      <c r="M40" s="31"/>
    </row>
    <row r="41" spans="1:13">
      <c r="A41" s="36">
        <v>2</v>
      </c>
      <c r="B41" s="36"/>
      <c r="C41" s="42" t="s">
        <v>58</v>
      </c>
      <c r="D41" s="36" t="s">
        <v>62</v>
      </c>
      <c r="E41" s="32" t="s">
        <v>63</v>
      </c>
      <c r="F41" s="32" t="s">
        <v>61</v>
      </c>
      <c r="G41" s="36">
        <f>1.2*(14+12)</f>
        <v>31.2</v>
      </c>
      <c r="H41" s="36">
        <v>1</v>
      </c>
      <c r="I41" s="36">
        <v>2</v>
      </c>
      <c r="J41" s="65">
        <f>I41*H41*G41</f>
        <v>62.4</v>
      </c>
      <c r="K41" s="31"/>
      <c r="L41" s="31"/>
      <c r="M41" s="31"/>
    </row>
    <row r="42" ht="24" spans="1:13">
      <c r="A42" s="36">
        <v>4</v>
      </c>
      <c r="B42" s="36"/>
      <c r="C42" s="42" t="s">
        <v>58</v>
      </c>
      <c r="D42" s="36" t="s">
        <v>64</v>
      </c>
      <c r="E42" s="36" t="s">
        <v>60</v>
      </c>
      <c r="F42" s="36" t="s">
        <v>61</v>
      </c>
      <c r="G42" s="36">
        <f>12.84+12.283+4.757</f>
        <v>29.88</v>
      </c>
      <c r="H42" s="36">
        <v>1</v>
      </c>
      <c r="I42" s="36">
        <v>2</v>
      </c>
      <c r="J42" s="65">
        <f>I42*H42*G42+2.092</f>
        <v>61.852</v>
      </c>
      <c r="K42" s="31"/>
      <c r="L42" s="31"/>
      <c r="M42" s="31"/>
    </row>
    <row r="43" ht="24" spans="1:13">
      <c r="A43" s="32">
        <v>6</v>
      </c>
      <c r="B43" s="32"/>
      <c r="C43" s="56" t="s">
        <v>65</v>
      </c>
      <c r="D43" s="32" t="s">
        <v>64</v>
      </c>
      <c r="E43" s="32"/>
      <c r="F43" s="32" t="s">
        <v>61</v>
      </c>
      <c r="G43" s="32">
        <f>0.5*2.4+16.896-2.184-2.496+4.177-2.184+16.896-1.47+3.455+8.496-1.47+3.455-2.184+8.568-2.496-2.184+2.34*2.4+1.1*2.4</f>
        <v>54.731</v>
      </c>
      <c r="H43" s="32">
        <v>1</v>
      </c>
      <c r="I43" s="32">
        <v>2</v>
      </c>
      <c r="J43" s="68">
        <f>I43*H43*G43</f>
        <v>109.462</v>
      </c>
      <c r="K43" s="31"/>
      <c r="L43" s="31"/>
      <c r="M43" s="31"/>
    </row>
    <row r="44" spans="1:13">
      <c r="A44" s="36"/>
      <c r="B44" s="36"/>
      <c r="C44" s="57"/>
      <c r="D44" s="36"/>
      <c r="E44" s="58"/>
      <c r="F44" s="36"/>
      <c r="G44" s="54"/>
      <c r="H44" s="36"/>
      <c r="I44" s="36"/>
      <c r="J44" s="66"/>
      <c r="K44" s="31"/>
      <c r="L44" s="31"/>
      <c r="M44" s="31"/>
    </row>
    <row r="45" spans="1:13">
      <c r="A45" s="36"/>
      <c r="B45" s="36"/>
      <c r="C45" s="57"/>
      <c r="D45" s="36"/>
      <c r="E45" s="58"/>
      <c r="F45" s="36"/>
      <c r="G45" s="54"/>
      <c r="H45" s="36"/>
      <c r="I45" s="36"/>
      <c r="J45" s="66"/>
      <c r="K45" s="31"/>
      <c r="L45" s="31"/>
      <c r="M45" s="31"/>
    </row>
    <row r="46" spans="1:13">
      <c r="A46" s="36"/>
      <c r="B46" s="36"/>
      <c r="C46" s="57"/>
      <c r="D46" s="36"/>
      <c r="E46" s="58"/>
      <c r="F46" s="36"/>
      <c r="G46" s="54"/>
      <c r="H46" s="36"/>
      <c r="I46" s="36"/>
      <c r="J46" s="66"/>
      <c r="K46" s="31"/>
      <c r="L46" s="31"/>
      <c r="M46" s="31"/>
    </row>
    <row r="47" spans="1:13">
      <c r="A47" s="36"/>
      <c r="B47" s="36"/>
      <c r="C47" s="35"/>
      <c r="D47" s="36"/>
      <c r="E47" s="58"/>
      <c r="F47" s="36"/>
      <c r="G47" s="36"/>
      <c r="H47" s="36"/>
      <c r="I47" s="36"/>
      <c r="J47" s="66"/>
      <c r="K47" s="31"/>
      <c r="L47" s="31"/>
      <c r="M47" s="31"/>
    </row>
    <row r="48" ht="27" customHeight="1" spans="1:13">
      <c r="A48" s="30" t="s">
        <v>66</v>
      </c>
      <c r="B48" s="31"/>
      <c r="C48" s="31"/>
      <c r="D48" s="31"/>
      <c r="E48" s="32"/>
      <c r="F48" s="31"/>
      <c r="G48" s="31"/>
      <c r="H48" s="31"/>
      <c r="I48" s="31"/>
      <c r="J48" s="31"/>
      <c r="K48" s="31"/>
      <c r="L48" s="31"/>
      <c r="M48" s="31"/>
    </row>
    <row r="49" ht="27" customHeight="1" spans="1:13">
      <c r="A49" s="31"/>
      <c r="B49" s="31"/>
      <c r="C49" s="33" t="s">
        <v>59</v>
      </c>
      <c r="D49" s="33" t="s">
        <v>59</v>
      </c>
      <c r="E49" s="33" t="s">
        <v>60</v>
      </c>
      <c r="F49" s="31"/>
      <c r="G49" s="31"/>
      <c r="H49" s="31"/>
      <c r="I49" s="31"/>
      <c r="J49" s="31">
        <f>J10+J14+J18+J22+J27+J31+J35+J40+J44-J4</f>
        <v>70.576</v>
      </c>
      <c r="K49" s="31">
        <v>65</v>
      </c>
      <c r="L49" s="31">
        <f>J49*K49</f>
        <v>4587.44</v>
      </c>
      <c r="M49" s="31"/>
    </row>
    <row r="50" ht="27" customHeight="1" spans="1:13">
      <c r="A50" s="31"/>
      <c r="B50" s="31"/>
      <c r="C50" s="34" t="s">
        <v>58</v>
      </c>
      <c r="D50" s="33" t="s">
        <v>62</v>
      </c>
      <c r="E50" s="33" t="s">
        <v>63</v>
      </c>
      <c r="F50" s="31"/>
      <c r="G50" s="31"/>
      <c r="H50" s="31"/>
      <c r="I50" s="31"/>
      <c r="J50" s="31">
        <f>J45+J41+J36+J32+J28+J23+J19+J15+J11-J5</f>
        <v>142.272</v>
      </c>
      <c r="K50" s="31">
        <v>85</v>
      </c>
      <c r="L50" s="31">
        <f>J50*K50</f>
        <v>12093.12</v>
      </c>
      <c r="M50" s="31"/>
    </row>
    <row r="51" ht="27" customHeight="1" spans="1:13">
      <c r="A51" s="31"/>
      <c r="B51" s="31"/>
      <c r="C51" s="34" t="s">
        <v>58</v>
      </c>
      <c r="D51" s="33" t="s">
        <v>64</v>
      </c>
      <c r="E51" s="33" t="s">
        <v>60</v>
      </c>
      <c r="F51" s="31"/>
      <c r="G51" s="31"/>
      <c r="H51" s="31"/>
      <c r="I51" s="31"/>
      <c r="J51" s="31">
        <f>J46+J42+J38+J37+J33+J29+J24+J20+J16+J12-J7</f>
        <v>299.18</v>
      </c>
      <c r="K51" s="31">
        <v>62</v>
      </c>
      <c r="L51" s="31">
        <f>J51*K51</f>
        <v>18549.16</v>
      </c>
      <c r="M51" s="31"/>
    </row>
    <row r="52" ht="27" customHeight="1" spans="1:13">
      <c r="A52" s="31"/>
      <c r="B52" s="31"/>
      <c r="C52" s="35" t="s">
        <v>65</v>
      </c>
      <c r="D52" s="36" t="s">
        <v>64</v>
      </c>
      <c r="E52" s="31"/>
      <c r="F52" s="31"/>
      <c r="G52" s="31"/>
      <c r="H52" s="31"/>
      <c r="I52" s="31"/>
      <c r="J52" s="31">
        <f>J47+J43+J39+J34+J30+J25+J21+J17+J13-J9</f>
        <v>733.078</v>
      </c>
      <c r="K52" s="31">
        <v>65</v>
      </c>
      <c r="L52" s="31">
        <f>J52*K52</f>
        <v>47650.07</v>
      </c>
      <c r="M52" s="31"/>
    </row>
    <row r="53" ht="27" customHeight="1" spans="1:13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>
        <f>L49+L50+L51+L52</f>
        <v>82879.79</v>
      </c>
      <c r="M53" s="37"/>
    </row>
    <row r="54" ht="27" customHeight="1" spans="1:13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</row>
    <row r="55" ht="27" customHeight="1" spans="1:13">
      <c r="A55" s="31"/>
      <c r="B55" s="31"/>
      <c r="C55" s="34"/>
      <c r="D55" s="31"/>
      <c r="E55" s="31"/>
      <c r="F55" s="31"/>
      <c r="G55" s="31"/>
      <c r="H55" s="31"/>
      <c r="I55" s="31"/>
      <c r="J55" s="31"/>
      <c r="K55" s="31"/>
      <c r="L55" s="31"/>
      <c r="M55" s="31"/>
    </row>
    <row r="56" ht="27" customHeight="1" spans="1:13">
      <c r="A56" s="31"/>
      <c r="B56" s="31"/>
      <c r="C56" s="35"/>
      <c r="D56" s="31"/>
      <c r="E56" s="31"/>
      <c r="F56" s="31"/>
      <c r="G56" s="31"/>
      <c r="H56" s="31"/>
      <c r="I56" s="31"/>
      <c r="J56" s="31"/>
      <c r="K56" s="31"/>
      <c r="L56" s="31"/>
      <c r="M56" s="31"/>
    </row>
    <row r="57" ht="27" customHeight="1" spans="1:13">
      <c r="A57" s="31" t="s">
        <v>67</v>
      </c>
      <c r="B57" s="31" t="s">
        <v>68</v>
      </c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</row>
    <row r="58" ht="27" customHeight="1" spans="1:13">
      <c r="A58" s="31"/>
      <c r="B58" s="31"/>
      <c r="C58" s="34" t="s">
        <v>58</v>
      </c>
      <c r="D58" s="31"/>
      <c r="E58" s="31"/>
      <c r="F58" s="31"/>
      <c r="G58" s="31">
        <v>30.245</v>
      </c>
      <c r="H58" s="31"/>
      <c r="I58" s="31">
        <v>2</v>
      </c>
      <c r="J58" s="31">
        <f t="shared" ref="J58:J62" si="0">I58*G58</f>
        <v>60.49</v>
      </c>
      <c r="K58" s="31">
        <v>84.66</v>
      </c>
      <c r="L58" s="31">
        <f t="shared" ref="L55:L59" si="1">K58*J58</f>
        <v>5121.0834</v>
      </c>
      <c r="M58" s="31"/>
    </row>
    <row r="59" ht="27" customHeight="1" spans="1:13">
      <c r="A59" s="31"/>
      <c r="B59" s="31"/>
      <c r="C59" s="35" t="s">
        <v>65</v>
      </c>
      <c r="D59" s="31"/>
      <c r="E59" s="31"/>
      <c r="F59" s="31"/>
      <c r="G59" s="31">
        <v>72.21</v>
      </c>
      <c r="H59" s="31"/>
      <c r="I59" s="31">
        <v>2</v>
      </c>
      <c r="J59" s="31">
        <f t="shared" si="0"/>
        <v>144.42</v>
      </c>
      <c r="K59" s="31">
        <v>66.3</v>
      </c>
      <c r="L59" s="31">
        <f t="shared" si="1"/>
        <v>9575.046</v>
      </c>
      <c r="M59" s="31"/>
    </row>
    <row r="60" ht="27" customHeight="1" spans="1:13">
      <c r="A60" s="31">
        <v>11</v>
      </c>
      <c r="B60" s="31" t="s">
        <v>68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</row>
    <row r="61" ht="27" customHeight="1" spans="1:13">
      <c r="A61" s="31"/>
      <c r="B61" s="31"/>
      <c r="C61" s="34" t="s">
        <v>58</v>
      </c>
      <c r="D61" s="31"/>
      <c r="E61" s="31"/>
      <c r="F61" s="31"/>
      <c r="G61" s="31">
        <f>'[1]一层大堂精装工程-装饰'!$J$8</f>
        <v>25</v>
      </c>
      <c r="H61" s="31"/>
      <c r="I61" s="31">
        <v>2</v>
      </c>
      <c r="J61" s="31">
        <f t="shared" si="0"/>
        <v>50</v>
      </c>
      <c r="K61" s="31">
        <v>84.66</v>
      </c>
      <c r="L61" s="31">
        <f>K61*J61</f>
        <v>4233</v>
      </c>
      <c r="M61" s="31"/>
    </row>
    <row r="62" ht="27" customHeight="1" spans="1:13">
      <c r="A62" s="31"/>
      <c r="B62" s="31"/>
      <c r="C62" s="35" t="s">
        <v>65</v>
      </c>
      <c r="D62" s="31"/>
      <c r="E62" s="31"/>
      <c r="F62" s="31"/>
      <c r="G62" s="31">
        <f>'[1]一层大堂精装工程-装饰'!$E$10</f>
        <v>59.57</v>
      </c>
      <c r="H62" s="31"/>
      <c r="I62" s="31">
        <v>2</v>
      </c>
      <c r="J62" s="31">
        <f t="shared" si="0"/>
        <v>119.14</v>
      </c>
      <c r="K62" s="31">
        <v>66.3</v>
      </c>
      <c r="L62" s="31">
        <f>K62*J62</f>
        <v>7898.982</v>
      </c>
      <c r="M62" s="31"/>
    </row>
    <row r="63" ht="27" customHeight="1" spans="1:13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  <c r="L63" s="59">
        <f>SUM(L55:L62)</f>
        <v>26828.1114</v>
      </c>
      <c r="M63" s="59"/>
    </row>
    <row r="64" ht="27" customHeight="1" spans="1:13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</row>
    <row r="65" ht="27" customHeight="1" spans="1:13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</row>
    <row r="66" ht="27" customHeight="1" spans="1:13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</row>
    <row r="67" ht="27" customHeight="1" spans="1:13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</row>
  </sheetData>
  <autoFilter ref="A2:L63">
    <extLst/>
  </autoFilter>
  <mergeCells count="11">
    <mergeCell ref="A1:J1"/>
    <mergeCell ref="B4:B9"/>
    <mergeCell ref="B10:B13"/>
    <mergeCell ref="B14:B17"/>
    <mergeCell ref="B18:B21"/>
    <mergeCell ref="B22:B25"/>
    <mergeCell ref="B27:B30"/>
    <mergeCell ref="B31:B34"/>
    <mergeCell ref="B35:B39"/>
    <mergeCell ref="B40:B43"/>
    <mergeCell ref="B44:B4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workbookViewId="0">
      <selection activeCell="O8" sqref="O8"/>
    </sheetView>
  </sheetViews>
  <sheetFormatPr defaultColWidth="9" defaultRowHeight="13.5"/>
  <cols>
    <col min="11" max="11" width="11.875" customWidth="1"/>
    <col min="12" max="12" width="13" customWidth="1"/>
  </cols>
  <sheetData>
    <row r="1" ht="29" customHeight="1" spans="1:12">
      <c r="A1" s="1" t="s">
        <v>69</v>
      </c>
      <c r="B1" s="1"/>
      <c r="C1" s="1"/>
      <c r="D1" s="1"/>
      <c r="E1" s="1"/>
      <c r="F1" s="1"/>
      <c r="G1" s="1"/>
      <c r="H1" s="1"/>
      <c r="I1" s="1"/>
      <c r="J1" s="1"/>
      <c r="K1" t="s">
        <v>56</v>
      </c>
      <c r="L1" t="s">
        <v>38</v>
      </c>
    </row>
    <row r="2" ht="24" spans="1:12">
      <c r="A2" s="33">
        <v>1</v>
      </c>
      <c r="B2" s="33" t="s">
        <v>57</v>
      </c>
      <c r="C2" s="39" t="s">
        <v>58</v>
      </c>
      <c r="D2" s="33" t="s">
        <v>59</v>
      </c>
      <c r="E2" s="40" t="s">
        <v>60</v>
      </c>
      <c r="F2" s="40" t="s">
        <v>61</v>
      </c>
      <c r="G2" s="33">
        <v>3.125</v>
      </c>
      <c r="H2" s="33">
        <v>8</v>
      </c>
      <c r="I2" s="33">
        <v>2</v>
      </c>
      <c r="J2" s="43">
        <f t="shared" ref="J2:J10" si="0">I2*H2*G2</f>
        <v>50</v>
      </c>
      <c r="K2" s="44">
        <f>[2]公共区域装修工程!$M$9</f>
        <v>169.03502</v>
      </c>
      <c r="L2" s="44">
        <f>J2*K2</f>
        <v>8451.751</v>
      </c>
    </row>
    <row r="3" spans="1:12">
      <c r="A3" s="33">
        <v>2</v>
      </c>
      <c r="B3" s="33"/>
      <c r="C3" s="39" t="s">
        <v>58</v>
      </c>
      <c r="D3" s="33" t="s">
        <v>62</v>
      </c>
      <c r="E3" s="40" t="s">
        <v>63</v>
      </c>
      <c r="F3" s="40" t="s">
        <v>61</v>
      </c>
      <c r="G3" s="33">
        <f>2.496*2</f>
        <v>4.992</v>
      </c>
      <c r="H3" s="33">
        <v>8</v>
      </c>
      <c r="I3" s="33">
        <v>2</v>
      </c>
      <c r="J3" s="43">
        <f t="shared" si="0"/>
        <v>79.872</v>
      </c>
      <c r="K3" s="44">
        <f>[2]公共区域装修工程!$M$10</f>
        <v>204.15918</v>
      </c>
      <c r="L3" s="44">
        <f t="shared" ref="L3:L19" si="1">J3*K3</f>
        <v>16306.60202496</v>
      </c>
    </row>
    <row r="4" spans="1:12">
      <c r="A4" s="33">
        <v>3</v>
      </c>
      <c r="B4" s="33"/>
      <c r="C4" s="41" t="s">
        <v>70</v>
      </c>
      <c r="D4" s="33" t="s">
        <v>71</v>
      </c>
      <c r="E4" s="33" t="s">
        <v>72</v>
      </c>
      <c r="F4" s="33" t="s">
        <v>61</v>
      </c>
      <c r="G4" s="33">
        <f>0.466*2+(1.25+1.25+2.5)*0.1</f>
        <v>1.432</v>
      </c>
      <c r="H4" s="33">
        <v>8</v>
      </c>
      <c r="I4" s="33">
        <v>2</v>
      </c>
      <c r="J4" s="43"/>
      <c r="K4" s="44"/>
      <c r="L4" s="44">
        <f t="shared" si="1"/>
        <v>0</v>
      </c>
    </row>
    <row r="5" ht="24" spans="1:12">
      <c r="A5" s="33">
        <v>4</v>
      </c>
      <c r="B5" s="33"/>
      <c r="C5" s="39" t="s">
        <v>58</v>
      </c>
      <c r="D5" s="33" t="s">
        <v>64</v>
      </c>
      <c r="E5" s="33" t="s">
        <v>60</v>
      </c>
      <c r="F5" s="33" t="s">
        <v>61</v>
      </c>
      <c r="G5" s="33">
        <v>14.333</v>
      </c>
      <c r="H5" s="33">
        <v>8</v>
      </c>
      <c r="I5" s="33">
        <v>2</v>
      </c>
      <c r="J5" s="43">
        <f t="shared" si="0"/>
        <v>229.328</v>
      </c>
      <c r="K5" s="44">
        <f>[2]公共区域装修工程!$M$6</f>
        <v>165.499496</v>
      </c>
      <c r="L5" s="44">
        <f t="shared" si="1"/>
        <v>37953.668418688</v>
      </c>
    </row>
    <row r="6" spans="1:12">
      <c r="A6" s="33">
        <v>5</v>
      </c>
      <c r="B6" s="33"/>
      <c r="C6" s="39" t="s">
        <v>58</v>
      </c>
      <c r="D6" s="33" t="s">
        <v>73</v>
      </c>
      <c r="E6" s="33" t="s">
        <v>74</v>
      </c>
      <c r="F6" s="33" t="s">
        <v>61</v>
      </c>
      <c r="G6" s="33">
        <f>0.25*2</f>
        <v>0.5</v>
      </c>
      <c r="H6" s="33">
        <v>8</v>
      </c>
      <c r="I6" s="33">
        <v>2</v>
      </c>
      <c r="J6" s="43">
        <f t="shared" si="0"/>
        <v>8</v>
      </c>
      <c r="K6" s="44">
        <f>K5</f>
        <v>165.499496</v>
      </c>
      <c r="L6" s="44">
        <f t="shared" si="1"/>
        <v>1323.995968</v>
      </c>
    </row>
    <row r="7" ht="24" spans="1:12">
      <c r="A7" s="33">
        <v>6</v>
      </c>
      <c r="B7" s="33"/>
      <c r="C7" s="41" t="s">
        <v>65</v>
      </c>
      <c r="D7" s="33" t="s">
        <v>64</v>
      </c>
      <c r="E7" s="33"/>
      <c r="F7" s="33" t="s">
        <v>61</v>
      </c>
      <c r="G7" s="33">
        <f>(1.67*2.65-1.74+5.3*0.08)*2+1.74*2.65-2.75+6.99+1.44*2.65-2.7+9.15-1.34+6.395-2.755+6.395-2.755-0.075+9.115-1.34</f>
        <v>38.976</v>
      </c>
      <c r="H7" s="33">
        <v>8</v>
      </c>
      <c r="I7" s="33">
        <v>2</v>
      </c>
      <c r="J7" s="43">
        <f t="shared" si="0"/>
        <v>623.616</v>
      </c>
      <c r="K7" s="44">
        <f>[2]公共区域装修工程!$M$13</f>
        <v>169.03502</v>
      </c>
      <c r="L7" s="44">
        <f t="shared" si="1"/>
        <v>105412.94303232</v>
      </c>
    </row>
    <row r="8" ht="24" spans="1:12">
      <c r="A8" s="33">
        <v>7</v>
      </c>
      <c r="B8" s="33"/>
      <c r="C8" s="41" t="s">
        <v>75</v>
      </c>
      <c r="D8" s="33"/>
      <c r="E8" s="33"/>
      <c r="F8" s="33" t="s">
        <v>76</v>
      </c>
      <c r="G8" s="33">
        <f>2.4*2</f>
        <v>4.8</v>
      </c>
      <c r="H8" s="33">
        <v>8</v>
      </c>
      <c r="I8" s="33">
        <v>2</v>
      </c>
      <c r="J8" s="43"/>
      <c r="K8" s="44"/>
      <c r="L8" s="44">
        <f t="shared" si="1"/>
        <v>0</v>
      </c>
    </row>
    <row r="9" spans="1:12">
      <c r="A9" s="33">
        <v>8</v>
      </c>
      <c r="B9" s="33"/>
      <c r="C9" s="41" t="s">
        <v>77</v>
      </c>
      <c r="D9" s="33"/>
      <c r="E9" s="33"/>
      <c r="F9" s="33" t="s">
        <v>76</v>
      </c>
      <c r="G9" s="33">
        <f>7.46+4.96+6.92+9.66</f>
        <v>29</v>
      </c>
      <c r="H9" s="33">
        <v>8</v>
      </c>
      <c r="I9" s="33">
        <v>2</v>
      </c>
      <c r="J9" s="43">
        <f t="shared" si="0"/>
        <v>464</v>
      </c>
      <c r="K9" s="44">
        <f>[2]公共区域装修工程!$M$15</f>
        <v>16.1756</v>
      </c>
      <c r="L9" s="44">
        <f t="shared" si="1"/>
        <v>7505.4784</v>
      </c>
    </row>
    <row r="10" spans="1:12">
      <c r="A10" s="33">
        <v>9</v>
      </c>
      <c r="B10" s="33"/>
      <c r="C10" s="41" t="s">
        <v>78</v>
      </c>
      <c r="D10" s="33"/>
      <c r="E10" s="33"/>
      <c r="F10" s="33" t="s">
        <v>79</v>
      </c>
      <c r="G10" s="33">
        <v>2</v>
      </c>
      <c r="H10" s="33">
        <v>8</v>
      </c>
      <c r="I10" s="33">
        <v>2</v>
      </c>
      <c r="J10" s="43">
        <f t="shared" si="0"/>
        <v>32</v>
      </c>
      <c r="K10" s="44">
        <f>[2]公共区域装修工程!$M$14</f>
        <v>726.7466</v>
      </c>
      <c r="L10" s="44">
        <f t="shared" si="1"/>
        <v>23255.8912</v>
      </c>
    </row>
    <row r="11" spans="1:12">
      <c r="A11" s="1" t="s">
        <v>80</v>
      </c>
      <c r="B11" s="1"/>
      <c r="C11" s="1"/>
      <c r="D11" s="1"/>
      <c r="E11" s="1"/>
      <c r="F11" s="1"/>
      <c r="G11" s="1"/>
      <c r="H11" s="1"/>
      <c r="I11" s="1"/>
      <c r="J11" s="1"/>
      <c r="K11" s="44"/>
      <c r="L11" s="44">
        <f t="shared" si="1"/>
        <v>0</v>
      </c>
    </row>
    <row r="12" ht="24" spans="1:12">
      <c r="A12" s="36">
        <v>1</v>
      </c>
      <c r="B12" s="36" t="s">
        <v>57</v>
      </c>
      <c r="C12" s="42" t="s">
        <v>58</v>
      </c>
      <c r="D12" s="36" t="s">
        <v>59</v>
      </c>
      <c r="E12" s="32" t="s">
        <v>60</v>
      </c>
      <c r="F12" s="32" t="s">
        <v>61</v>
      </c>
      <c r="G12" s="36">
        <f>(1.25+1.24)*1.2+(1.67+1.25)*2.5</f>
        <v>10.288</v>
      </c>
      <c r="H12" s="36">
        <v>1</v>
      </c>
      <c r="I12" s="36">
        <v>2</v>
      </c>
      <c r="J12" s="43">
        <f t="shared" ref="J12:J19" si="2">I12*H12*G12</f>
        <v>20.576</v>
      </c>
      <c r="K12" s="44">
        <f>K2</f>
        <v>169.03502</v>
      </c>
      <c r="L12" s="44">
        <f t="shared" si="1"/>
        <v>3478.06457152</v>
      </c>
    </row>
    <row r="13" spans="1:12">
      <c r="A13" s="36">
        <v>2</v>
      </c>
      <c r="B13" s="36"/>
      <c r="C13" s="42" t="s">
        <v>58</v>
      </c>
      <c r="D13" s="36" t="s">
        <v>62</v>
      </c>
      <c r="E13" s="32" t="s">
        <v>63</v>
      </c>
      <c r="F13" s="32" t="s">
        <v>61</v>
      </c>
      <c r="G13" s="36">
        <f>1.2*(14+12)</f>
        <v>31.2</v>
      </c>
      <c r="H13" s="36">
        <v>1</v>
      </c>
      <c r="I13" s="36">
        <v>2</v>
      </c>
      <c r="J13" s="43">
        <f t="shared" si="2"/>
        <v>62.4</v>
      </c>
      <c r="K13" s="44">
        <f>K3</f>
        <v>204.15918</v>
      </c>
      <c r="L13" s="44">
        <f t="shared" si="1"/>
        <v>12739.532832</v>
      </c>
    </row>
    <row r="14" spans="1:12">
      <c r="A14" s="36">
        <v>3</v>
      </c>
      <c r="B14" s="36"/>
      <c r="C14" s="35" t="s">
        <v>70</v>
      </c>
      <c r="D14" s="36" t="s">
        <v>71</v>
      </c>
      <c r="E14" s="36" t="s">
        <v>72</v>
      </c>
      <c r="F14" s="36" t="s">
        <v>61</v>
      </c>
      <c r="G14" s="36">
        <f>0.023*(6+7+6+7+8+4)+(1.56+1.24+1.82+2.08+1.04+1.63*2+2.5+1.25*2+2.5)*0.1</f>
        <v>2.724</v>
      </c>
      <c r="H14" s="36">
        <v>1</v>
      </c>
      <c r="I14" s="36">
        <v>2</v>
      </c>
      <c r="J14" s="43">
        <f t="shared" si="2"/>
        <v>5.448</v>
      </c>
      <c r="K14" s="44">
        <f>K4</f>
        <v>0</v>
      </c>
      <c r="L14" s="44">
        <f t="shared" si="1"/>
        <v>0</v>
      </c>
    </row>
    <row r="15" ht="24" spans="1:12">
      <c r="A15" s="36">
        <v>4</v>
      </c>
      <c r="B15" s="36"/>
      <c r="C15" s="42" t="s">
        <v>58</v>
      </c>
      <c r="D15" s="36" t="s">
        <v>64</v>
      </c>
      <c r="E15" s="36" t="s">
        <v>60</v>
      </c>
      <c r="F15" s="36" t="s">
        <v>61</v>
      </c>
      <c r="G15" s="36">
        <f>12.84+12.283+4.757</f>
        <v>29.88</v>
      </c>
      <c r="H15" s="36">
        <v>1</v>
      </c>
      <c r="I15" s="36">
        <v>2</v>
      </c>
      <c r="J15" s="43">
        <f t="shared" si="2"/>
        <v>59.76</v>
      </c>
      <c r="K15" s="44">
        <f>K5</f>
        <v>165.499496</v>
      </c>
      <c r="L15" s="44">
        <f t="shared" si="1"/>
        <v>9890.24988096</v>
      </c>
    </row>
    <row r="16" spans="1:12">
      <c r="A16" s="36">
        <v>5</v>
      </c>
      <c r="B16" s="36"/>
      <c r="C16" s="42" t="s">
        <v>58</v>
      </c>
      <c r="D16" s="36" t="s">
        <v>73</v>
      </c>
      <c r="E16" s="36" t="s">
        <v>74</v>
      </c>
      <c r="F16" s="36" t="s">
        <v>61</v>
      </c>
      <c r="G16" s="36">
        <f>0.174*2+0.191*2+0.158*2</f>
        <v>1.046</v>
      </c>
      <c r="H16" s="36">
        <v>1</v>
      </c>
      <c r="I16" s="36">
        <v>2</v>
      </c>
      <c r="J16" s="43">
        <f t="shared" si="2"/>
        <v>2.092</v>
      </c>
      <c r="K16" s="44">
        <f>K6</f>
        <v>165.499496</v>
      </c>
      <c r="L16" s="44">
        <f t="shared" si="1"/>
        <v>346.224945632</v>
      </c>
    </row>
    <row r="17" ht="24" spans="1:12">
      <c r="A17" s="36">
        <v>6</v>
      </c>
      <c r="B17" s="36"/>
      <c r="C17" s="35" t="s">
        <v>65</v>
      </c>
      <c r="D17" s="36" t="s">
        <v>64</v>
      </c>
      <c r="E17" s="36"/>
      <c r="F17" s="36" t="s">
        <v>61</v>
      </c>
      <c r="G17" s="36">
        <f>0.5*2.4+16.896-2.184-2.496+4.177-2.184+16.896-1.47+3.455+8.496-1.47+3.455-2.184+8.568-2.496-2.184+2.34*2.4+1.1*2.4</f>
        <v>54.731</v>
      </c>
      <c r="H17" s="36">
        <v>1</v>
      </c>
      <c r="I17" s="36">
        <v>2</v>
      </c>
      <c r="J17" s="43">
        <f t="shared" si="2"/>
        <v>109.462</v>
      </c>
      <c r="K17" s="44">
        <f>K7</f>
        <v>169.03502</v>
      </c>
      <c r="L17" s="44">
        <f t="shared" si="1"/>
        <v>18502.91135924</v>
      </c>
    </row>
    <row r="18" spans="1:12">
      <c r="A18" s="36">
        <v>8</v>
      </c>
      <c r="B18" s="36"/>
      <c r="C18" s="35" t="s">
        <v>77</v>
      </c>
      <c r="D18" s="36"/>
      <c r="E18" s="36"/>
      <c r="F18" s="36" t="s">
        <v>76</v>
      </c>
      <c r="G18" s="36">
        <f>10.4+5.32+7.6+9.76</f>
        <v>33.08</v>
      </c>
      <c r="H18" s="36">
        <v>1</v>
      </c>
      <c r="I18" s="36">
        <v>2</v>
      </c>
      <c r="J18" s="43">
        <f t="shared" si="2"/>
        <v>66.16</v>
      </c>
      <c r="K18" s="44">
        <f>K9</f>
        <v>16.1756</v>
      </c>
      <c r="L18" s="44">
        <f t="shared" si="1"/>
        <v>1070.177696</v>
      </c>
    </row>
    <row r="19" spans="1:12">
      <c r="A19" s="36">
        <v>9</v>
      </c>
      <c r="B19" s="36"/>
      <c r="C19" s="35" t="s">
        <v>78</v>
      </c>
      <c r="D19" s="36"/>
      <c r="E19" s="36"/>
      <c r="F19" s="36" t="s">
        <v>79</v>
      </c>
      <c r="G19" s="36">
        <v>2</v>
      </c>
      <c r="H19" s="36">
        <v>1</v>
      </c>
      <c r="I19" s="36">
        <v>2</v>
      </c>
      <c r="J19" s="43">
        <f t="shared" si="2"/>
        <v>4</v>
      </c>
      <c r="K19" s="44">
        <f>K10</f>
        <v>726.7466</v>
      </c>
      <c r="L19" s="44">
        <f t="shared" si="1"/>
        <v>2906.9864</v>
      </c>
    </row>
    <row r="20" spans="11:12">
      <c r="K20" s="44"/>
      <c r="L20" s="44">
        <f>SUM(L2:L19)</f>
        <v>249144.47772932</v>
      </c>
    </row>
  </sheetData>
  <mergeCells count="4">
    <mergeCell ref="A1:J1"/>
    <mergeCell ref="A11:J11"/>
    <mergeCell ref="B2:B10"/>
    <mergeCell ref="B12:B1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opLeftCell="A14" workbookViewId="0">
      <selection activeCell="O35" sqref="O35"/>
    </sheetView>
  </sheetViews>
  <sheetFormatPr defaultColWidth="9" defaultRowHeight="13.5"/>
  <cols>
    <col min="4" max="4" width="15.375" customWidth="1"/>
    <col min="10" max="10" width="10.375"/>
  </cols>
  <sheetData>
    <row r="1" ht="18" customHeight="1" spans="1:10">
      <c r="A1" s="1" t="s">
        <v>69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>
        <v>1</v>
      </c>
      <c r="B2" s="2" t="s">
        <v>81</v>
      </c>
      <c r="C2" s="3" t="s">
        <v>58</v>
      </c>
      <c r="D2" s="2" t="s">
        <v>59</v>
      </c>
      <c r="E2" s="4"/>
      <c r="F2" s="4" t="s">
        <v>61</v>
      </c>
      <c r="G2" s="5">
        <v>3.25</v>
      </c>
      <c r="H2" s="2">
        <v>7</v>
      </c>
      <c r="I2" s="2">
        <v>3</v>
      </c>
      <c r="J2" s="38">
        <f>I2*H2*G2</f>
        <v>68.25</v>
      </c>
    </row>
    <row r="3" spans="1:10">
      <c r="A3" s="2">
        <v>2</v>
      </c>
      <c r="B3" s="2"/>
      <c r="C3" s="3" t="s">
        <v>58</v>
      </c>
      <c r="D3" s="2" t="s">
        <v>62</v>
      </c>
      <c r="E3" s="4"/>
      <c r="F3" s="4" t="s">
        <v>61</v>
      </c>
      <c r="G3" s="5">
        <v>5.3625</v>
      </c>
      <c r="H3" s="2">
        <v>7</v>
      </c>
      <c r="I3" s="2">
        <v>3</v>
      </c>
      <c r="J3" s="38">
        <f>I3*H3*G3</f>
        <v>112.6125</v>
      </c>
    </row>
    <row r="4" spans="1:10">
      <c r="A4" s="6">
        <v>3</v>
      </c>
      <c r="B4" s="6"/>
      <c r="C4" s="7" t="s">
        <v>58</v>
      </c>
      <c r="D4" s="6" t="s">
        <v>64</v>
      </c>
      <c r="E4" s="8"/>
      <c r="F4" s="6" t="s">
        <v>61</v>
      </c>
      <c r="G4" s="9">
        <v>8.6</v>
      </c>
      <c r="H4" s="6">
        <v>7</v>
      </c>
      <c r="I4" s="6">
        <v>3</v>
      </c>
      <c r="J4" s="15">
        <f>I4*H4*G4</f>
        <v>180.6</v>
      </c>
    </row>
    <row r="5" spans="1:10">
      <c r="A5" s="6">
        <v>4</v>
      </c>
      <c r="B5" s="6"/>
      <c r="C5" s="7" t="s">
        <v>58</v>
      </c>
      <c r="D5" s="6" t="s">
        <v>73</v>
      </c>
      <c r="E5" s="8"/>
      <c r="F5" s="6" t="s">
        <v>61</v>
      </c>
      <c r="G5" s="9">
        <v>0.253</v>
      </c>
      <c r="H5" s="6">
        <v>7</v>
      </c>
      <c r="I5" s="6">
        <v>3</v>
      </c>
      <c r="J5" s="15">
        <f>I5*H5*G5</f>
        <v>5.313</v>
      </c>
    </row>
    <row r="6" spans="1:10">
      <c r="A6" s="2">
        <v>5</v>
      </c>
      <c r="B6" s="2"/>
      <c r="C6" s="10" t="s">
        <v>65</v>
      </c>
      <c r="D6" s="2" t="s">
        <v>64</v>
      </c>
      <c r="E6" s="4"/>
      <c r="F6" s="2" t="s">
        <v>61</v>
      </c>
      <c r="G6" s="5">
        <v>13.27285</v>
      </c>
      <c r="H6" s="2">
        <v>7</v>
      </c>
      <c r="I6" s="2">
        <v>3</v>
      </c>
      <c r="J6" s="38">
        <f>I6*H6*G6</f>
        <v>278.72985</v>
      </c>
    </row>
    <row r="7" spans="1:10">
      <c r="A7" s="6"/>
      <c r="B7" s="6" t="s">
        <v>82</v>
      </c>
      <c r="C7" s="11" t="s">
        <v>58</v>
      </c>
      <c r="D7" s="12" t="s">
        <v>59</v>
      </c>
      <c r="E7" s="6"/>
      <c r="F7" s="12" t="s">
        <v>61</v>
      </c>
      <c r="G7" s="12">
        <v>6.31</v>
      </c>
      <c r="H7" s="12">
        <v>7</v>
      </c>
      <c r="I7" s="12">
        <v>2</v>
      </c>
      <c r="J7" s="25">
        <v>88.34</v>
      </c>
    </row>
    <row r="8" spans="1:10">
      <c r="A8" s="6"/>
      <c r="B8" s="6"/>
      <c r="C8" s="11" t="s">
        <v>58</v>
      </c>
      <c r="D8" s="12" t="s">
        <v>62</v>
      </c>
      <c r="E8" s="6"/>
      <c r="F8" s="12" t="s">
        <v>61</v>
      </c>
      <c r="G8" s="12">
        <v>5</v>
      </c>
      <c r="H8" s="12">
        <v>7</v>
      </c>
      <c r="I8" s="12">
        <v>2</v>
      </c>
      <c r="J8" s="25">
        <v>70</v>
      </c>
    </row>
    <row r="9" spans="1:10">
      <c r="A9" s="6"/>
      <c r="B9" s="6"/>
      <c r="C9" s="11" t="s">
        <v>58</v>
      </c>
      <c r="D9" s="12" t="s">
        <v>64</v>
      </c>
      <c r="E9" s="6"/>
      <c r="F9" s="12" t="s">
        <v>61</v>
      </c>
      <c r="G9" s="12">
        <v>8.09</v>
      </c>
      <c r="H9" s="12">
        <v>7</v>
      </c>
      <c r="I9" s="12">
        <v>2</v>
      </c>
      <c r="J9" s="25">
        <v>113.26</v>
      </c>
    </row>
    <row r="10" spans="1:10">
      <c r="A10" s="6"/>
      <c r="B10" s="6"/>
      <c r="C10" s="11" t="s">
        <v>58</v>
      </c>
      <c r="D10" s="12" t="s">
        <v>73</v>
      </c>
      <c r="E10" s="6"/>
      <c r="F10" s="12" t="s">
        <v>61</v>
      </c>
      <c r="G10" s="12">
        <v>0.49</v>
      </c>
      <c r="H10" s="12">
        <v>7</v>
      </c>
      <c r="I10" s="12">
        <v>2</v>
      </c>
      <c r="J10" s="25">
        <v>6.86</v>
      </c>
    </row>
    <row r="11" spans="1:10">
      <c r="A11" s="6"/>
      <c r="B11" s="6"/>
      <c r="C11" s="13" t="s">
        <v>65</v>
      </c>
      <c r="D11" s="12" t="s">
        <v>64</v>
      </c>
      <c r="E11" s="6"/>
      <c r="F11" s="12" t="s">
        <v>61</v>
      </c>
      <c r="G11" s="12">
        <v>21.8585</v>
      </c>
      <c r="H11" s="12">
        <v>7</v>
      </c>
      <c r="I11" s="12">
        <v>2</v>
      </c>
      <c r="J11" s="25">
        <v>306.019</v>
      </c>
    </row>
    <row r="12" ht="27" customHeight="1" spans="1:10">
      <c r="A12" s="14" t="s">
        <v>80</v>
      </c>
      <c r="B12" s="14"/>
      <c r="C12" s="14"/>
      <c r="D12" s="14"/>
      <c r="E12" s="14"/>
      <c r="F12" s="14"/>
      <c r="G12" s="14"/>
      <c r="H12" s="14"/>
      <c r="I12" s="14"/>
      <c r="J12" s="14"/>
    </row>
    <row r="13" ht="24" spans="1:10">
      <c r="A13" s="15"/>
      <c r="B13" s="15" t="s">
        <v>81</v>
      </c>
      <c r="C13" s="16" t="s">
        <v>58</v>
      </c>
      <c r="D13" s="15" t="s">
        <v>59</v>
      </c>
      <c r="E13" s="17" t="s">
        <v>60</v>
      </c>
      <c r="F13" s="17" t="s">
        <v>61</v>
      </c>
      <c r="G13" s="18">
        <v>6.9862</v>
      </c>
      <c r="H13" s="15">
        <v>1</v>
      </c>
      <c r="I13" s="15">
        <v>3</v>
      </c>
      <c r="J13" s="18">
        <f>I13*H13*G13</f>
        <v>20.9586</v>
      </c>
    </row>
    <row r="14" spans="1:10">
      <c r="A14" s="15"/>
      <c r="B14" s="15"/>
      <c r="C14" s="16" t="s">
        <v>58</v>
      </c>
      <c r="D14" s="15" t="s">
        <v>62</v>
      </c>
      <c r="E14" s="17" t="s">
        <v>63</v>
      </c>
      <c r="F14" s="17" t="s">
        <v>61</v>
      </c>
      <c r="G14" s="18">
        <v>8.112</v>
      </c>
      <c r="H14" s="15">
        <v>1</v>
      </c>
      <c r="I14" s="15">
        <v>3</v>
      </c>
      <c r="J14" s="18">
        <f>I14*H14*G14</f>
        <v>24.336</v>
      </c>
    </row>
    <row r="15" ht="24" spans="1:10">
      <c r="A15" s="15"/>
      <c r="B15" s="15"/>
      <c r="C15" s="16" t="s">
        <v>58</v>
      </c>
      <c r="D15" s="15" t="s">
        <v>64</v>
      </c>
      <c r="E15" s="15" t="s">
        <v>60</v>
      </c>
      <c r="F15" s="15" t="s">
        <v>61</v>
      </c>
      <c r="G15" s="19">
        <v>27.08</v>
      </c>
      <c r="H15" s="15">
        <v>1</v>
      </c>
      <c r="I15" s="15">
        <v>3</v>
      </c>
      <c r="J15" s="18">
        <f t="shared" ref="J15:J20" si="0">I15*H15*G15</f>
        <v>81.24</v>
      </c>
    </row>
    <row r="16" spans="1:10">
      <c r="A16" s="15"/>
      <c r="B16" s="15"/>
      <c r="C16" s="16" t="s">
        <v>58</v>
      </c>
      <c r="D16" s="15" t="s">
        <v>73</v>
      </c>
      <c r="E16" s="15" t="s">
        <v>74</v>
      </c>
      <c r="F16" s="15" t="s">
        <v>61</v>
      </c>
      <c r="G16" s="20">
        <v>1.311</v>
      </c>
      <c r="H16" s="15">
        <v>1</v>
      </c>
      <c r="I16" s="15">
        <v>3</v>
      </c>
      <c r="J16" s="18">
        <f t="shared" si="0"/>
        <v>3.933</v>
      </c>
    </row>
    <row r="17" spans="1:10">
      <c r="A17" s="15"/>
      <c r="B17" s="15"/>
      <c r="C17" s="21" t="s">
        <v>65</v>
      </c>
      <c r="D17" s="15" t="s">
        <v>64</v>
      </c>
      <c r="E17" s="15"/>
      <c r="F17" s="15" t="s">
        <v>61</v>
      </c>
      <c r="G17" s="20">
        <v>53.7</v>
      </c>
      <c r="H17" s="15">
        <v>1</v>
      </c>
      <c r="I17" s="15">
        <v>3</v>
      </c>
      <c r="J17" s="18">
        <f t="shared" si="0"/>
        <v>161.1</v>
      </c>
    </row>
    <row r="18" spans="1:10">
      <c r="A18" s="22">
        <v>1</v>
      </c>
      <c r="B18" s="23" t="s">
        <v>83</v>
      </c>
      <c r="C18" s="24" t="s">
        <v>58</v>
      </c>
      <c r="D18" s="25" t="s">
        <v>59</v>
      </c>
      <c r="E18" s="26"/>
      <c r="F18" s="25" t="s">
        <v>61</v>
      </c>
      <c r="G18" s="25">
        <v>10.62</v>
      </c>
      <c r="H18" s="25">
        <v>1</v>
      </c>
      <c r="I18" s="25">
        <v>2</v>
      </c>
      <c r="J18" s="25">
        <v>21.24</v>
      </c>
    </row>
    <row r="19" spans="1:10">
      <c r="A19" s="22">
        <v>2</v>
      </c>
      <c r="B19" s="27"/>
      <c r="C19" s="24" t="s">
        <v>58</v>
      </c>
      <c r="D19" s="25" t="s">
        <v>62</v>
      </c>
      <c r="E19" s="26"/>
      <c r="F19" s="25" t="s">
        <v>61</v>
      </c>
      <c r="G19" s="25">
        <v>10.2904</v>
      </c>
      <c r="H19" s="25">
        <v>1</v>
      </c>
      <c r="I19" s="25">
        <v>2</v>
      </c>
      <c r="J19" s="25">
        <v>20.5808</v>
      </c>
    </row>
    <row r="20" spans="1:10">
      <c r="A20" s="22">
        <v>3</v>
      </c>
      <c r="B20" s="27"/>
      <c r="C20" s="24" t="s">
        <v>58</v>
      </c>
      <c r="D20" s="25" t="s">
        <v>64</v>
      </c>
      <c r="E20" s="26"/>
      <c r="F20" s="25" t="s">
        <v>61</v>
      </c>
      <c r="G20" s="25">
        <v>16.96</v>
      </c>
      <c r="H20" s="25">
        <v>1</v>
      </c>
      <c r="I20" s="25">
        <v>2</v>
      </c>
      <c r="J20" s="25">
        <v>33.92</v>
      </c>
    </row>
    <row r="21" spans="1:10">
      <c r="A21" s="22">
        <v>4</v>
      </c>
      <c r="B21" s="27"/>
      <c r="C21" s="24" t="s">
        <v>58</v>
      </c>
      <c r="D21" s="25" t="s">
        <v>73</v>
      </c>
      <c r="E21" s="26"/>
      <c r="F21" s="25" t="s">
        <v>61</v>
      </c>
      <c r="G21" s="25">
        <v>1.18</v>
      </c>
      <c r="H21" s="25">
        <v>1</v>
      </c>
      <c r="I21" s="25">
        <v>2</v>
      </c>
      <c r="J21" s="25">
        <v>2.36</v>
      </c>
    </row>
    <row r="22" spans="1:10">
      <c r="A22" s="22">
        <v>5</v>
      </c>
      <c r="B22" s="27"/>
      <c r="C22" s="28" t="s">
        <v>65</v>
      </c>
      <c r="D22" s="25" t="s">
        <v>64</v>
      </c>
      <c r="E22" s="26"/>
      <c r="F22" s="25" t="s">
        <v>61</v>
      </c>
      <c r="G22" s="25">
        <v>40.58</v>
      </c>
      <c r="H22" s="25">
        <v>1</v>
      </c>
      <c r="I22" s="25">
        <v>2</v>
      </c>
      <c r="J22" s="25">
        <v>81.16</v>
      </c>
    </row>
    <row r="23" spans="1:10">
      <c r="A23" s="15">
        <v>1</v>
      </c>
      <c r="B23" s="25" t="s">
        <v>84</v>
      </c>
      <c r="C23" s="29" t="s">
        <v>58</v>
      </c>
      <c r="D23" s="25" t="s">
        <v>59</v>
      </c>
      <c r="E23" s="26"/>
      <c r="F23" s="25" t="s">
        <v>61</v>
      </c>
      <c r="G23" s="25">
        <v>7.075</v>
      </c>
      <c r="H23" s="25">
        <v>1</v>
      </c>
      <c r="I23" s="25">
        <v>2</v>
      </c>
      <c r="J23" s="25">
        <v>14.15</v>
      </c>
    </row>
    <row r="24" spans="1:10">
      <c r="A24" s="15">
        <v>2</v>
      </c>
      <c r="B24" s="25"/>
      <c r="C24" s="29" t="s">
        <v>58</v>
      </c>
      <c r="D24" s="25" t="s">
        <v>62</v>
      </c>
      <c r="E24" s="26"/>
      <c r="F24" s="25" t="s">
        <v>61</v>
      </c>
      <c r="G24" s="25">
        <v>3.432</v>
      </c>
      <c r="H24" s="25">
        <v>1</v>
      </c>
      <c r="I24" s="25">
        <v>2</v>
      </c>
      <c r="J24" s="25">
        <v>6.864</v>
      </c>
    </row>
    <row r="25" spans="1:10">
      <c r="A25" s="15">
        <v>3</v>
      </c>
      <c r="B25" s="25"/>
      <c r="C25" s="29" t="s">
        <v>58</v>
      </c>
      <c r="D25" s="25" t="s">
        <v>64</v>
      </c>
      <c r="E25" s="26"/>
      <c r="F25" s="25" t="s">
        <v>61</v>
      </c>
      <c r="G25" s="25">
        <v>29.48</v>
      </c>
      <c r="H25" s="25">
        <v>1</v>
      </c>
      <c r="I25" s="25">
        <v>2</v>
      </c>
      <c r="J25" s="25">
        <v>58.96</v>
      </c>
    </row>
    <row r="26" spans="1:10">
      <c r="A26" s="15">
        <v>4</v>
      </c>
      <c r="B26" s="25"/>
      <c r="C26" s="29" t="s">
        <v>58</v>
      </c>
      <c r="D26" s="25" t="s">
        <v>73</v>
      </c>
      <c r="E26" s="26"/>
      <c r="F26" s="25" t="s">
        <v>61</v>
      </c>
      <c r="G26" s="25">
        <v>1.18</v>
      </c>
      <c r="H26" s="25">
        <v>1</v>
      </c>
      <c r="I26" s="25">
        <v>2</v>
      </c>
      <c r="J26" s="25">
        <v>2.36</v>
      </c>
    </row>
    <row r="27" spans="1:10">
      <c r="A27" s="15">
        <v>5</v>
      </c>
      <c r="B27" s="25"/>
      <c r="C27" s="28" t="s">
        <v>65</v>
      </c>
      <c r="D27" s="25" t="s">
        <v>64</v>
      </c>
      <c r="E27" s="26"/>
      <c r="F27" s="25" t="s">
        <v>61</v>
      </c>
      <c r="G27" s="25">
        <v>43.44</v>
      </c>
      <c r="H27" s="25">
        <v>1</v>
      </c>
      <c r="I27" s="25">
        <v>2</v>
      </c>
      <c r="J27" s="25">
        <v>86.88</v>
      </c>
    </row>
    <row r="29" spans="1:13">
      <c r="A29" s="30" t="s">
        <v>66</v>
      </c>
      <c r="B29" s="31"/>
      <c r="C29" s="31"/>
      <c r="D29" s="31"/>
      <c r="E29" s="32"/>
      <c r="F29" s="31"/>
      <c r="G29" s="31"/>
      <c r="H29" s="31"/>
      <c r="I29" s="31"/>
      <c r="J29" s="31"/>
      <c r="K29" s="31"/>
      <c r="L29" s="31"/>
      <c r="M29" s="31"/>
    </row>
    <row r="30" ht="24" spans="1:13">
      <c r="A30" s="31"/>
      <c r="B30" s="31"/>
      <c r="C30" s="33" t="s">
        <v>59</v>
      </c>
      <c r="D30" s="33" t="s">
        <v>59</v>
      </c>
      <c r="E30" s="33" t="s">
        <v>60</v>
      </c>
      <c r="F30" s="31"/>
      <c r="G30" s="31"/>
      <c r="H30" s="31"/>
      <c r="I30" s="31"/>
      <c r="J30" s="31">
        <f>J2+J7+J13+J18+J23</f>
        <v>212.9386</v>
      </c>
      <c r="K30" s="31">
        <v>65</v>
      </c>
      <c r="L30" s="31">
        <f t="shared" ref="L30:L33" si="1">J30*K30</f>
        <v>13841.009</v>
      </c>
      <c r="M30" s="31"/>
    </row>
    <row r="31" ht="27" customHeight="1" spans="1:13">
      <c r="A31" s="31"/>
      <c r="B31" s="31"/>
      <c r="C31" s="34" t="s">
        <v>58</v>
      </c>
      <c r="D31" s="33" t="s">
        <v>62</v>
      </c>
      <c r="E31" s="33" t="s">
        <v>63</v>
      </c>
      <c r="F31" s="31"/>
      <c r="G31" s="31"/>
      <c r="H31" s="31"/>
      <c r="I31" s="31"/>
      <c r="J31" s="31">
        <f>J3+J8+J14+J19+J24</f>
        <v>234.3933</v>
      </c>
      <c r="K31" s="31">
        <v>85</v>
      </c>
      <c r="L31" s="31">
        <f t="shared" si="1"/>
        <v>19923.4305</v>
      </c>
      <c r="M31" s="31"/>
    </row>
    <row r="32" ht="24" spans="1:13">
      <c r="A32" s="31"/>
      <c r="B32" s="31"/>
      <c r="C32" s="34" t="s">
        <v>58</v>
      </c>
      <c r="D32" s="33" t="s">
        <v>64</v>
      </c>
      <c r="E32" s="33" t="s">
        <v>60</v>
      </c>
      <c r="F32" s="31"/>
      <c r="G32" s="31"/>
      <c r="H32" s="31"/>
      <c r="I32" s="31"/>
      <c r="J32" s="31">
        <f>J4+J5+J9+J10+J15+J16+J20+J21+J25+J26</f>
        <v>488.806</v>
      </c>
      <c r="K32" s="31">
        <v>62</v>
      </c>
      <c r="L32" s="31">
        <f t="shared" si="1"/>
        <v>30305.972</v>
      </c>
      <c r="M32" s="31"/>
    </row>
    <row r="33" ht="24" customHeight="1" spans="1:13">
      <c r="A33" s="31"/>
      <c r="B33" s="31"/>
      <c r="C33" s="35" t="s">
        <v>65</v>
      </c>
      <c r="D33" s="36" t="s">
        <v>64</v>
      </c>
      <c r="E33" s="31"/>
      <c r="F33" s="31"/>
      <c r="G33" s="31"/>
      <c r="H33" s="31"/>
      <c r="I33" s="31"/>
      <c r="J33" s="31">
        <f>J6+J11+J17+J22+J27</f>
        <v>913.88885</v>
      </c>
      <c r="K33" s="31">
        <v>65</v>
      </c>
      <c r="L33" s="31">
        <f t="shared" si="1"/>
        <v>59402.77525</v>
      </c>
      <c r="M33" s="31"/>
    </row>
    <row r="34" spans="1:13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>
        <f>L30+L31+L32+L33</f>
        <v>123473.18675</v>
      </c>
      <c r="M34" s="37"/>
    </row>
  </sheetData>
  <autoFilter ref="A2:M27">
    <extLst/>
  </autoFilter>
  <mergeCells count="6">
    <mergeCell ref="A1:J1"/>
    <mergeCell ref="B2:B6"/>
    <mergeCell ref="B7:B11"/>
    <mergeCell ref="B13:B17"/>
    <mergeCell ref="B18:B22"/>
    <mergeCell ref="B23:B27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进度款费用计算明细表</vt:lpstr>
      <vt:lpstr>扣除墙地砖供货</vt:lpstr>
      <vt:lpstr>11#楼公共区域</vt:lpstr>
      <vt:lpstr>2-7#楼墙地砖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2020-10-01T09:11:00Z</dcterms:created>
  <cp:lastPrinted>2022-11-10T03:57:00Z</cp:lastPrinted>
  <dcterms:modified xsi:type="dcterms:W3CDTF">2023-05-13T08:31:38Z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8AA6E7D6B73240EFB8453DE9B977BBA0</vt:lpwstr>
  </property>
</Properties>
</file>